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690" yWindow="1335" windowWidth="14250" windowHeight="10830" tabRatio="923" activeTab="13"/>
  </bookViews>
  <sheets>
    <sheet name="пр.дох.20" sheetId="1" r:id="rId1"/>
    <sheet name="Пр.1.1. дох.21-22" sheetId="12" r:id="rId2"/>
    <sheet name="пр.4 Рд,пр 20" sheetId="2" r:id="rId3"/>
    <sheet name="пр.4.1. рдпр 21-22" sheetId="13" r:id="rId4"/>
    <sheet name="Пр.5 Рд,пр, ЦС,ВР 20" sheetId="3" r:id="rId5"/>
    <sheet name="пр.5.1.рдпрцс 21-22" sheetId="14" r:id="rId6"/>
    <sheet name="Пр.6 ведом.20" sheetId="4" r:id="rId7"/>
    <sheet name="Прил.№5 ведомств.старая" sheetId="10" state="hidden" r:id="rId8"/>
    <sheet name="пр.6.1.ведом.21-22" sheetId="15" r:id="rId9"/>
    <sheet name="пр.7 МП 20" sheetId="5" r:id="rId10"/>
    <sheet name="прил.№6 МП старая" sheetId="11" state="hidden" r:id="rId11"/>
    <sheet name="пр.7.1.МП 21-22" sheetId="16" r:id="rId12"/>
    <sheet name="пр.8 публ. 20" sheetId="6" r:id="rId13"/>
    <sheet name="пр.8.1.публ.21-22" sheetId="17" r:id="rId14"/>
    <sheet name="пр.9 ист-ки 20" sheetId="7" state="hidden" r:id="rId15"/>
    <sheet name="пр.9.1.ист-ки 21-22 " sheetId="18" state="hidden" r:id="rId16"/>
  </sheets>
  <definedNames>
    <definedName name="_xlnm._FilterDatabase" localSheetId="6" hidden="1">'Пр.6 ведом.20'!$A$118:$L$460</definedName>
    <definedName name="_xlnm._FilterDatabase" localSheetId="0" hidden="1">пр.дох.20!$A$1:$C$145</definedName>
    <definedName name="_xlnm.Print_Area" localSheetId="2">'пр.4 Рд,пр 20'!$A$1:$D$51</definedName>
    <definedName name="_xlnm.Print_Area" localSheetId="4">'Пр.5 Рд,пр, ЦС,ВР 20'!$A$1:$F$999</definedName>
    <definedName name="_xlnm.Print_Area" localSheetId="6">'Пр.6 ведом.20'!$A$1:$I$1091</definedName>
    <definedName name="_xlnm.Print_Area" localSheetId="9">'пр.7 МП 20'!$A$1:$G$942</definedName>
    <definedName name="_xlnm.Print_Area" localSheetId="13">'пр.8.1.публ.21-22'!$A$1:$H$42</definedName>
    <definedName name="_xlnm.Print_Area" localSheetId="14">'пр.9 ист-ки 20'!$A$1:$C$14</definedName>
    <definedName name="_xlnm.Print_Area" localSheetId="0">пр.дох.20!$A$1:$C$145</definedName>
    <definedName name="_xlnm.Print_Area" localSheetId="7">'Прил.№5 ведомств.старая'!$A$1:$H$975</definedName>
    <definedName name="_xlnm.Print_Area" localSheetId="10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G27" i="4" l="1"/>
  <c r="C75" i="1"/>
  <c r="C74" i="1" l="1"/>
  <c r="C9" i="1"/>
  <c r="C10" i="1"/>
  <c r="G25" i="4"/>
  <c r="G26" i="4"/>
  <c r="G28" i="4"/>
  <c r="G29" i="4"/>
  <c r="G44" i="4"/>
  <c r="G66" i="4"/>
  <c r="G86" i="4"/>
  <c r="G112" i="4"/>
  <c r="G140" i="4"/>
  <c r="G149" i="4"/>
  <c r="G159" i="4"/>
  <c r="G203" i="4"/>
  <c r="G208" i="4"/>
  <c r="G210" i="4"/>
  <c r="G274" i="4"/>
  <c r="G276" i="4"/>
  <c r="G297" i="4"/>
  <c r="G314" i="4"/>
  <c r="G313" i="4"/>
  <c r="G323" i="4"/>
  <c r="G333" i="4"/>
  <c r="G332" i="4"/>
  <c r="G335" i="4"/>
  <c r="G364" i="4"/>
  <c r="G362" i="4"/>
  <c r="G379" i="4"/>
  <c r="G405" i="4"/>
  <c r="G404" i="4"/>
  <c r="G416" i="4"/>
  <c r="G462" i="4"/>
  <c r="G464" i="4"/>
  <c r="G465" i="4"/>
  <c r="G485" i="4"/>
  <c r="C96" i="1"/>
  <c r="C11" i="1"/>
  <c r="G529" i="4"/>
  <c r="G540" i="4"/>
  <c r="G551" i="4"/>
  <c r="G544" i="4"/>
  <c r="G575" i="4"/>
  <c r="G612" i="4"/>
  <c r="G638" i="4"/>
  <c r="G698" i="4"/>
  <c r="G734" i="4"/>
  <c r="G735" i="4"/>
  <c r="G743" i="4"/>
  <c r="G748" i="4"/>
  <c r="G749" i="4"/>
  <c r="G759" i="4"/>
  <c r="G770" i="4"/>
  <c r="G771" i="4"/>
  <c r="G807" i="4"/>
  <c r="G809" i="4"/>
  <c r="G817" i="4"/>
  <c r="G818" i="4"/>
  <c r="G844" i="4"/>
  <c r="G840" i="4"/>
  <c r="G1007" i="4"/>
  <c r="G1008" i="4"/>
  <c r="G1026" i="4"/>
  <c r="G1052" i="4"/>
  <c r="G1053" i="4"/>
  <c r="G1057" i="4" l="1"/>
  <c r="G1085" i="4"/>
  <c r="G1074" i="4"/>
  <c r="G618" i="4" l="1"/>
  <c r="G550" i="4"/>
  <c r="G368" i="4"/>
  <c r="G341" i="4"/>
  <c r="G18" i="15" l="1"/>
  <c r="G39" i="15"/>
  <c r="H39" i="15" s="1"/>
  <c r="G65" i="14"/>
  <c r="G64" i="14" s="1"/>
  <c r="F65" i="14"/>
  <c r="F64" i="14" s="1"/>
  <c r="F722" i="14"/>
  <c r="F721" i="14" s="1"/>
  <c r="F720" i="14" s="1"/>
  <c r="G597" i="14"/>
  <c r="G596" i="14" s="1"/>
  <c r="G595" i="14" s="1"/>
  <c r="F597" i="14"/>
  <c r="F596" i="14" s="1"/>
  <c r="F595" i="14" s="1"/>
  <c r="G892" i="14"/>
  <c r="G891" i="14" s="1"/>
  <c r="G890" i="14" s="1"/>
  <c r="F892" i="14"/>
  <c r="F891" i="14" s="1"/>
  <c r="F890" i="14" s="1"/>
  <c r="G779" i="14"/>
  <c r="G778" i="14" s="1"/>
  <c r="G777" i="14" s="1"/>
  <c r="G776" i="14" s="1"/>
  <c r="F779" i="14"/>
  <c r="F778" i="14" s="1"/>
  <c r="F777" i="14" s="1"/>
  <c r="G534" i="14"/>
  <c r="G533" i="14" s="1"/>
  <c r="G532" i="14" s="1"/>
  <c r="F534" i="14"/>
  <c r="F533" i="14" s="1"/>
  <c r="F532" i="14" s="1"/>
  <c r="H544" i="16"/>
  <c r="H543" i="16" s="1"/>
  <c r="H542" i="16" s="1"/>
  <c r="H541" i="16" s="1"/>
  <c r="H540" i="16" s="1"/>
  <c r="H539" i="16" s="1"/>
  <c r="H545" i="16" s="1"/>
  <c r="G544" i="16"/>
  <c r="G543" i="16" s="1"/>
  <c r="G542" i="16" s="1"/>
  <c r="G541" i="16" s="1"/>
  <c r="G540" i="16" s="1"/>
  <c r="G539" i="16" s="1"/>
  <c r="G545" i="16" s="1"/>
  <c r="H366" i="15"/>
  <c r="H365" i="15" s="1"/>
  <c r="H364" i="15" s="1"/>
  <c r="G366" i="15"/>
  <c r="G365" i="15"/>
  <c r="G364" i="15" s="1"/>
  <c r="G60" i="14"/>
  <c r="G59" i="14" s="1"/>
  <c r="G58" i="14" s="1"/>
  <c r="F60" i="14"/>
  <c r="F59" i="14" s="1"/>
  <c r="F58" i="14" s="1"/>
  <c r="F776" i="14" l="1"/>
  <c r="H291" i="16"/>
  <c r="H290" i="16" s="1"/>
  <c r="H289" i="16" s="1"/>
  <c r="G291" i="16"/>
  <c r="G290" i="16" s="1"/>
  <c r="G289" i="16" s="1"/>
  <c r="H437" i="16"/>
  <c r="H436" i="16" s="1"/>
  <c r="H435" i="16" s="1"/>
  <c r="H438" i="16" s="1"/>
  <c r="G437" i="16"/>
  <c r="G436" i="16" s="1"/>
  <c r="G435" i="16" s="1"/>
  <c r="G438" i="16" s="1"/>
  <c r="H204" i="15"/>
  <c r="H203" i="15" s="1"/>
  <c r="G204" i="15"/>
  <c r="G203" i="15" s="1"/>
  <c r="H292" i="16" l="1"/>
  <c r="G292" i="16"/>
  <c r="H599" i="15"/>
  <c r="H598" i="15" s="1"/>
  <c r="G603" i="15"/>
  <c r="F537" i="14" s="1"/>
  <c r="F536" i="14" s="1"/>
  <c r="F535" i="14" s="1"/>
  <c r="F531" i="14" s="1"/>
  <c r="G599" i="15"/>
  <c r="G598" i="15" s="1"/>
  <c r="G504" i="15"/>
  <c r="H52" i="15"/>
  <c r="H51" i="15" s="1"/>
  <c r="G52" i="15"/>
  <c r="G51" i="15" s="1"/>
  <c r="G547" i="5"/>
  <c r="G546" i="5" s="1"/>
  <c r="G545" i="5" s="1"/>
  <c r="G362" i="5"/>
  <c r="G361" i="5" s="1"/>
  <c r="G360" i="5" s="1"/>
  <c r="G291" i="5"/>
  <c r="G290" i="5" s="1"/>
  <c r="G289" i="5" s="1"/>
  <c r="G295" i="5"/>
  <c r="G294" i="5" s="1"/>
  <c r="G293" i="5" s="1"/>
  <c r="G296" i="5" s="1"/>
  <c r="G602" i="15" l="1"/>
  <c r="G601" i="15" s="1"/>
  <c r="G597" i="15" s="1"/>
  <c r="H504" i="15"/>
  <c r="F78" i="14"/>
  <c r="F77" i="14" s="1"/>
  <c r="F76" i="14" s="1"/>
  <c r="G288" i="5"/>
  <c r="G287" i="5" s="1"/>
  <c r="G359" i="5"/>
  <c r="G358" i="5" s="1"/>
  <c r="G357" i="5" s="1"/>
  <c r="G363" i="5" s="1"/>
  <c r="G542" i="5"/>
  <c r="G548" i="5" s="1"/>
  <c r="G544" i="5"/>
  <c r="G543" i="5" s="1"/>
  <c r="H603" i="15"/>
  <c r="G537" i="14" s="1"/>
  <c r="G536" i="14" s="1"/>
  <c r="G535" i="14" s="1"/>
  <c r="G531" i="14" s="1"/>
  <c r="G295" i="16"/>
  <c r="G294" i="16" s="1"/>
  <c r="G293" i="16" s="1"/>
  <c r="G288" i="16" s="1"/>
  <c r="G287" i="16" s="1"/>
  <c r="G286" i="16" s="1"/>
  <c r="G503" i="15"/>
  <c r="G502" i="15" s="1"/>
  <c r="G501" i="15" s="1"/>
  <c r="G1108" i="4"/>
  <c r="G1111" i="4"/>
  <c r="G1114" i="4"/>
  <c r="G1115" i="4"/>
  <c r="G1117" i="4"/>
  <c r="F624" i="3"/>
  <c r="F623" i="3" s="1"/>
  <c r="F622" i="3" s="1"/>
  <c r="F621" i="3" s="1"/>
  <c r="F541" i="3"/>
  <c r="F540" i="3"/>
  <c r="F538" i="3"/>
  <c r="F537" i="3" s="1"/>
  <c r="F536" i="3" s="1"/>
  <c r="F865" i="3"/>
  <c r="F864" i="3" s="1"/>
  <c r="F863" i="3" s="1"/>
  <c r="F862" i="3" s="1"/>
  <c r="F783" i="3"/>
  <c r="F782" i="3" s="1"/>
  <c r="F781" i="3" s="1"/>
  <c r="F780" i="3" s="1"/>
  <c r="F63" i="3"/>
  <c r="F62" i="3" s="1"/>
  <c r="F61" i="3" s="1"/>
  <c r="F81" i="3"/>
  <c r="F80" i="3" s="1"/>
  <c r="F79" i="3" s="1"/>
  <c r="G33" i="4"/>
  <c r="G1100" i="4"/>
  <c r="G1094" i="4"/>
  <c r="H503" i="15" l="1"/>
  <c r="H502" i="15" s="1"/>
  <c r="H501" i="15" s="1"/>
  <c r="G78" i="14"/>
  <c r="G77" i="14" s="1"/>
  <c r="G76" i="14" s="1"/>
  <c r="G292" i="5"/>
  <c r="G286" i="5"/>
  <c r="H602" i="15"/>
  <c r="H601" i="15" s="1"/>
  <c r="H597" i="15" s="1"/>
  <c r="H295" i="16"/>
  <c r="H294" i="16" s="1"/>
  <c r="H293" i="16" s="1"/>
  <c r="H288" i="16" s="1"/>
  <c r="H287" i="16" s="1"/>
  <c r="H286" i="16" s="1"/>
  <c r="G296" i="16"/>
  <c r="G49" i="4"/>
  <c r="G48" i="4" s="1"/>
  <c r="D129" i="1" s="1"/>
  <c r="G684" i="4"/>
  <c r="G683" i="4" s="1"/>
  <c r="G682" i="4" s="1"/>
  <c r="D84" i="1" s="1"/>
  <c r="G527" i="4"/>
  <c r="G526" i="4" s="1"/>
  <c r="G525" i="4" s="1"/>
  <c r="G524" i="4" s="1"/>
  <c r="G523" i="4" s="1"/>
  <c r="D125" i="1" s="1"/>
  <c r="C109" i="1"/>
  <c r="C127" i="1"/>
  <c r="G497" i="4"/>
  <c r="G496" i="4" s="1"/>
  <c r="G495" i="4" s="1"/>
  <c r="D124" i="1" s="1"/>
  <c r="G360" i="4"/>
  <c r="G359" i="4" s="1"/>
  <c r="G358" i="4" s="1"/>
  <c r="D86" i="1" s="1"/>
  <c r="G594" i="4"/>
  <c r="G593" i="4" s="1"/>
  <c r="G597" i="4"/>
  <c r="G596" i="4" s="1"/>
  <c r="D128" i="12"/>
  <c r="C128" i="12"/>
  <c r="D91" i="12"/>
  <c r="D100" i="12"/>
  <c r="D99" i="12"/>
  <c r="C91" i="12"/>
  <c r="C85" i="12"/>
  <c r="C83" i="12"/>
  <c r="C111" i="1"/>
  <c r="C129" i="1"/>
  <c r="C85" i="1"/>
  <c r="C83" i="1"/>
  <c r="C91" i="1"/>
  <c r="C82" i="1" s="1"/>
  <c r="D82" i="1" s="1"/>
  <c r="H296" i="16" l="1"/>
  <c r="G592" i="4"/>
  <c r="D99" i="1" s="1"/>
  <c r="G801" i="4"/>
  <c r="D138" i="1" s="1"/>
  <c r="E138" i="1" s="1"/>
  <c r="G392" i="4"/>
  <c r="G357" i="4"/>
  <c r="G637" i="4"/>
  <c r="D136" i="1" s="1"/>
  <c r="E136" i="1" s="1"/>
  <c r="D126" i="1"/>
  <c r="D121" i="1"/>
  <c r="D113" i="1"/>
  <c r="D112" i="1"/>
  <c r="D108" i="1"/>
  <c r="D106" i="1"/>
  <c r="D105" i="1"/>
  <c r="D101" i="1"/>
  <c r="D98" i="1"/>
  <c r="J631" i="4"/>
  <c r="J801" i="4"/>
  <c r="J707" i="4"/>
  <c r="J637" i="4"/>
  <c r="J563" i="4"/>
  <c r="J392" i="4"/>
  <c r="J357" i="4"/>
  <c r="J306" i="4"/>
  <c r="G65" i="4"/>
  <c r="G58" i="4"/>
  <c r="H57" i="15"/>
  <c r="G57" i="15"/>
  <c r="G995" i="15"/>
  <c r="I797" i="15"/>
  <c r="G726" i="15"/>
  <c r="G725" i="15" s="1"/>
  <c r="J704" i="4"/>
  <c r="J701" i="4"/>
  <c r="H657" i="15"/>
  <c r="H656" i="15" s="1"/>
  <c r="G657" i="15"/>
  <c r="G656" i="15" s="1"/>
  <c r="J628" i="4"/>
  <c r="G625" i="15"/>
  <c r="G624" i="15" s="1"/>
  <c r="G623" i="15" s="1"/>
  <c r="J557" i="4"/>
  <c r="J554" i="4"/>
  <c r="G439" i="4"/>
  <c r="D88" i="1" s="1"/>
  <c r="I398" i="15"/>
  <c r="G265" i="15"/>
  <c r="H265" i="15" s="1"/>
  <c r="H264" i="15" s="1"/>
  <c r="H263" i="15" s="1"/>
  <c r="G205" i="4"/>
  <c r="G211" i="15" s="1"/>
  <c r="G210" i="15" s="1"/>
  <c r="D137" i="1" l="1"/>
  <c r="E137" i="1" s="1"/>
  <c r="G264" i="15"/>
  <c r="G263" i="15" s="1"/>
  <c r="N304" i="4"/>
  <c r="C78" i="1"/>
  <c r="G1145" i="4" l="1"/>
  <c r="G893" i="5"/>
  <c r="D12" i="12"/>
  <c r="C12" i="12"/>
  <c r="G863" i="14"/>
  <c r="G862" i="14" s="1"/>
  <c r="G861" i="14" s="1"/>
  <c r="F863" i="14"/>
  <c r="F862" i="14" s="1"/>
  <c r="F861" i="14" s="1"/>
  <c r="F981" i="14"/>
  <c r="F980" i="14" s="1"/>
  <c r="G780" i="4"/>
  <c r="G777" i="4"/>
  <c r="G774" i="4"/>
  <c r="G621" i="4"/>
  <c r="G547" i="4"/>
  <c r="G38" i="15"/>
  <c r="F990" i="3"/>
  <c r="F993" i="3"/>
  <c r="F998" i="3"/>
  <c r="H473" i="15"/>
  <c r="H472" i="15" s="1"/>
  <c r="G485" i="15"/>
  <c r="G890" i="16" s="1"/>
  <c r="G480" i="15"/>
  <c r="H480" i="15" s="1"/>
  <c r="H479" i="15" s="1"/>
  <c r="H478" i="15" s="1"/>
  <c r="G477" i="15"/>
  <c r="H477" i="15" s="1"/>
  <c r="H476" i="15" s="1"/>
  <c r="G472" i="15"/>
  <c r="G478" i="4"/>
  <c r="G477" i="4" s="1"/>
  <c r="G473" i="4"/>
  <c r="G472" i="4" s="1"/>
  <c r="G470" i="4"/>
  <c r="G469" i="4"/>
  <c r="G468" i="4" s="1"/>
  <c r="G467" i="4"/>
  <c r="G466" i="4" s="1"/>
  <c r="G18" i="4"/>
  <c r="F113" i="14" s="1"/>
  <c r="F112" i="14" s="1"/>
  <c r="G981" i="14" l="1"/>
  <c r="G980" i="14" s="1"/>
  <c r="G475" i="15"/>
  <c r="H475" i="15" s="1"/>
  <c r="H474" i="15" s="1"/>
  <c r="H471" i="15" s="1"/>
  <c r="H470" i="15" s="1"/>
  <c r="H469" i="15" s="1"/>
  <c r="F988" i="3"/>
  <c r="G476" i="15"/>
  <c r="F986" i="3"/>
  <c r="G479" i="15"/>
  <c r="G478" i="15" s="1"/>
  <c r="G484" i="15"/>
  <c r="G483" i="15" s="1"/>
  <c r="G482" i="15" s="1"/>
  <c r="H485" i="15"/>
  <c r="G17" i="15"/>
  <c r="F985" i="14"/>
  <c r="G985" i="14"/>
  <c r="G463" i="4"/>
  <c r="G475" i="4"/>
  <c r="G476" i="4"/>
  <c r="G983" i="14" l="1"/>
  <c r="G982" i="14" s="1"/>
  <c r="F983" i="14"/>
  <c r="F982" i="14" s="1"/>
  <c r="G474" i="15"/>
  <c r="G471" i="15" s="1"/>
  <c r="G470" i="15" s="1"/>
  <c r="G469" i="15" s="1"/>
  <c r="G461" i="4"/>
  <c r="G1121" i="4" s="1"/>
  <c r="G481" i="15"/>
  <c r="H890" i="16"/>
  <c r="H484" i="15"/>
  <c r="H483" i="15" s="1"/>
  <c r="G468" i="15" l="1"/>
  <c r="G467" i="15" s="1"/>
  <c r="G1117" i="15" s="1"/>
  <c r="H482" i="15"/>
  <c r="H481" i="15"/>
  <c r="H468" i="15" s="1"/>
  <c r="H467" i="15" s="1"/>
  <c r="H1117" i="15" s="1"/>
  <c r="G124" i="14"/>
  <c r="G123" i="14" s="1"/>
  <c r="G126" i="14"/>
  <c r="G125" i="14" s="1"/>
  <c r="F126" i="14"/>
  <c r="F125" i="14" s="1"/>
  <c r="F124" i="14"/>
  <c r="F123" i="14" s="1"/>
  <c r="F127" i="3"/>
  <c r="F126" i="3" s="1"/>
  <c r="F129" i="3"/>
  <c r="F128" i="3" s="1"/>
  <c r="H102" i="15"/>
  <c r="H100" i="15"/>
  <c r="G102" i="15"/>
  <c r="G100" i="15"/>
  <c r="G97" i="4"/>
  <c r="G99" i="4"/>
  <c r="G96" i="4" l="1"/>
  <c r="G95" i="4" s="1"/>
  <c r="G94" i="4" s="1"/>
  <c r="G93" i="4" s="1"/>
  <c r="G99" i="15"/>
  <c r="G98" i="15" s="1"/>
  <c r="G97" i="15" s="1"/>
  <c r="G96" i="15" s="1"/>
  <c r="G122" i="14"/>
  <c r="G121" i="14" s="1"/>
  <c r="G120" i="14" s="1"/>
  <c r="G119" i="14" s="1"/>
  <c r="E15" i="13" s="1"/>
  <c r="F122" i="14"/>
  <c r="F121" i="14" s="1"/>
  <c r="F120" i="14" s="1"/>
  <c r="F119" i="14" s="1"/>
  <c r="D15" i="13" s="1"/>
  <c r="H99" i="15"/>
  <c r="H98" i="15" s="1"/>
  <c r="H97" i="15" s="1"/>
  <c r="H96" i="15" s="1"/>
  <c r="F125" i="3"/>
  <c r="F124" i="3" s="1"/>
  <c r="F123" i="3" s="1"/>
  <c r="F122" i="3" s="1"/>
  <c r="D15" i="2" s="1"/>
  <c r="G394" i="14"/>
  <c r="G393" i="14" s="1"/>
  <c r="G392" i="14" s="1"/>
  <c r="G391" i="14" s="1"/>
  <c r="G390" i="14" s="1"/>
  <c r="F394" i="14"/>
  <c r="F393" i="14" s="1"/>
  <c r="F392" i="14" s="1"/>
  <c r="F391" i="14" s="1"/>
  <c r="F390" i="14" s="1"/>
  <c r="F394" i="3"/>
  <c r="F393" i="3" s="1"/>
  <c r="F392" i="3" s="1"/>
  <c r="F391" i="3" s="1"/>
  <c r="F390" i="3" s="1"/>
  <c r="H938" i="16"/>
  <c r="H937" i="16" s="1"/>
  <c r="H936" i="16" s="1"/>
  <c r="H935" i="16" s="1"/>
  <c r="H934" i="16" s="1"/>
  <c r="H933" i="16" s="1"/>
  <c r="H932" i="16" s="1"/>
  <c r="H931" i="16" s="1"/>
  <c r="G938" i="16"/>
  <c r="G937" i="16" s="1"/>
  <c r="G936" i="16" s="1"/>
  <c r="G935" i="16" s="1"/>
  <c r="G934" i="16" s="1"/>
  <c r="G933" i="16" s="1"/>
  <c r="G932" i="16" s="1"/>
  <c r="G931" i="16" s="1"/>
  <c r="G941" i="5"/>
  <c r="G940" i="5" s="1"/>
  <c r="G939" i="5" s="1"/>
  <c r="G938" i="5" s="1"/>
  <c r="G937" i="5" s="1"/>
  <c r="G936" i="5" s="1"/>
  <c r="G935" i="5" s="1"/>
  <c r="G934" i="5" s="1"/>
  <c r="H950" i="15"/>
  <c r="H949" i="15" s="1"/>
  <c r="H948" i="15" s="1"/>
  <c r="H947" i="15" s="1"/>
  <c r="H1141" i="15" s="1"/>
  <c r="G950" i="15"/>
  <c r="G949" i="15" s="1"/>
  <c r="G948" i="15" s="1"/>
  <c r="G947" i="15" s="1"/>
  <c r="G1141" i="15" s="1"/>
  <c r="G954" i="4"/>
  <c r="G953" i="4" s="1"/>
  <c r="G952" i="4" s="1"/>
  <c r="G951" i="4" s="1"/>
  <c r="H444" i="15"/>
  <c r="H443" i="15" s="1"/>
  <c r="G444" i="15"/>
  <c r="G443" i="15" s="1"/>
  <c r="G507" i="4" l="1"/>
  <c r="G149" i="14" l="1"/>
  <c r="G148" i="14" s="1"/>
  <c r="G147" i="14" s="1"/>
  <c r="F149" i="14"/>
  <c r="F148" i="14" s="1"/>
  <c r="F147" i="14" s="1"/>
  <c r="H28" i="15"/>
  <c r="H27" i="15" s="1"/>
  <c r="H26" i="15" s="1"/>
  <c r="H25" i="15" s="1"/>
  <c r="H24" i="15" s="1"/>
  <c r="G28" i="15"/>
  <c r="G27" i="15" s="1"/>
  <c r="G26" i="15" s="1"/>
  <c r="G25" i="15" s="1"/>
  <c r="G24" i="15" s="1"/>
  <c r="G615" i="4" l="1"/>
  <c r="D79" i="1" l="1"/>
  <c r="G697" i="4"/>
  <c r="D80" i="12" l="1"/>
  <c r="C80" i="12"/>
  <c r="C80" i="1"/>
  <c r="D37" i="12"/>
  <c r="D35" i="12"/>
  <c r="C37" i="12"/>
  <c r="C35" i="12"/>
  <c r="C37" i="1"/>
  <c r="C35" i="1"/>
  <c r="D29" i="12"/>
  <c r="C29" i="12"/>
  <c r="C52" i="1"/>
  <c r="C49" i="1" s="1"/>
  <c r="C29" i="1"/>
  <c r="C25" i="1"/>
  <c r="C34" i="12" l="1"/>
  <c r="C34" i="1"/>
  <c r="D34" i="12"/>
  <c r="F270" i="14"/>
  <c r="F269" i="14" s="1"/>
  <c r="F268" i="14" s="1"/>
  <c r="C65" i="1"/>
  <c r="C67" i="1"/>
  <c r="C69" i="1"/>
  <c r="D64" i="12"/>
  <c r="D66" i="12"/>
  <c r="C66" i="12"/>
  <c r="D68" i="12"/>
  <c r="C68" i="12"/>
  <c r="C64" i="12"/>
  <c r="C124" i="12"/>
  <c r="D124" i="12" s="1"/>
  <c r="G53" i="4"/>
  <c r="G178" i="15"/>
  <c r="C137" i="12"/>
  <c r="D137" i="12" s="1"/>
  <c r="C136" i="12"/>
  <c r="D136" i="12" s="1"/>
  <c r="C127" i="12"/>
  <c r="D127" i="12" s="1"/>
  <c r="C123" i="12"/>
  <c r="D123" i="12" s="1"/>
  <c r="C122" i="12"/>
  <c r="D122" i="12" s="1"/>
  <c r="C121" i="12"/>
  <c r="D121" i="12" s="1"/>
  <c r="C120" i="12"/>
  <c r="D120" i="12" s="1"/>
  <c r="C118" i="12"/>
  <c r="D118" i="12" s="1"/>
  <c r="C117" i="12"/>
  <c r="D117" i="12" s="1"/>
  <c r="C116" i="12"/>
  <c r="D116" i="12" s="1"/>
  <c r="C115" i="12"/>
  <c r="D115" i="12" s="1"/>
  <c r="C114" i="12"/>
  <c r="D114" i="12" s="1"/>
  <c r="C113" i="12"/>
  <c r="D113" i="12" l="1"/>
  <c r="D63" i="12"/>
  <c r="D62" i="12" s="1"/>
  <c r="C63" i="12"/>
  <c r="C62" i="12" s="1"/>
  <c r="C64" i="1"/>
  <c r="C63" i="1" s="1"/>
  <c r="E18" i="13" l="1"/>
  <c r="E17" i="13"/>
  <c r="D17" i="12"/>
  <c r="D16" i="12" s="1"/>
  <c r="D24" i="12"/>
  <c r="C24" i="12"/>
  <c r="D56" i="12"/>
  <c r="D55" i="12" s="1"/>
  <c r="D140" i="12"/>
  <c r="D139" i="12" s="1"/>
  <c r="D138" i="12" s="1"/>
  <c r="C140" i="12"/>
  <c r="C139" i="12" s="1"/>
  <c r="C138" i="12" s="1"/>
  <c r="D130" i="12"/>
  <c r="C130" i="12"/>
  <c r="D107" i="12"/>
  <c r="C107" i="12"/>
  <c r="D102" i="12"/>
  <c r="D96" i="12" s="1"/>
  <c r="C102" i="12"/>
  <c r="C96" i="12" s="1"/>
  <c r="D93" i="12"/>
  <c r="C93" i="12"/>
  <c r="D89" i="12"/>
  <c r="C89" i="12"/>
  <c r="D87" i="12"/>
  <c r="C87" i="12"/>
  <c r="D77" i="12"/>
  <c r="C77" i="12"/>
  <c r="D71" i="12"/>
  <c r="D70" i="12" s="1"/>
  <c r="C71" i="12"/>
  <c r="C70" i="12" s="1"/>
  <c r="D60" i="12"/>
  <c r="C60" i="12"/>
  <c r="D58" i="12"/>
  <c r="C58" i="12"/>
  <c r="C55" i="12"/>
  <c r="C54" i="12"/>
  <c r="D49" i="12"/>
  <c r="D48" i="12" s="1"/>
  <c r="C49" i="12"/>
  <c r="C48" i="12" s="1"/>
  <c r="D46" i="12"/>
  <c r="C46" i="12"/>
  <c r="D44" i="12"/>
  <c r="C44" i="12"/>
  <c r="D40" i="12"/>
  <c r="D39" i="12" s="1"/>
  <c r="C40" i="12"/>
  <c r="C39" i="12" s="1"/>
  <c r="D32" i="12"/>
  <c r="C32" i="12"/>
  <c r="C31" i="12" s="1"/>
  <c r="D27" i="12"/>
  <c r="C27" i="12"/>
  <c r="C17" i="12"/>
  <c r="C16" i="12" s="1"/>
  <c r="D11" i="12"/>
  <c r="D10" i="12" s="1"/>
  <c r="C11" i="12"/>
  <c r="C10" i="12" s="1"/>
  <c r="H37" i="17"/>
  <c r="H36" i="17" s="1"/>
  <c r="H35" i="17" s="1"/>
  <c r="H34" i="17" s="1"/>
  <c r="H33" i="17" s="1"/>
  <c r="H929" i="16"/>
  <c r="H928" i="16" s="1"/>
  <c r="H927" i="16" s="1"/>
  <c r="H926" i="16" s="1"/>
  <c r="H925" i="16" s="1"/>
  <c r="H923" i="16" s="1"/>
  <c r="H921" i="16"/>
  <c r="H920" i="16" s="1"/>
  <c r="H919" i="16" s="1"/>
  <c r="H918" i="16" s="1"/>
  <c r="H917" i="16" s="1"/>
  <c r="H872" i="16"/>
  <c r="H871" i="16" s="1"/>
  <c r="H870" i="16" s="1"/>
  <c r="H847" i="16"/>
  <c r="H846" i="16" s="1"/>
  <c r="H845" i="16" s="1"/>
  <c r="H820" i="16"/>
  <c r="H818" i="16"/>
  <c r="H817" i="16" s="1"/>
  <c r="H762" i="16"/>
  <c r="H763" i="16" s="1"/>
  <c r="H679" i="16"/>
  <c r="H677" i="16"/>
  <c r="H676" i="16" s="1"/>
  <c r="H675" i="16" s="1"/>
  <c r="H674" i="16" s="1"/>
  <c r="H672" i="16"/>
  <c r="H673" i="16" s="1"/>
  <c r="H655" i="16"/>
  <c r="H656" i="16" s="1"/>
  <c r="G929" i="16"/>
  <c r="G921" i="16"/>
  <c r="G920" i="16" s="1"/>
  <c r="G919" i="16" s="1"/>
  <c r="G918" i="16" s="1"/>
  <c r="G917" i="16" s="1"/>
  <c r="G847" i="16"/>
  <c r="G846" i="16" s="1"/>
  <c r="G845" i="16" s="1"/>
  <c r="G818" i="16"/>
  <c r="G817" i="16" s="1"/>
  <c r="G762" i="16"/>
  <c r="G763" i="16" s="1"/>
  <c r="G672" i="16"/>
  <c r="G673" i="16" s="1"/>
  <c r="G655" i="16"/>
  <c r="G656" i="16" s="1"/>
  <c r="G22" i="16"/>
  <c r="G23" i="16" s="1"/>
  <c r="G928" i="16"/>
  <c r="G927" i="16" s="1"/>
  <c r="G926" i="16" s="1"/>
  <c r="G925" i="16" s="1"/>
  <c r="G872" i="16"/>
  <c r="G871" i="16" s="1"/>
  <c r="G870" i="16" s="1"/>
  <c r="G679" i="16"/>
  <c r="G677" i="16"/>
  <c r="G676" i="16" s="1"/>
  <c r="G675" i="16" s="1"/>
  <c r="G674" i="16" s="1"/>
  <c r="C82" i="12" l="1"/>
  <c r="D82" i="12"/>
  <c r="D57" i="12"/>
  <c r="D54" i="12"/>
  <c r="H761" i="16"/>
  <c r="H760" i="16" s="1"/>
  <c r="H759" i="16" s="1"/>
  <c r="H758" i="16" s="1"/>
  <c r="H757" i="16" s="1"/>
  <c r="G21" i="16"/>
  <c r="D43" i="12"/>
  <c r="D42" i="12" s="1"/>
  <c r="C43" i="12"/>
  <c r="C42" i="12" s="1"/>
  <c r="H915" i="16"/>
  <c r="H922" i="16" s="1"/>
  <c r="H916" i="16"/>
  <c r="G761" i="16"/>
  <c r="G760" i="16" s="1"/>
  <c r="G759" i="16" s="1"/>
  <c r="G758" i="16" s="1"/>
  <c r="G757" i="16" s="1"/>
  <c r="H671" i="16"/>
  <c r="H670" i="16" s="1"/>
  <c r="H669" i="16" s="1"/>
  <c r="H668" i="16" s="1"/>
  <c r="H848" i="16"/>
  <c r="H654" i="16"/>
  <c r="H653" i="16" s="1"/>
  <c r="H652" i="16" s="1"/>
  <c r="H651" i="16" s="1"/>
  <c r="C57" i="12"/>
  <c r="D75" i="12"/>
  <c r="D76" i="12"/>
  <c r="C75" i="12"/>
  <c r="C76" i="12"/>
  <c r="D26" i="12"/>
  <c r="D25" i="12" s="1"/>
  <c r="D23" i="12"/>
  <c r="D95" i="12"/>
  <c r="C26" i="12"/>
  <c r="C25" i="12" s="1"/>
  <c r="C23" i="12"/>
  <c r="C95" i="12"/>
  <c r="D31" i="12"/>
  <c r="H924" i="16"/>
  <c r="H930" i="16"/>
  <c r="G654" i="16"/>
  <c r="G653" i="16" s="1"/>
  <c r="G652" i="16" s="1"/>
  <c r="G651" i="16" s="1"/>
  <c r="G915" i="16"/>
  <c r="G922" i="16" s="1"/>
  <c r="G916" i="16"/>
  <c r="G923" i="16"/>
  <c r="G924" i="16"/>
  <c r="G671" i="16"/>
  <c r="G670" i="16" s="1"/>
  <c r="G669" i="16" s="1"/>
  <c r="G668" i="16" s="1"/>
  <c r="G820" i="16"/>
  <c r="G848" i="16"/>
  <c r="G214" i="14"/>
  <c r="F214" i="14"/>
  <c r="F213" i="14" s="1"/>
  <c r="F212" i="14" s="1"/>
  <c r="F211" i="14" s="1"/>
  <c r="F210" i="14" s="1"/>
  <c r="F267" i="14"/>
  <c r="H400" i="15"/>
  <c r="G400" i="15"/>
  <c r="F307" i="3"/>
  <c r="F306" i="3" s="1"/>
  <c r="F305" i="3" s="1"/>
  <c r="F304" i="3" s="1"/>
  <c r="G869" i="15"/>
  <c r="G276" i="15"/>
  <c r="F307" i="14" s="1"/>
  <c r="F306" i="14" s="1"/>
  <c r="F305" i="14" s="1"/>
  <c r="F304" i="14" s="1"/>
  <c r="G37" i="4"/>
  <c r="G193" i="4"/>
  <c r="G282" i="4"/>
  <c r="G290" i="4"/>
  <c r="G420" i="4"/>
  <c r="G491" i="4"/>
  <c r="G519" i="4"/>
  <c r="G651" i="4"/>
  <c r="G755" i="4"/>
  <c r="G806" i="4"/>
  <c r="G824" i="4"/>
  <c r="F42" i="12" l="1"/>
  <c r="E42" i="12"/>
  <c r="G146" i="16"/>
  <c r="H276" i="15"/>
  <c r="H275" i="15" s="1"/>
  <c r="H274" i="15" s="1"/>
  <c r="H273" i="15" s="1"/>
  <c r="C22" i="12"/>
  <c r="C21" i="12" s="1"/>
  <c r="E9" i="12" s="1"/>
  <c r="D22" i="12"/>
  <c r="D21" i="12" s="1"/>
  <c r="G930" i="16"/>
  <c r="G146" i="5"/>
  <c r="G147" i="5" s="1"/>
  <c r="G275" i="15"/>
  <c r="G274" i="15" s="1"/>
  <c r="G273" i="15" s="1"/>
  <c r="G269" i="4"/>
  <c r="G268" i="4" s="1"/>
  <c r="G267" i="4" s="1"/>
  <c r="F9" i="12" l="1"/>
  <c r="D9" i="12"/>
  <c r="H146" i="16"/>
  <c r="G307" i="14"/>
  <c r="G306" i="14" s="1"/>
  <c r="G305" i="14" s="1"/>
  <c r="G304" i="14" s="1"/>
  <c r="G145" i="16"/>
  <c r="G144" i="16" s="1"/>
  <c r="G143" i="16" s="1"/>
  <c r="G142" i="16" s="1"/>
  <c r="G141" i="16" s="1"/>
  <c r="G147" i="16"/>
  <c r="C9" i="12"/>
  <c r="G145" i="5"/>
  <c r="G144" i="5" s="1"/>
  <c r="G143" i="5" s="1"/>
  <c r="H147" i="16" l="1"/>
  <c r="H145" i="16"/>
  <c r="H144" i="16" s="1"/>
  <c r="H143" i="16" s="1"/>
  <c r="H142" i="16" s="1"/>
  <c r="H141" i="16" s="1"/>
  <c r="G142" i="5"/>
  <c r="G141" i="5" s="1"/>
  <c r="G815" i="14" l="1"/>
  <c r="G814" i="14" s="1"/>
  <c r="G813" i="14" s="1"/>
  <c r="G812" i="14" s="1"/>
  <c r="G811" i="14" s="1"/>
  <c r="F815" i="14"/>
  <c r="F814" i="14" s="1"/>
  <c r="F813" i="14" s="1"/>
  <c r="F812" i="14" s="1"/>
  <c r="F811" i="14" s="1"/>
  <c r="G478" i="14"/>
  <c r="G477" i="14" s="1"/>
  <c r="G476" i="14" s="1"/>
  <c r="G475" i="14" s="1"/>
  <c r="G474" i="14" s="1"/>
  <c r="F478" i="14"/>
  <c r="F477" i="14" s="1"/>
  <c r="F476" i="14" s="1"/>
  <c r="F475" i="14" s="1"/>
  <c r="F474" i="14" s="1"/>
  <c r="F478" i="3"/>
  <c r="F477" i="3" s="1"/>
  <c r="F476" i="3" s="1"/>
  <c r="F475" i="3" s="1"/>
  <c r="F474" i="3" s="1"/>
  <c r="G659" i="5" l="1"/>
  <c r="G658" i="5" s="1"/>
  <c r="G657" i="5" s="1"/>
  <c r="G656" i="5" s="1"/>
  <c r="G655" i="5" s="1"/>
  <c r="G654" i="5" s="1"/>
  <c r="H402" i="15"/>
  <c r="H401" i="15" s="1"/>
  <c r="H399" i="15" s="1"/>
  <c r="G402" i="15"/>
  <c r="G401" i="15" s="1"/>
  <c r="G399" i="15" s="1"/>
  <c r="H1034" i="15"/>
  <c r="H1033" i="15" s="1"/>
  <c r="H1032" i="15" s="1"/>
  <c r="H1031" i="15" s="1"/>
  <c r="G1034" i="15"/>
  <c r="G1033" i="15" s="1"/>
  <c r="G1032" i="15" s="1"/>
  <c r="G1031" i="15" s="1"/>
  <c r="G1038" i="4" l="1"/>
  <c r="G1037" i="4" s="1"/>
  <c r="G1036" i="4" s="1"/>
  <c r="G1035" i="4" s="1"/>
  <c r="G365" i="14"/>
  <c r="G364" i="14" s="1"/>
  <c r="G363" i="14" s="1"/>
  <c r="G362" i="14" s="1"/>
  <c r="F365" i="14"/>
  <c r="F364" i="14" s="1"/>
  <c r="F363" i="14" s="1"/>
  <c r="F362" i="14" s="1"/>
  <c r="G921" i="15"/>
  <c r="G920" i="15" s="1"/>
  <c r="G919" i="15" s="1"/>
  <c r="G209" i="14"/>
  <c r="G208" i="14" s="1"/>
  <c r="G207" i="14" s="1"/>
  <c r="G206" i="14" s="1"/>
  <c r="G205" i="14" s="1"/>
  <c r="F209" i="14"/>
  <c r="F208" i="14" s="1"/>
  <c r="F207" i="14" s="1"/>
  <c r="F206" i="14" s="1"/>
  <c r="F205" i="14" s="1"/>
  <c r="H127" i="15"/>
  <c r="H126" i="15" s="1"/>
  <c r="H125" i="15" s="1"/>
  <c r="H124" i="15" s="1"/>
  <c r="G127" i="15"/>
  <c r="G126" i="15" s="1"/>
  <c r="G125" i="15" s="1"/>
  <c r="G124" i="15" s="1"/>
  <c r="G932" i="5"/>
  <c r="H132" i="15"/>
  <c r="H131" i="15" s="1"/>
  <c r="G132" i="15"/>
  <c r="G131" i="15" s="1"/>
  <c r="G130" i="15" l="1"/>
  <c r="G129" i="15"/>
  <c r="H129" i="15"/>
  <c r="H130" i="15"/>
  <c r="H118" i="15"/>
  <c r="H117" i="15" s="1"/>
  <c r="H116" i="15" s="1"/>
  <c r="G118" i="15"/>
  <c r="G117" i="15" s="1"/>
  <c r="G116" i="15" s="1"/>
  <c r="F184" i="3"/>
  <c r="F183" i="3" s="1"/>
  <c r="F172" i="3"/>
  <c r="G815" i="5"/>
  <c r="G816" i="5" s="1"/>
  <c r="G818" i="5"/>
  <c r="G817" i="5" s="1"/>
  <c r="G762" i="15"/>
  <c r="G765" i="4"/>
  <c r="G764" i="4" s="1"/>
  <c r="G763" i="4" s="1"/>
  <c r="G762" i="4" s="1"/>
  <c r="H762" i="15" l="1"/>
  <c r="H815" i="16" s="1"/>
  <c r="G815" i="16"/>
  <c r="G819" i="5"/>
  <c r="G761" i="15"/>
  <c r="H761" i="15" s="1"/>
  <c r="G761" i="4"/>
  <c r="G760" i="15"/>
  <c r="F887" i="3"/>
  <c r="F886" i="3" s="1"/>
  <c r="F878" i="14" s="1"/>
  <c r="G878" i="14" s="1"/>
  <c r="F38" i="3"/>
  <c r="F19" i="3"/>
  <c r="D125" i="12"/>
  <c r="C131" i="1"/>
  <c r="H760" i="15" l="1"/>
  <c r="H759" i="15" s="1"/>
  <c r="H758" i="15" s="1"/>
  <c r="H757" i="15" s="1"/>
  <c r="H756" i="15" s="1"/>
  <c r="G759" i="15"/>
  <c r="G758" i="15" s="1"/>
  <c r="G757" i="15" s="1"/>
  <c r="G756" i="15" s="1"/>
  <c r="G814" i="16"/>
  <c r="G816" i="16"/>
  <c r="H816" i="16"/>
  <c r="H814" i="16"/>
  <c r="G760" i="4"/>
  <c r="F879" i="14"/>
  <c r="G879" i="14" s="1"/>
  <c r="C24" i="1" l="1"/>
  <c r="C23" i="1" s="1"/>
  <c r="C22" i="1" s="1"/>
  <c r="G108" i="4"/>
  <c r="G90" i="5" l="1"/>
  <c r="G89" i="5" s="1"/>
  <c r="G461" i="15"/>
  <c r="H461" i="15" l="1"/>
  <c r="G89" i="16"/>
  <c r="G32" i="17"/>
  <c r="G88" i="5"/>
  <c r="G90" i="16" l="1"/>
  <c r="G88" i="16"/>
  <c r="H89" i="16"/>
  <c r="H32" i="17"/>
  <c r="H31" i="17" s="1"/>
  <c r="H30" i="17" s="1"/>
  <c r="H29" i="17" s="1"/>
  <c r="H28" i="17" s="1"/>
  <c r="H27" i="17" s="1"/>
  <c r="G37" i="17"/>
  <c r="G36" i="17" s="1"/>
  <c r="G35" i="17" s="1"/>
  <c r="G34" i="17" s="1"/>
  <c r="G33" i="17" s="1"/>
  <c r="G40" i="6"/>
  <c r="G34" i="6"/>
  <c r="G33" i="6" s="1"/>
  <c r="H453" i="4"/>
  <c r="I453" i="4" s="1"/>
  <c r="H455" i="4"/>
  <c r="H454" i="4" s="1"/>
  <c r="G454" i="4"/>
  <c r="G460" i="15" s="1"/>
  <c r="H460" i="15" s="1"/>
  <c r="H88" i="16" l="1"/>
  <c r="H90" i="16"/>
  <c r="G31" i="17"/>
  <c r="G30" i="17" s="1"/>
  <c r="G29" i="17" s="1"/>
  <c r="G28" i="17" s="1"/>
  <c r="G27" i="17" s="1"/>
  <c r="I455" i="4"/>
  <c r="I454" i="4" s="1"/>
  <c r="G22" i="6" l="1"/>
  <c r="G21" i="6" s="1"/>
  <c r="G20" i="6" s="1"/>
  <c r="G19" i="6" s="1"/>
  <c r="G18" i="6" s="1"/>
  <c r="G17" i="6" s="1"/>
  <c r="G16" i="6"/>
  <c r="G15" i="6" s="1"/>
  <c r="F888" i="14" l="1"/>
  <c r="G888" i="14" s="1"/>
  <c r="F187" i="14"/>
  <c r="G187" i="14" s="1"/>
  <c r="F38" i="14"/>
  <c r="G38" i="14" s="1"/>
  <c r="F19" i="14"/>
  <c r="G19" i="14" s="1"/>
  <c r="D18" i="13" l="1"/>
  <c r="G1086" i="15"/>
  <c r="H1086" i="15" s="1"/>
  <c r="G1083" i="15"/>
  <c r="H1083" i="15" s="1"/>
  <c r="G1075" i="15"/>
  <c r="H1075" i="15" s="1"/>
  <c r="G1072" i="15"/>
  <c r="H1072" i="15" s="1"/>
  <c r="G1061" i="15"/>
  <c r="G1056" i="15"/>
  <c r="H1056" i="15" s="1"/>
  <c r="G1053" i="15"/>
  <c r="H1053" i="15" s="1"/>
  <c r="G1043" i="15"/>
  <c r="H1043" i="15" s="1"/>
  <c r="G1030" i="15"/>
  <c r="H1030" i="15" s="1"/>
  <c r="G1025" i="15"/>
  <c r="H1025" i="15" s="1"/>
  <c r="G1021" i="15"/>
  <c r="H1021" i="15" s="1"/>
  <c r="G1013" i="15"/>
  <c r="H1013" i="15" s="1"/>
  <c r="G1008" i="15"/>
  <c r="H1008" i="15" s="1"/>
  <c r="G1006" i="15"/>
  <c r="H1006" i="15" s="1"/>
  <c r="G992" i="15"/>
  <c r="G985" i="15"/>
  <c r="G982" i="15"/>
  <c r="G977" i="15"/>
  <c r="G988" i="15"/>
  <c r="G972" i="15"/>
  <c r="G968" i="15"/>
  <c r="G963" i="15"/>
  <c r="G957" i="15"/>
  <c r="H957" i="15" s="1"/>
  <c r="G946" i="15"/>
  <c r="G942" i="15"/>
  <c r="G938" i="15"/>
  <c r="G917" i="15"/>
  <c r="H917" i="15" s="1"/>
  <c r="G914" i="15"/>
  <c r="H914" i="15" s="1"/>
  <c r="G912" i="15"/>
  <c r="H912" i="15" s="1"/>
  <c r="G909" i="15"/>
  <c r="H909" i="15" s="1"/>
  <c r="G906" i="15"/>
  <c r="H906" i="15" s="1"/>
  <c r="G904" i="15"/>
  <c r="H904" i="15" s="1"/>
  <c r="G900" i="15"/>
  <c r="H900" i="15" s="1"/>
  <c r="G898" i="15"/>
  <c r="G895" i="15"/>
  <c r="H895" i="15" s="1"/>
  <c r="G893" i="15"/>
  <c r="H893" i="15" s="1"/>
  <c r="G270" i="14"/>
  <c r="G269" i="14" s="1"/>
  <c r="G268" i="14" s="1"/>
  <c r="G866" i="15"/>
  <c r="G853" i="15"/>
  <c r="H853" i="15" s="1"/>
  <c r="G839" i="15"/>
  <c r="H839" i="15" s="1"/>
  <c r="G823" i="15"/>
  <c r="H823" i="15" s="1"/>
  <c r="G811" i="15"/>
  <c r="H811" i="15" s="1"/>
  <c r="G790" i="15"/>
  <c r="G786" i="15"/>
  <c r="G783" i="15"/>
  <c r="G780" i="15"/>
  <c r="G776" i="15"/>
  <c r="G773" i="15"/>
  <c r="G770" i="15"/>
  <c r="G754" i="15"/>
  <c r="H754" i="15" s="1"/>
  <c r="G738" i="15"/>
  <c r="H738" i="15" s="1"/>
  <c r="G717" i="15"/>
  <c r="G708" i="15"/>
  <c r="H708" i="15" s="1"/>
  <c r="G697" i="15"/>
  <c r="G686" i="15"/>
  <c r="G681" i="15"/>
  <c r="G666" i="16" s="1"/>
  <c r="G676" i="15"/>
  <c r="G669" i="15"/>
  <c r="G648" i="15"/>
  <c r="G634" i="15"/>
  <c r="G628" i="15"/>
  <c r="G621" i="15"/>
  <c r="G618" i="15"/>
  <c r="G615" i="15"/>
  <c r="G608" i="15"/>
  <c r="G596" i="15"/>
  <c r="G661" i="16" s="1"/>
  <c r="G591" i="15"/>
  <c r="G588" i="15"/>
  <c r="G578" i="15"/>
  <c r="G574" i="15"/>
  <c r="G571" i="15"/>
  <c r="G560" i="15"/>
  <c r="G554" i="15"/>
  <c r="G550" i="15"/>
  <c r="G547" i="15"/>
  <c r="G539" i="15"/>
  <c r="G536" i="15"/>
  <c r="G812" i="16" s="1"/>
  <c r="G513" i="15"/>
  <c r="H513" i="15" s="1"/>
  <c r="G500" i="15"/>
  <c r="H500" i="15" s="1"/>
  <c r="G466" i="15"/>
  <c r="G459" i="15"/>
  <c r="G450" i="15"/>
  <c r="G431" i="15"/>
  <c r="H431" i="15" s="1"/>
  <c r="G428" i="15"/>
  <c r="H428" i="15" s="1"/>
  <c r="G426" i="15"/>
  <c r="H426" i="15" s="1"/>
  <c r="G424" i="15"/>
  <c r="H424" i="15" s="1"/>
  <c r="G419" i="15"/>
  <c r="H419" i="15" s="1"/>
  <c r="G416" i="15"/>
  <c r="H416" i="15" s="1"/>
  <c r="G414" i="15"/>
  <c r="H414" i="15" s="1"/>
  <c r="G408" i="15"/>
  <c r="G398" i="15"/>
  <c r="G395" i="15"/>
  <c r="G391" i="15"/>
  <c r="G388" i="15"/>
  <c r="G384" i="15"/>
  <c r="G380" i="15"/>
  <c r="G376" i="15"/>
  <c r="G374" i="15"/>
  <c r="G363" i="15"/>
  <c r="G359" i="15"/>
  <c r="G355" i="15"/>
  <c r="G353" i="15"/>
  <c r="G349" i="15"/>
  <c r="G347" i="15"/>
  <c r="G337" i="15"/>
  <c r="G333" i="15"/>
  <c r="G327" i="15"/>
  <c r="G324" i="15"/>
  <c r="G317" i="15"/>
  <c r="G302" i="15"/>
  <c r="G296" i="15"/>
  <c r="G292" i="15"/>
  <c r="G288" i="15"/>
  <c r="G286" i="15"/>
  <c r="G284" i="15"/>
  <c r="G272" i="15"/>
  <c r="G269" i="15"/>
  <c r="G262" i="15"/>
  <c r="G258" i="15"/>
  <c r="G255" i="15"/>
  <c r="G247" i="15"/>
  <c r="G242" i="15"/>
  <c r="G239" i="15"/>
  <c r="G236" i="15"/>
  <c r="G233" i="15"/>
  <c r="G230" i="15"/>
  <c r="H230" i="15" s="1"/>
  <c r="G225" i="15"/>
  <c r="G202" i="15"/>
  <c r="G196" i="15"/>
  <c r="H196" i="15" s="1"/>
  <c r="G189" i="15"/>
  <c r="G186" i="15"/>
  <c r="G173" i="15"/>
  <c r="G166" i="15"/>
  <c r="G159" i="15"/>
  <c r="H159" i="15" s="1"/>
  <c r="G147" i="15"/>
  <c r="H147" i="15" s="1"/>
  <c r="G140" i="15"/>
  <c r="H140" i="15" s="1"/>
  <c r="G123" i="15"/>
  <c r="G114" i="15"/>
  <c r="H114" i="15" s="1"/>
  <c r="G95" i="15"/>
  <c r="H95" i="15" s="1"/>
  <c r="G92" i="15"/>
  <c r="H92" i="15" s="1"/>
  <c r="G86" i="15"/>
  <c r="G83" i="15"/>
  <c r="G77" i="15"/>
  <c r="G49" i="15"/>
  <c r="H49" i="15" s="1"/>
  <c r="G41" i="15"/>
  <c r="H41" i="15" s="1"/>
  <c r="G23" i="15"/>
  <c r="H23" i="15" s="1"/>
  <c r="G20" i="15"/>
  <c r="H20" i="15" s="1"/>
  <c r="H18" i="15"/>
  <c r="G113" i="14" l="1"/>
  <c r="G112" i="14" s="1"/>
  <c r="H17" i="15"/>
  <c r="F341" i="14"/>
  <c r="F340" i="14" s="1"/>
  <c r="F339" i="14" s="1"/>
  <c r="H898" i="15"/>
  <c r="H83" i="15"/>
  <c r="H421" i="16" s="1"/>
  <c r="G421" i="16"/>
  <c r="H242" i="15"/>
  <c r="H839" i="16" s="1"/>
  <c r="G839" i="16"/>
  <c r="H327" i="15"/>
  <c r="H38" i="16" s="1"/>
  <c r="H39" i="16" s="1"/>
  <c r="G38" i="16"/>
  <c r="H634" i="15"/>
  <c r="H225" i="16" s="1"/>
  <c r="G225" i="16"/>
  <c r="H717" i="15"/>
  <c r="H868" i="16" s="1"/>
  <c r="G868" i="16"/>
  <c r="H786" i="15"/>
  <c r="H469" i="16" s="1"/>
  <c r="G469" i="16"/>
  <c r="H972" i="15"/>
  <c r="H701" i="16" s="1"/>
  <c r="G701" i="16"/>
  <c r="H123" i="15"/>
  <c r="H897" i="16" s="1"/>
  <c r="G897" i="16"/>
  <c r="H166" i="15"/>
  <c r="H743" i="16" s="1"/>
  <c r="G743" i="16"/>
  <c r="H233" i="15"/>
  <c r="H823" i="16" s="1"/>
  <c r="G823" i="16"/>
  <c r="H302" i="15"/>
  <c r="H632" i="16" s="1"/>
  <c r="G632" i="16"/>
  <c r="H333" i="15"/>
  <c r="H48" i="16" s="1"/>
  <c r="G48" i="16"/>
  <c r="H374" i="15"/>
  <c r="H555" i="16" s="1"/>
  <c r="G555" i="16"/>
  <c r="H408" i="15"/>
  <c r="H878" i="16" s="1"/>
  <c r="G878" i="16"/>
  <c r="H686" i="15"/>
  <c r="H863" i="16" s="1"/>
  <c r="G863" i="16"/>
  <c r="H992" i="15"/>
  <c r="H731" i="16" s="1"/>
  <c r="G731" i="16"/>
  <c r="H173" i="15"/>
  <c r="H754" i="16" s="1"/>
  <c r="G754" i="16"/>
  <c r="H236" i="15"/>
  <c r="H827" i="16" s="1"/>
  <c r="G827" i="16"/>
  <c r="H288" i="15"/>
  <c r="H608" i="16" s="1"/>
  <c r="G608" i="16"/>
  <c r="H317" i="15"/>
  <c r="H873" i="16" s="1"/>
  <c r="G873" i="16"/>
  <c r="H391" i="15"/>
  <c r="H583" i="16" s="1"/>
  <c r="G583" i="16"/>
  <c r="H77" i="15"/>
  <c r="H411" i="16" s="1"/>
  <c r="G411" i="16"/>
  <c r="H186" i="15"/>
  <c r="H383" i="16" s="1"/>
  <c r="G383" i="16"/>
  <c r="H292" i="15"/>
  <c r="H615" i="16" s="1"/>
  <c r="G615" i="16"/>
  <c r="H324" i="15"/>
  <c r="H34" i="16" s="1"/>
  <c r="G34" i="16"/>
  <c r="H347" i="15"/>
  <c r="H510" i="16" s="1"/>
  <c r="G510" i="16"/>
  <c r="H359" i="15"/>
  <c r="H530" i="16" s="1"/>
  <c r="G530" i="16"/>
  <c r="H380" i="15"/>
  <c r="H565" i="16" s="1"/>
  <c r="G565" i="16"/>
  <c r="H395" i="15"/>
  <c r="H590" i="16" s="1"/>
  <c r="G590" i="16"/>
  <c r="H466" i="15"/>
  <c r="G38" i="17"/>
  <c r="G97" i="16"/>
  <c r="H588" i="15"/>
  <c r="H280" i="16" s="1"/>
  <c r="G280" i="16"/>
  <c r="H628" i="15"/>
  <c r="H217" i="16" s="1"/>
  <c r="G217" i="16"/>
  <c r="H676" i="15"/>
  <c r="H355" i="16" s="1"/>
  <c r="G355" i="16"/>
  <c r="H982" i="15"/>
  <c r="H716" i="16" s="1"/>
  <c r="G716" i="16"/>
  <c r="H262" i="15"/>
  <c r="H124" i="16" s="1"/>
  <c r="G124" i="16"/>
  <c r="H296" i="15"/>
  <c r="H622" i="16" s="1"/>
  <c r="G622" i="16"/>
  <c r="H349" i="15"/>
  <c r="H513" i="16" s="1"/>
  <c r="G513" i="16"/>
  <c r="H384" i="15"/>
  <c r="H572" i="16" s="1"/>
  <c r="G572" i="16"/>
  <c r="H591" i="15"/>
  <c r="H284" i="16" s="1"/>
  <c r="G284" i="16"/>
  <c r="H1061" i="15"/>
  <c r="H402" i="16" s="1"/>
  <c r="G402" i="16"/>
  <c r="H86" i="15"/>
  <c r="H425" i="16" s="1"/>
  <c r="G425" i="16"/>
  <c r="G851" i="16"/>
  <c r="F195" i="14"/>
  <c r="F194" i="14" s="1"/>
  <c r="F193" i="14" s="1"/>
  <c r="F192" i="14" s="1"/>
  <c r="H286" i="15"/>
  <c r="H605" i="16" s="1"/>
  <c r="G605" i="16"/>
  <c r="H388" i="15"/>
  <c r="H579" i="16" s="1"/>
  <c r="G579" i="16"/>
  <c r="H450" i="15"/>
  <c r="G71" i="16"/>
  <c r="G20" i="17"/>
  <c r="G19" i="17" s="1"/>
  <c r="G18" i="17" s="1"/>
  <c r="G17" i="17" s="1"/>
  <c r="G16" i="17" s="1"/>
  <c r="G15" i="17" s="1"/>
  <c r="H574" i="15"/>
  <c r="H258" i="16" s="1"/>
  <c r="G258" i="16"/>
  <c r="H988" i="15"/>
  <c r="H724" i="16" s="1"/>
  <c r="G724" i="16"/>
  <c r="H202" i="15"/>
  <c r="H433" i="16" s="1"/>
  <c r="G433" i="16"/>
  <c r="H337" i="15"/>
  <c r="G55" i="16"/>
  <c r="G14" i="17"/>
  <c r="G13" i="17" s="1"/>
  <c r="G12" i="17" s="1"/>
  <c r="G11" i="17" s="1"/>
  <c r="G10" i="17" s="1"/>
  <c r="G9" i="17" s="1"/>
  <c r="H376" i="15"/>
  <c r="H558" i="16" s="1"/>
  <c r="G558" i="16"/>
  <c r="H459" i="15"/>
  <c r="H86" i="16" s="1"/>
  <c r="G86" i="16"/>
  <c r="G813" i="16"/>
  <c r="G811" i="16"/>
  <c r="G810" i="16" s="1"/>
  <c r="H554" i="15"/>
  <c r="H196" i="16" s="1"/>
  <c r="G196" i="16"/>
  <c r="H608" i="15"/>
  <c r="H858" i="16" s="1"/>
  <c r="G858" i="16"/>
  <c r="H697" i="15"/>
  <c r="H234" i="16" s="1"/>
  <c r="G234" i="16"/>
  <c r="H963" i="15"/>
  <c r="H687" i="16" s="1"/>
  <c r="G687" i="16"/>
  <c r="H977" i="15"/>
  <c r="H709" i="16" s="1"/>
  <c r="G709" i="16"/>
  <c r="H995" i="15"/>
  <c r="H735" i="16" s="1"/>
  <c r="G735" i="16"/>
  <c r="H539" i="15"/>
  <c r="H835" i="16" s="1"/>
  <c r="H834" i="16" s="1"/>
  <c r="H833" i="16" s="1"/>
  <c r="G835" i="16"/>
  <c r="H189" i="15"/>
  <c r="H387" i="16" s="1"/>
  <c r="G387" i="16"/>
  <c r="H225" i="15"/>
  <c r="H158" i="16" s="1"/>
  <c r="G158" i="16"/>
  <c r="H239" i="15"/>
  <c r="H831" i="16" s="1"/>
  <c r="G831" i="16"/>
  <c r="H255" i="15"/>
  <c r="H113" i="16" s="1"/>
  <c r="H114" i="16" s="1"/>
  <c r="G113" i="16"/>
  <c r="H258" i="15"/>
  <c r="H117" i="16" s="1"/>
  <c r="H118" i="16" s="1"/>
  <c r="G117" i="16"/>
  <c r="H272" i="15"/>
  <c r="H139" i="16" s="1"/>
  <c r="H138" i="16" s="1"/>
  <c r="H137" i="16" s="1"/>
  <c r="G139" i="16"/>
  <c r="H128" i="16"/>
  <c r="H127" i="16" s="1"/>
  <c r="H126" i="16" s="1"/>
  <c r="G128" i="16"/>
  <c r="H269" i="15"/>
  <c r="H135" i="16" s="1"/>
  <c r="H136" i="16" s="1"/>
  <c r="G135" i="16"/>
  <c r="H571" i="15"/>
  <c r="H254" i="16" s="1"/>
  <c r="H255" i="16" s="1"/>
  <c r="G254" i="16"/>
  <c r="H578" i="15"/>
  <c r="H265" i="16" s="1"/>
  <c r="H266" i="16" s="1"/>
  <c r="G265" i="16"/>
  <c r="G660" i="16"/>
  <c r="G659" i="16" s="1"/>
  <c r="G658" i="16" s="1"/>
  <c r="G662" i="16"/>
  <c r="H648" i="15"/>
  <c r="H311" i="16" s="1"/>
  <c r="H310" i="16" s="1"/>
  <c r="H309" i="16" s="1"/>
  <c r="G311" i="16"/>
  <c r="H669" i="15"/>
  <c r="H344" i="16" s="1"/>
  <c r="G344" i="16"/>
  <c r="G665" i="16"/>
  <c r="G664" i="16" s="1"/>
  <c r="G663" i="16" s="1"/>
  <c r="G667" i="16"/>
  <c r="H790" i="15"/>
  <c r="H476" i="16" s="1"/>
  <c r="H475" i="16" s="1"/>
  <c r="H474" i="16" s="1"/>
  <c r="G476" i="16"/>
  <c r="H783" i="15"/>
  <c r="H465" i="16" s="1"/>
  <c r="H464" i="16" s="1"/>
  <c r="H463" i="16" s="1"/>
  <c r="G465" i="16"/>
  <c r="H780" i="15"/>
  <c r="H461" i="16" s="1"/>
  <c r="H460" i="16" s="1"/>
  <c r="H459" i="16" s="1"/>
  <c r="G461" i="16"/>
  <c r="H866" i="15"/>
  <c r="H15" i="16" s="1"/>
  <c r="H14" i="16" s="1"/>
  <c r="H13" i="16" s="1"/>
  <c r="G15" i="16"/>
  <c r="H942" i="15"/>
  <c r="H797" i="16" s="1"/>
  <c r="H798" i="16" s="1"/>
  <c r="G797" i="16"/>
  <c r="H938" i="15"/>
  <c r="H790" i="16" s="1"/>
  <c r="H789" i="16" s="1"/>
  <c r="H788" i="16" s="1"/>
  <c r="H787" i="16" s="1"/>
  <c r="H786" i="16" s="1"/>
  <c r="H785" i="16" s="1"/>
  <c r="G790" i="16"/>
  <c r="H946" i="15"/>
  <c r="H804" i="16" s="1"/>
  <c r="H805" i="16" s="1"/>
  <c r="G804" i="16"/>
  <c r="H985" i="15"/>
  <c r="H720" i="16" s="1"/>
  <c r="G720" i="16"/>
  <c r="H968" i="15"/>
  <c r="H694" i="16" s="1"/>
  <c r="H695" i="16" s="1"/>
  <c r="G694" i="16"/>
  <c r="H398" i="15"/>
  <c r="H594" i="16" s="1"/>
  <c r="G594" i="16"/>
  <c r="H363" i="15"/>
  <c r="H537" i="16" s="1"/>
  <c r="H538" i="16" s="1"/>
  <c r="G537" i="16"/>
  <c r="H621" i="15"/>
  <c r="H184" i="16" s="1"/>
  <c r="G184" i="16"/>
  <c r="H618" i="15"/>
  <c r="H180" i="16" s="1"/>
  <c r="G180" i="16"/>
  <c r="H615" i="15"/>
  <c r="H176" i="16" s="1"/>
  <c r="G176" i="16"/>
  <c r="H547" i="15"/>
  <c r="H167" i="16" s="1"/>
  <c r="G167" i="16"/>
  <c r="H550" i="15"/>
  <c r="H171" i="16" s="1"/>
  <c r="G171" i="16"/>
  <c r="H776" i="15"/>
  <c r="H454" i="16" s="1"/>
  <c r="G454" i="16"/>
  <c r="H773" i="15"/>
  <c r="H450" i="16" s="1"/>
  <c r="G450" i="16"/>
  <c r="H770" i="15"/>
  <c r="H446" i="16" s="1"/>
  <c r="G446" i="16"/>
  <c r="H625" i="15"/>
  <c r="G213" i="16"/>
  <c r="H560" i="15"/>
  <c r="H204" i="16" s="1"/>
  <c r="G204" i="16"/>
  <c r="H22" i="16"/>
  <c r="H869" i="15"/>
  <c r="H355" i="15"/>
  <c r="H523" i="16" s="1"/>
  <c r="G523" i="16"/>
  <c r="H353" i="15"/>
  <c r="H520" i="16" s="1"/>
  <c r="G520" i="16"/>
  <c r="H284" i="15"/>
  <c r="H602" i="16" s="1"/>
  <c r="G602" i="16"/>
  <c r="H681" i="15"/>
  <c r="H666" i="16" s="1"/>
  <c r="H596" i="15"/>
  <c r="H661" i="16" s="1"/>
  <c r="H247" i="15"/>
  <c r="H536" i="15"/>
  <c r="H812" i="16" s="1"/>
  <c r="G854" i="5"/>
  <c r="G838" i="5"/>
  <c r="G704" i="5"/>
  <c r="G682" i="5"/>
  <c r="H213" i="16" l="1"/>
  <c r="H212" i="16" s="1"/>
  <c r="H211" i="16" s="1"/>
  <c r="H624" i="15"/>
  <c r="H623" i="15" s="1"/>
  <c r="G341" i="14"/>
  <c r="G340" i="14" s="1"/>
  <c r="G339" i="14" s="1"/>
  <c r="H897" i="15"/>
  <c r="H896" i="15" s="1"/>
  <c r="H37" i="16"/>
  <c r="H36" i="16" s="1"/>
  <c r="H253" i="16"/>
  <c r="H252" i="16" s="1"/>
  <c r="H116" i="16"/>
  <c r="H115" i="16" s="1"/>
  <c r="H693" i="16"/>
  <c r="G657" i="16"/>
  <c r="G650" i="16" s="1"/>
  <c r="G649" i="16" s="1"/>
  <c r="H477" i="16"/>
  <c r="H134" i="16"/>
  <c r="H133" i="16" s="1"/>
  <c r="H132" i="16" s="1"/>
  <c r="H131" i="16" s="1"/>
  <c r="H264" i="16"/>
  <c r="H263" i="16" s="1"/>
  <c r="H16" i="16"/>
  <c r="H112" i="16"/>
  <c r="H111" i="16" s="1"/>
  <c r="H836" i="16"/>
  <c r="H466" i="16"/>
  <c r="H796" i="16"/>
  <c r="H795" i="16" s="1"/>
  <c r="H794" i="16" s="1"/>
  <c r="H793" i="16" s="1"/>
  <c r="H792" i="16" s="1"/>
  <c r="H195" i="16"/>
  <c r="H194" i="16" s="1"/>
  <c r="H197" i="16"/>
  <c r="G850" i="16"/>
  <c r="G849" i="16" s="1"/>
  <c r="G844" i="16" s="1"/>
  <c r="G843" i="16" s="1"/>
  <c r="G842" i="16" s="1"/>
  <c r="G852" i="16"/>
  <c r="H573" i="16"/>
  <c r="H571" i="16"/>
  <c r="H570" i="16" s="1"/>
  <c r="H717" i="16"/>
  <c r="H715" i="16"/>
  <c r="G509" i="16"/>
  <c r="G511" i="16"/>
  <c r="G410" i="16"/>
  <c r="G412" i="16"/>
  <c r="G826" i="16"/>
  <c r="G825" i="16" s="1"/>
  <c r="G828" i="16"/>
  <c r="G879" i="16"/>
  <c r="G877" i="16"/>
  <c r="G876" i="16" s="1"/>
  <c r="G875" i="16" s="1"/>
  <c r="G874" i="16" s="1"/>
  <c r="G822" i="16"/>
  <c r="G821" i="16" s="1"/>
  <c r="G824" i="16"/>
  <c r="G226" i="16"/>
  <c r="G224" i="16"/>
  <c r="G223" i="16" s="1"/>
  <c r="H55" i="16"/>
  <c r="H14" i="17"/>
  <c r="H13" i="17" s="1"/>
  <c r="H12" i="17" s="1"/>
  <c r="H11" i="17" s="1"/>
  <c r="H10" i="17" s="1"/>
  <c r="H9" i="17" s="1"/>
  <c r="G70" i="16"/>
  <c r="G69" i="16" s="1"/>
  <c r="G68" i="16" s="1"/>
  <c r="G67" i="16" s="1"/>
  <c r="G72" i="16"/>
  <c r="G285" i="16"/>
  <c r="G283" i="16"/>
  <c r="G282" i="16" s="1"/>
  <c r="G125" i="16"/>
  <c r="G123" i="16"/>
  <c r="G122" i="16" s="1"/>
  <c r="G281" i="16"/>
  <c r="G279" i="16"/>
  <c r="G278" i="16" s="1"/>
  <c r="H38" i="17"/>
  <c r="H97" i="16"/>
  <c r="H511" i="16"/>
  <c r="H509" i="16"/>
  <c r="H410" i="16"/>
  <c r="H412" i="16"/>
  <c r="H730" i="16"/>
  <c r="H729" i="16" s="1"/>
  <c r="H732" i="16"/>
  <c r="H879" i="16"/>
  <c r="H877" i="16"/>
  <c r="H876" i="16" s="1"/>
  <c r="H875" i="16" s="1"/>
  <c r="H874" i="16" s="1"/>
  <c r="H49" i="16"/>
  <c r="H47" i="16"/>
  <c r="H822" i="16"/>
  <c r="H821" i="16" s="1"/>
  <c r="H824" i="16"/>
  <c r="H898" i="16"/>
  <c r="H896" i="16"/>
  <c r="H895" i="16" s="1"/>
  <c r="H894" i="16" s="1"/>
  <c r="H893" i="16" s="1"/>
  <c r="H892" i="16" s="1"/>
  <c r="H226" i="16"/>
  <c r="H224" i="16"/>
  <c r="H223" i="16" s="1"/>
  <c r="H838" i="16"/>
  <c r="H837" i="16" s="1"/>
  <c r="H840" i="16"/>
  <c r="H312" i="16"/>
  <c r="H791" i="16"/>
  <c r="H734" i="16"/>
  <c r="H733" i="16" s="1"/>
  <c r="H736" i="16"/>
  <c r="H688" i="16"/>
  <c r="H686" i="16"/>
  <c r="H685" i="16" s="1"/>
  <c r="H859" i="16"/>
  <c r="H857" i="16"/>
  <c r="H856" i="16" s="1"/>
  <c r="H855" i="16" s="1"/>
  <c r="H559" i="16"/>
  <c r="H557" i="16"/>
  <c r="G432" i="16"/>
  <c r="G431" i="16" s="1"/>
  <c r="G434" i="16"/>
  <c r="G259" i="16"/>
  <c r="G257" i="16"/>
  <c r="G256" i="16" s="1"/>
  <c r="H20" i="17"/>
  <c r="H19" i="17" s="1"/>
  <c r="H18" i="17" s="1"/>
  <c r="H17" i="17" s="1"/>
  <c r="H16" i="17" s="1"/>
  <c r="H15" i="17" s="1"/>
  <c r="H71" i="16"/>
  <c r="H604" i="16"/>
  <c r="H606" i="16"/>
  <c r="H424" i="16"/>
  <c r="H423" i="16" s="1"/>
  <c r="H426" i="16"/>
  <c r="H283" i="16"/>
  <c r="H282" i="16" s="1"/>
  <c r="H285" i="16"/>
  <c r="H514" i="16"/>
  <c r="H512" i="16"/>
  <c r="H125" i="16"/>
  <c r="H123" i="16"/>
  <c r="H122" i="16" s="1"/>
  <c r="H119" i="16" s="1"/>
  <c r="H354" i="16"/>
  <c r="H353" i="16" s="1"/>
  <c r="H356" i="16"/>
  <c r="H279" i="16"/>
  <c r="H278" i="16" s="1"/>
  <c r="H277" i="16" s="1"/>
  <c r="H276" i="16" s="1"/>
  <c r="H275" i="16" s="1"/>
  <c r="H281" i="16"/>
  <c r="G591" i="16"/>
  <c r="G589" i="16"/>
  <c r="G588" i="16" s="1"/>
  <c r="G529" i="16"/>
  <c r="G528" i="16" s="1"/>
  <c r="G525" i="16" s="1"/>
  <c r="G531" i="16"/>
  <c r="G35" i="16"/>
  <c r="G33" i="16"/>
  <c r="G32" i="16" s="1"/>
  <c r="G382" i="16"/>
  <c r="G381" i="16" s="1"/>
  <c r="G384" i="16"/>
  <c r="G582" i="16"/>
  <c r="G581" i="16" s="1"/>
  <c r="G584" i="16"/>
  <c r="G607" i="16"/>
  <c r="G609" i="16"/>
  <c r="G755" i="16"/>
  <c r="G753" i="16"/>
  <c r="G752" i="16" s="1"/>
  <c r="G751" i="16" s="1"/>
  <c r="G750" i="16" s="1"/>
  <c r="G749" i="16" s="1"/>
  <c r="G862" i="16"/>
  <c r="G861" i="16" s="1"/>
  <c r="G860" i="16" s="1"/>
  <c r="G864" i="16"/>
  <c r="G554" i="16"/>
  <c r="G556" i="16"/>
  <c r="G631" i="16"/>
  <c r="G630" i="16" s="1"/>
  <c r="G633" i="16"/>
  <c r="G742" i="16"/>
  <c r="G741" i="16" s="1"/>
  <c r="G744" i="16"/>
  <c r="G702" i="16"/>
  <c r="G700" i="16"/>
  <c r="G699" i="16" s="1"/>
  <c r="G869" i="16"/>
  <c r="G867" i="16"/>
  <c r="G866" i="16" s="1"/>
  <c r="G865" i="16" s="1"/>
  <c r="G37" i="16"/>
  <c r="G36" i="16" s="1"/>
  <c r="G39" i="16"/>
  <c r="G420" i="16"/>
  <c r="G419" i="16" s="1"/>
  <c r="G422" i="16"/>
  <c r="H851" i="16"/>
  <c r="G195" i="14"/>
  <c r="H710" i="16"/>
  <c r="H708" i="16"/>
  <c r="H707" i="16" s="1"/>
  <c r="H235" i="16"/>
  <c r="H233" i="16"/>
  <c r="H232" i="16" s="1"/>
  <c r="H85" i="16"/>
  <c r="H84" i="16" s="1"/>
  <c r="H87" i="16"/>
  <c r="G54" i="16"/>
  <c r="G53" i="16" s="1"/>
  <c r="G56" i="16"/>
  <c r="G725" i="16"/>
  <c r="G723" i="16"/>
  <c r="G722" i="16" s="1"/>
  <c r="H580" i="16"/>
  <c r="H578" i="16"/>
  <c r="H577" i="16" s="1"/>
  <c r="H401" i="16"/>
  <c r="H400" i="16" s="1"/>
  <c r="H403" i="16"/>
  <c r="H623" i="16"/>
  <c r="H621" i="16"/>
  <c r="H218" i="16"/>
  <c r="H216" i="16"/>
  <c r="H215" i="16" s="1"/>
  <c r="G566" i="16"/>
  <c r="G564" i="16"/>
  <c r="G563" i="16" s="1"/>
  <c r="G616" i="16"/>
  <c r="G614" i="16"/>
  <c r="G613" i="16" s="1"/>
  <c r="G730" i="16"/>
  <c r="G729" i="16" s="1"/>
  <c r="G732" i="16"/>
  <c r="G49" i="16"/>
  <c r="G47" i="16"/>
  <c r="G898" i="16"/>
  <c r="G896" i="16"/>
  <c r="G895" i="16" s="1"/>
  <c r="G894" i="16" s="1"/>
  <c r="G893" i="16" s="1"/>
  <c r="G892" i="16" s="1"/>
  <c r="G468" i="16"/>
  <c r="G467" i="16" s="1"/>
  <c r="G470" i="16"/>
  <c r="G838" i="16"/>
  <c r="G837" i="16" s="1"/>
  <c r="G840" i="16"/>
  <c r="H140" i="16"/>
  <c r="G734" i="16"/>
  <c r="G733" i="16" s="1"/>
  <c r="G736" i="16"/>
  <c r="G686" i="16"/>
  <c r="G685" i="16" s="1"/>
  <c r="G688" i="16"/>
  <c r="G859" i="16"/>
  <c r="G857" i="16"/>
  <c r="G856" i="16" s="1"/>
  <c r="G855" i="16" s="1"/>
  <c r="G559" i="16"/>
  <c r="G557" i="16"/>
  <c r="H725" i="16"/>
  <c r="H723" i="16"/>
  <c r="H722" i="16" s="1"/>
  <c r="G604" i="16"/>
  <c r="G606" i="16"/>
  <c r="G424" i="16"/>
  <c r="G423" i="16" s="1"/>
  <c r="G418" i="16" s="1"/>
  <c r="G417" i="16" s="1"/>
  <c r="G416" i="16" s="1"/>
  <c r="G426" i="16"/>
  <c r="G512" i="16"/>
  <c r="G514" i="16"/>
  <c r="G354" i="16"/>
  <c r="G353" i="16" s="1"/>
  <c r="G356" i="16"/>
  <c r="H564" i="16"/>
  <c r="H563" i="16" s="1"/>
  <c r="H566" i="16"/>
  <c r="H616" i="16"/>
  <c r="H614" i="16"/>
  <c r="H613" i="16" s="1"/>
  <c r="H826" i="16"/>
  <c r="H825" i="16" s="1"/>
  <c r="H828" i="16"/>
  <c r="H468" i="16"/>
  <c r="H467" i="16" s="1"/>
  <c r="H458" i="16" s="1"/>
  <c r="H457" i="16" s="1"/>
  <c r="H456" i="16" s="1"/>
  <c r="H470" i="16"/>
  <c r="H813" i="16"/>
  <c r="H811" i="16"/>
  <c r="H810" i="16" s="1"/>
  <c r="G710" i="16"/>
  <c r="G708" i="16"/>
  <c r="G707" i="16" s="1"/>
  <c r="G235" i="16"/>
  <c r="G233" i="16"/>
  <c r="G232" i="16" s="1"/>
  <c r="G197" i="16"/>
  <c r="G195" i="16"/>
  <c r="G194" i="16" s="1"/>
  <c r="G85" i="16"/>
  <c r="G84" i="16" s="1"/>
  <c r="G87" i="16"/>
  <c r="H432" i="16"/>
  <c r="H431" i="16" s="1"/>
  <c r="H434" i="16"/>
  <c r="H259" i="16"/>
  <c r="H257" i="16"/>
  <c r="H256" i="16" s="1"/>
  <c r="G580" i="16"/>
  <c r="G578" i="16"/>
  <c r="G577" i="16" s="1"/>
  <c r="G403" i="16"/>
  <c r="G401" i="16"/>
  <c r="G400" i="16" s="1"/>
  <c r="G573" i="16"/>
  <c r="G571" i="16"/>
  <c r="G570" i="16" s="1"/>
  <c r="G621" i="16"/>
  <c r="G623" i="16"/>
  <c r="G717" i="16"/>
  <c r="G715" i="16"/>
  <c r="G216" i="16"/>
  <c r="G215" i="16" s="1"/>
  <c r="G218" i="16"/>
  <c r="G98" i="16"/>
  <c r="G96" i="16"/>
  <c r="G95" i="16" s="1"/>
  <c r="G94" i="16" s="1"/>
  <c r="G93" i="16" s="1"/>
  <c r="H591" i="16"/>
  <c r="H589" i="16"/>
  <c r="H588" i="16" s="1"/>
  <c r="H529" i="16"/>
  <c r="H528" i="16" s="1"/>
  <c r="H525" i="16" s="1"/>
  <c r="H531" i="16"/>
  <c r="H33" i="16"/>
  <c r="H32" i="16" s="1"/>
  <c r="H31" i="16" s="1"/>
  <c r="H30" i="16" s="1"/>
  <c r="H35" i="16"/>
  <c r="H382" i="16"/>
  <c r="H381" i="16" s="1"/>
  <c r="H384" i="16"/>
  <c r="H584" i="16"/>
  <c r="H582" i="16"/>
  <c r="H581" i="16" s="1"/>
  <c r="H609" i="16"/>
  <c r="H607" i="16"/>
  <c r="H753" i="16"/>
  <c r="H752" i="16" s="1"/>
  <c r="H751" i="16" s="1"/>
  <c r="H750" i="16" s="1"/>
  <c r="H749" i="16" s="1"/>
  <c r="H755" i="16"/>
  <c r="H862" i="16"/>
  <c r="H861" i="16" s="1"/>
  <c r="H860" i="16" s="1"/>
  <c r="H864" i="16"/>
  <c r="H556" i="16"/>
  <c r="H554" i="16"/>
  <c r="H633" i="16"/>
  <c r="H631" i="16"/>
  <c r="H630" i="16" s="1"/>
  <c r="H744" i="16"/>
  <c r="H742" i="16"/>
  <c r="H741" i="16" s="1"/>
  <c r="H702" i="16"/>
  <c r="H700" i="16"/>
  <c r="H699" i="16" s="1"/>
  <c r="H867" i="16"/>
  <c r="H866" i="16" s="1"/>
  <c r="H865" i="16" s="1"/>
  <c r="H869" i="16"/>
  <c r="H420" i="16"/>
  <c r="H419" i="16" s="1"/>
  <c r="H422" i="16"/>
  <c r="G834" i="16"/>
  <c r="G833" i="16" s="1"/>
  <c r="G836" i="16"/>
  <c r="G386" i="16"/>
  <c r="G385" i="16" s="1"/>
  <c r="G388" i="16"/>
  <c r="H386" i="16"/>
  <c r="H385" i="16" s="1"/>
  <c r="H388" i="16"/>
  <c r="G159" i="16"/>
  <c r="G157" i="16"/>
  <c r="G156" i="16" s="1"/>
  <c r="H157" i="16"/>
  <c r="H156" i="16" s="1"/>
  <c r="H159" i="16"/>
  <c r="G830" i="16"/>
  <c r="G829" i="16" s="1"/>
  <c r="G832" i="16"/>
  <c r="H830" i="16"/>
  <c r="H829" i="16" s="1"/>
  <c r="H832" i="16"/>
  <c r="G112" i="16"/>
  <c r="G111" i="16" s="1"/>
  <c r="G114" i="16"/>
  <c r="G118" i="16"/>
  <c r="G116" i="16"/>
  <c r="G115" i="16" s="1"/>
  <c r="G134" i="16"/>
  <c r="G133" i="16" s="1"/>
  <c r="G136" i="16"/>
  <c r="G138" i="16"/>
  <c r="G137" i="16" s="1"/>
  <c r="G140" i="16"/>
  <c r="H129" i="16"/>
  <c r="G129" i="16"/>
  <c r="G127" i="16"/>
  <c r="G126" i="16" s="1"/>
  <c r="G255" i="16"/>
  <c r="G253" i="16"/>
  <c r="G252" i="16" s="1"/>
  <c r="G266" i="16"/>
  <c r="G264" i="16"/>
  <c r="G263" i="16" s="1"/>
  <c r="H662" i="16"/>
  <c r="H660" i="16"/>
  <c r="H659" i="16" s="1"/>
  <c r="H658" i="16" s="1"/>
  <c r="G310" i="16"/>
  <c r="G309" i="16" s="1"/>
  <c r="G312" i="16"/>
  <c r="G343" i="16"/>
  <c r="G342" i="16" s="1"/>
  <c r="G345" i="16"/>
  <c r="H343" i="16"/>
  <c r="H342" i="16" s="1"/>
  <c r="H345" i="16"/>
  <c r="G477" i="16"/>
  <c r="G475" i="16"/>
  <c r="G474" i="16" s="1"/>
  <c r="G460" i="16"/>
  <c r="G459" i="16" s="1"/>
  <c r="G462" i="16"/>
  <c r="H462" i="16"/>
  <c r="G464" i="16"/>
  <c r="G463" i="16" s="1"/>
  <c r="G466" i="16"/>
  <c r="G14" i="16"/>
  <c r="G13" i="16" s="1"/>
  <c r="G16" i="16"/>
  <c r="G791" i="16"/>
  <c r="G789" i="16"/>
  <c r="G788" i="16" s="1"/>
  <c r="G787" i="16" s="1"/>
  <c r="G786" i="16" s="1"/>
  <c r="G785" i="16" s="1"/>
  <c r="H803" i="16"/>
  <c r="H802" i="16" s="1"/>
  <c r="H801" i="16" s="1"/>
  <c r="H800" i="16" s="1"/>
  <c r="H799" i="16" s="1"/>
  <c r="G805" i="16"/>
  <c r="G803" i="16"/>
  <c r="G802" i="16" s="1"/>
  <c r="G801" i="16" s="1"/>
  <c r="G800" i="16" s="1"/>
  <c r="G799" i="16" s="1"/>
  <c r="G798" i="16"/>
  <c r="G796" i="16"/>
  <c r="G795" i="16" s="1"/>
  <c r="G794" i="16" s="1"/>
  <c r="G793" i="16" s="1"/>
  <c r="G792" i="16" s="1"/>
  <c r="G721" i="16"/>
  <c r="G719" i="16"/>
  <c r="G718" i="16" s="1"/>
  <c r="H721" i="16"/>
  <c r="H719" i="16"/>
  <c r="H718" i="16" s="1"/>
  <c r="G695" i="16"/>
  <c r="G693" i="16"/>
  <c r="H536" i="16"/>
  <c r="H535" i="16" s="1"/>
  <c r="H532" i="16" s="1"/>
  <c r="G593" i="16"/>
  <c r="G592" i="16" s="1"/>
  <c r="G595" i="16"/>
  <c r="H593" i="16"/>
  <c r="H592" i="16" s="1"/>
  <c r="H595" i="16"/>
  <c r="G538" i="16"/>
  <c r="G536" i="16"/>
  <c r="G535" i="16" s="1"/>
  <c r="H10" i="16"/>
  <c r="H12" i="16"/>
  <c r="H11" i="16" s="1"/>
  <c r="H665" i="16"/>
  <c r="H664" i="16" s="1"/>
  <c r="H663" i="16" s="1"/>
  <c r="H667" i="16"/>
  <c r="H130" i="16"/>
  <c r="G183" i="16"/>
  <c r="G182" i="16" s="1"/>
  <c r="G185" i="16"/>
  <c r="H183" i="16"/>
  <c r="H182" i="16" s="1"/>
  <c r="H185" i="16"/>
  <c r="G181" i="16"/>
  <c r="G179" i="16"/>
  <c r="G178" i="16" s="1"/>
  <c r="H179" i="16"/>
  <c r="H178" i="16" s="1"/>
  <c r="H181" i="16"/>
  <c r="G177" i="16"/>
  <c r="G175" i="16"/>
  <c r="G174" i="16" s="1"/>
  <c r="H175" i="16"/>
  <c r="H174" i="16" s="1"/>
  <c r="H177" i="16"/>
  <c r="G166" i="16"/>
  <c r="G165" i="16" s="1"/>
  <c r="G168" i="16"/>
  <c r="H166" i="16"/>
  <c r="H165" i="16" s="1"/>
  <c r="H168" i="16"/>
  <c r="H170" i="16"/>
  <c r="H169" i="16" s="1"/>
  <c r="H172" i="16"/>
  <c r="G170" i="16"/>
  <c r="G169" i="16" s="1"/>
  <c r="G172" i="16"/>
  <c r="G453" i="16"/>
  <c r="G452" i="16" s="1"/>
  <c r="G455" i="16"/>
  <c r="H453" i="16"/>
  <c r="H452" i="16" s="1"/>
  <c r="H455" i="16"/>
  <c r="H449" i="16"/>
  <c r="H448" i="16" s="1"/>
  <c r="H451" i="16"/>
  <c r="G451" i="16"/>
  <c r="G449" i="16"/>
  <c r="G448" i="16" s="1"/>
  <c r="G445" i="16"/>
  <c r="G444" i="16" s="1"/>
  <c r="G447" i="16"/>
  <c r="H445" i="16"/>
  <c r="H444" i="16" s="1"/>
  <c r="H447" i="16"/>
  <c r="G214" i="16"/>
  <c r="G212" i="16"/>
  <c r="G211" i="16" s="1"/>
  <c r="G205" i="16"/>
  <c r="G203" i="16"/>
  <c r="G202" i="16" s="1"/>
  <c r="H203" i="16"/>
  <c r="H202" i="16" s="1"/>
  <c r="H205" i="16"/>
  <c r="H21" i="16"/>
  <c r="H23" i="16"/>
  <c r="H522" i="16"/>
  <c r="H524" i="16"/>
  <c r="G524" i="16"/>
  <c r="G522" i="16"/>
  <c r="H521" i="16"/>
  <c r="H519" i="16"/>
  <c r="H518" i="16" s="1"/>
  <c r="G519" i="16"/>
  <c r="G518" i="16" s="1"/>
  <c r="G521" i="16"/>
  <c r="G601" i="16"/>
  <c r="G603" i="16"/>
  <c r="H601" i="16"/>
  <c r="H603" i="16"/>
  <c r="G837" i="5"/>
  <c r="G705" i="5"/>
  <c r="G855" i="5"/>
  <c r="G853" i="5"/>
  <c r="G839" i="5"/>
  <c r="G669" i="5"/>
  <c r="G675" i="5"/>
  <c r="G635" i="5"/>
  <c r="G625" i="5"/>
  <c r="G618" i="5"/>
  <c r="G611" i="5"/>
  <c r="G608" i="5"/>
  <c r="G605" i="5"/>
  <c r="G568" i="5"/>
  <c r="G575" i="5"/>
  <c r="G582" i="5"/>
  <c r="G586" i="5"/>
  <c r="G593" i="5"/>
  <c r="G597" i="5"/>
  <c r="G234" i="5"/>
  <c r="G15" i="5"/>
  <c r="F860" i="3"/>
  <c r="F856" i="14" s="1"/>
  <c r="G856" i="14" s="1"/>
  <c r="F971" i="3"/>
  <c r="F966" i="14" s="1"/>
  <c r="G966" i="14" s="1"/>
  <c r="F959" i="3"/>
  <c r="F954" i="14" s="1"/>
  <c r="G954" i="14" s="1"/>
  <c r="H418" i="16" l="1"/>
  <c r="H417" i="16" s="1"/>
  <c r="H416" i="16" s="1"/>
  <c r="H430" i="16"/>
  <c r="H429" i="16" s="1"/>
  <c r="G430" i="16"/>
  <c r="G429" i="16" s="1"/>
  <c r="H173" i="16"/>
  <c r="H214" i="16"/>
  <c r="H600" i="16"/>
  <c r="H599" i="16" s="1"/>
  <c r="H598" i="16" s="1"/>
  <c r="H597" i="16" s="1"/>
  <c r="G277" i="16"/>
  <c r="G276" i="16" s="1"/>
  <c r="G275" i="16" s="1"/>
  <c r="G587" i="16"/>
  <c r="G586" i="16" s="1"/>
  <c r="G585" i="16" s="1"/>
  <c r="H110" i="16"/>
  <c r="H109" i="16" s="1"/>
  <c r="H108" i="16" s="1"/>
  <c r="H107" i="16" s="1"/>
  <c r="H534" i="16"/>
  <c r="H533" i="16" s="1"/>
  <c r="H380" i="16"/>
  <c r="H379" i="16" s="1"/>
  <c r="H378" i="16" s="1"/>
  <c r="H809" i="16"/>
  <c r="H808" i="16" s="1"/>
  <c r="H807" i="16" s="1"/>
  <c r="H806" i="16" s="1"/>
  <c r="H527" i="16"/>
  <c r="H526" i="16" s="1"/>
  <c r="G443" i="16"/>
  <c r="G442" i="16" s="1"/>
  <c r="G441" i="16" s="1"/>
  <c r="H587" i="16"/>
  <c r="H586" i="16" s="1"/>
  <c r="H585" i="16" s="1"/>
  <c r="H121" i="16"/>
  <c r="H120" i="16" s="1"/>
  <c r="H657" i="16"/>
  <c r="H650" i="16" s="1"/>
  <c r="H649" i="16" s="1"/>
  <c r="H29" i="16"/>
  <c r="G81" i="16"/>
  <c r="G83" i="16"/>
  <c r="G82" i="16" s="1"/>
  <c r="G352" i="16"/>
  <c r="G351" i="16" s="1"/>
  <c r="G350" i="16"/>
  <c r="G610" i="16"/>
  <c r="G612" i="16"/>
  <c r="G611" i="16" s="1"/>
  <c r="H850" i="16"/>
  <c r="H849" i="16" s="1"/>
  <c r="H844" i="16" s="1"/>
  <c r="H843" i="16" s="1"/>
  <c r="H842" i="16" s="1"/>
  <c r="H852" i="16"/>
  <c r="G629" i="16"/>
  <c r="G628" i="16" s="1"/>
  <c r="G627" i="16"/>
  <c r="G65" i="16"/>
  <c r="G66" i="16"/>
  <c r="G91" i="16"/>
  <c r="G92" i="16"/>
  <c r="G574" i="16"/>
  <c r="G576" i="16"/>
  <c r="G575" i="16" s="1"/>
  <c r="G31" i="16"/>
  <c r="G30" i="16" s="1"/>
  <c r="H70" i="16"/>
  <c r="H69" i="16" s="1"/>
  <c r="H68" i="16" s="1"/>
  <c r="H67" i="16" s="1"/>
  <c r="H72" i="16"/>
  <c r="H569" i="16"/>
  <c r="H568" i="16" s="1"/>
  <c r="H567" i="16"/>
  <c r="G600" i="16"/>
  <c r="G599" i="16" s="1"/>
  <c r="G598" i="16" s="1"/>
  <c r="G597" i="16" s="1"/>
  <c r="G164" i="16"/>
  <c r="G173" i="16"/>
  <c r="H612" i="16"/>
  <c r="H611" i="16" s="1"/>
  <c r="H610" i="16"/>
  <c r="G854" i="16"/>
  <c r="G728" i="16"/>
  <c r="G727" i="16" s="1"/>
  <c r="G726" i="16" s="1"/>
  <c r="G52" i="16"/>
  <c r="G51" i="16" s="1"/>
  <c r="G50" i="16"/>
  <c r="H98" i="16"/>
  <c r="H96" i="16"/>
  <c r="H95" i="16" s="1"/>
  <c r="H94" i="16" s="1"/>
  <c r="H93" i="16" s="1"/>
  <c r="H629" i="16"/>
  <c r="H628" i="16" s="1"/>
  <c r="H627" i="16"/>
  <c r="G569" i="16"/>
  <c r="G568" i="16" s="1"/>
  <c r="G567" i="16"/>
  <c r="H81" i="16"/>
  <c r="H83" i="16"/>
  <c r="H82" i="16" s="1"/>
  <c r="H854" i="16"/>
  <c r="H443" i="16"/>
  <c r="H442" i="16" s="1"/>
  <c r="H441" i="16" s="1"/>
  <c r="G809" i="16"/>
  <c r="G808" i="16" s="1"/>
  <c r="G807" i="16" s="1"/>
  <c r="G806" i="16" s="1"/>
  <c r="G380" i="16"/>
  <c r="G379" i="16" s="1"/>
  <c r="G377" i="16" s="1"/>
  <c r="H560" i="16"/>
  <c r="H562" i="16"/>
  <c r="H561" i="16" s="1"/>
  <c r="G560" i="16"/>
  <c r="G562" i="16"/>
  <c r="G561" i="16" s="1"/>
  <c r="H576" i="16"/>
  <c r="H575" i="16" s="1"/>
  <c r="H574" i="16"/>
  <c r="H350" i="16"/>
  <c r="H352" i="16"/>
  <c r="H351" i="16" s="1"/>
  <c r="H728" i="16"/>
  <c r="H727" i="16" s="1"/>
  <c r="H726" i="16" s="1"/>
  <c r="H56" i="16"/>
  <c r="H54" i="16"/>
  <c r="H53" i="16" s="1"/>
  <c r="G110" i="16"/>
  <c r="G109" i="16" s="1"/>
  <c r="G108" i="16" s="1"/>
  <c r="G121" i="16"/>
  <c r="G120" i="16" s="1"/>
  <c r="G119" i="16"/>
  <c r="G132" i="16"/>
  <c r="G131" i="16" s="1"/>
  <c r="G130" i="16"/>
  <c r="G458" i="16"/>
  <c r="G457" i="16" s="1"/>
  <c r="G456" i="16" s="1"/>
  <c r="G12" i="16"/>
  <c r="G11" i="16" s="1"/>
  <c r="G10" i="16"/>
  <c r="G532" i="16"/>
  <c r="G527" i="16" s="1"/>
  <c r="G526" i="16" s="1"/>
  <c r="G534" i="16"/>
  <c r="G533" i="16" s="1"/>
  <c r="H164" i="16"/>
  <c r="G517" i="16"/>
  <c r="G516" i="16" s="1"/>
  <c r="G515" i="16"/>
  <c r="H515" i="16"/>
  <c r="H517" i="16"/>
  <c r="H516" i="16" s="1"/>
  <c r="G836" i="5"/>
  <c r="G670" i="5"/>
  <c r="G852" i="5"/>
  <c r="G14" i="5"/>
  <c r="F992" i="3"/>
  <c r="F988" i="14"/>
  <c r="G988" i="14" s="1"/>
  <c r="G674" i="5"/>
  <c r="G676" i="5"/>
  <c r="G634" i="5"/>
  <c r="G636" i="5"/>
  <c r="G624" i="5"/>
  <c r="G626" i="5"/>
  <c r="G617" i="5"/>
  <c r="G619" i="5"/>
  <c r="G607" i="5"/>
  <c r="G609" i="5"/>
  <c r="G604" i="5"/>
  <c r="G606" i="5"/>
  <c r="G610" i="5"/>
  <c r="G612" i="5"/>
  <c r="G596" i="5"/>
  <c r="G598" i="5"/>
  <c r="G592" i="5"/>
  <c r="G594" i="5"/>
  <c r="G585" i="5"/>
  <c r="G587" i="5"/>
  <c r="G581" i="5"/>
  <c r="G583" i="5"/>
  <c r="G574" i="5"/>
  <c r="G576" i="5"/>
  <c r="G567" i="5"/>
  <c r="G569" i="5"/>
  <c r="G233" i="5"/>
  <c r="G235" i="5"/>
  <c r="G16" i="5"/>
  <c r="F938" i="3"/>
  <c r="F933" i="14" s="1"/>
  <c r="G933" i="14" s="1"/>
  <c r="F934" i="3"/>
  <c r="F929" i="14" s="1"/>
  <c r="G929" i="14" s="1"/>
  <c r="F931" i="3"/>
  <c r="F926" i="14" s="1"/>
  <c r="G926" i="14" s="1"/>
  <c r="F928" i="3"/>
  <c r="F923" i="14" s="1"/>
  <c r="G923" i="14" s="1"/>
  <c r="F924" i="3"/>
  <c r="F919" i="14" s="1"/>
  <c r="G919" i="14" s="1"/>
  <c r="F921" i="3"/>
  <c r="F916" i="14" s="1"/>
  <c r="G916" i="14" s="1"/>
  <c r="F918" i="3"/>
  <c r="F913" i="14" s="1"/>
  <c r="G913" i="14" s="1"/>
  <c r="F910" i="3"/>
  <c r="F897" i="3"/>
  <c r="F889" i="14" s="1"/>
  <c r="G889" i="14" s="1"/>
  <c r="F892" i="3"/>
  <c r="F884" i="14" s="1"/>
  <c r="G884" i="14" s="1"/>
  <c r="F876" i="3"/>
  <c r="F859" i="3"/>
  <c r="F847" i="3"/>
  <c r="F843" i="14" s="1"/>
  <c r="G843" i="14" s="1"/>
  <c r="F844" i="3"/>
  <c r="F840" i="14" s="1"/>
  <c r="G840" i="14" s="1"/>
  <c r="F842" i="3"/>
  <c r="F838" i="14" s="1"/>
  <c r="G838" i="14" s="1"/>
  <c r="F840" i="3"/>
  <c r="F836" i="14" s="1"/>
  <c r="G836" i="14" s="1"/>
  <c r="F835" i="3"/>
  <c r="F831" i="14" s="1"/>
  <c r="G831" i="14" s="1"/>
  <c r="F832" i="3"/>
  <c r="F830" i="3"/>
  <c r="F824" i="3"/>
  <c r="F819" i="3"/>
  <c r="F814" i="3"/>
  <c r="F810" i="14" s="1"/>
  <c r="G810" i="14" s="1"/>
  <c r="F811" i="3"/>
  <c r="F807" i="3"/>
  <c r="F803" i="14" s="1"/>
  <c r="G803" i="14" s="1"/>
  <c r="F804" i="3"/>
  <c r="F800" i="3"/>
  <c r="F796" i="14" s="1"/>
  <c r="G796" i="14" s="1"/>
  <c r="F796" i="3"/>
  <c r="F792" i="3"/>
  <c r="F788" i="14" s="1"/>
  <c r="G788" i="14" s="1"/>
  <c r="F790" i="3"/>
  <c r="F786" i="14" s="1"/>
  <c r="G786" i="14" s="1"/>
  <c r="F779" i="3"/>
  <c r="F775" i="3"/>
  <c r="F771" i="14" s="1"/>
  <c r="G771" i="14" s="1"/>
  <c r="F771" i="3"/>
  <c r="F769" i="3"/>
  <c r="F765" i="3"/>
  <c r="F761" i="14" s="1"/>
  <c r="G761" i="14" s="1"/>
  <c r="F763" i="3"/>
  <c r="F717" i="3"/>
  <c r="F713" i="14" s="1"/>
  <c r="G713" i="14" s="1"/>
  <c r="F713" i="3"/>
  <c r="F709" i="14" s="1"/>
  <c r="G709" i="14" s="1"/>
  <c r="F707" i="3"/>
  <c r="F703" i="14" s="1"/>
  <c r="G703" i="14" s="1"/>
  <c r="F704" i="3"/>
  <c r="F700" i="14" s="1"/>
  <c r="G700" i="14" s="1"/>
  <c r="F697" i="3"/>
  <c r="F694" i="3"/>
  <c r="F690" i="14" s="1"/>
  <c r="G690" i="14" s="1"/>
  <c r="F679" i="3"/>
  <c r="F673" i="3"/>
  <c r="F669" i="3"/>
  <c r="I295" i="4"/>
  <c r="I294" i="4" s="1"/>
  <c r="I293" i="4" s="1"/>
  <c r="H295" i="4"/>
  <c r="H294" i="4" s="1"/>
  <c r="H293" i="4" s="1"/>
  <c r="G295" i="4"/>
  <c r="G428" i="16" l="1"/>
  <c r="G427" i="16"/>
  <c r="H428" i="16"/>
  <c r="H427" i="16"/>
  <c r="H377" i="16"/>
  <c r="G378" i="16"/>
  <c r="H52" i="16"/>
  <c r="H51" i="16" s="1"/>
  <c r="H50" i="16"/>
  <c r="H65" i="16"/>
  <c r="H66" i="16"/>
  <c r="G29" i="16"/>
  <c r="H91" i="16"/>
  <c r="H92" i="16"/>
  <c r="G107" i="16"/>
  <c r="G294" i="4"/>
  <c r="G301" i="15"/>
  <c r="H301" i="15" s="1"/>
  <c r="G591" i="5"/>
  <c r="G566" i="5"/>
  <c r="G580" i="5"/>
  <c r="G616" i="5"/>
  <c r="G633" i="5"/>
  <c r="G232" i="5"/>
  <c r="G573" i="5"/>
  <c r="G584" i="5"/>
  <c r="G595" i="5"/>
  <c r="G13" i="5"/>
  <c r="F678" i="3"/>
  <c r="F675" i="14"/>
  <c r="G675" i="14" s="1"/>
  <c r="G540" i="5"/>
  <c r="G541" i="5" s="1"/>
  <c r="F775" i="14"/>
  <c r="G775" i="14" s="1"/>
  <c r="F829" i="3"/>
  <c r="F825" i="14" s="1"/>
  <c r="G825" i="14" s="1"/>
  <c r="F826" i="14"/>
  <c r="G826" i="14" s="1"/>
  <c r="F875" i="3"/>
  <c r="F868" i="14"/>
  <c r="G868" i="14" s="1"/>
  <c r="G523" i="5"/>
  <c r="F765" i="14"/>
  <c r="G765" i="14" s="1"/>
  <c r="F803" i="3"/>
  <c r="F800" i="14"/>
  <c r="G800" i="14" s="1"/>
  <c r="F831" i="3"/>
  <c r="F827" i="14" s="1"/>
  <c r="G827" i="14" s="1"/>
  <c r="F828" i="14"/>
  <c r="G828" i="14" s="1"/>
  <c r="F668" i="3"/>
  <c r="F665" i="14"/>
  <c r="G665" i="14" s="1"/>
  <c r="F696" i="3"/>
  <c r="F693" i="14"/>
  <c r="G693" i="14" s="1"/>
  <c r="G526" i="5"/>
  <c r="F767" i="14"/>
  <c r="G767" i="14" s="1"/>
  <c r="F818" i="3"/>
  <c r="F991" i="3"/>
  <c r="F986" i="14" s="1"/>
  <c r="G986" i="14" s="1"/>
  <c r="F987" i="14"/>
  <c r="G987" i="14" s="1"/>
  <c r="F672" i="3"/>
  <c r="F668" i="14" s="1"/>
  <c r="G668" i="14" s="1"/>
  <c r="F669" i="14"/>
  <c r="G669" i="14" s="1"/>
  <c r="F762" i="3"/>
  <c r="F758" i="14" s="1"/>
  <c r="G758" i="14" s="1"/>
  <c r="F759" i="14"/>
  <c r="G759" i="14" s="1"/>
  <c r="F795" i="3"/>
  <c r="F791" i="14" s="1"/>
  <c r="G791" i="14" s="1"/>
  <c r="F792" i="14"/>
  <c r="G792" i="14" s="1"/>
  <c r="F810" i="3"/>
  <c r="F806" i="14" s="1"/>
  <c r="G806" i="14" s="1"/>
  <c r="F807" i="14"/>
  <c r="G807" i="14" s="1"/>
  <c r="F823" i="3"/>
  <c r="F820" i="14"/>
  <c r="G820" i="14" s="1"/>
  <c r="F858" i="3"/>
  <c r="F855" i="14"/>
  <c r="G855" i="14" s="1"/>
  <c r="F909" i="3"/>
  <c r="F905" i="14"/>
  <c r="G905" i="14" s="1"/>
  <c r="G673" i="5"/>
  <c r="G603" i="5"/>
  <c r="F774" i="3"/>
  <c r="G533" i="5"/>
  <c r="F703" i="3"/>
  <c r="G34" i="5"/>
  <c r="F706" i="3"/>
  <c r="G38" i="5"/>
  <c r="F712" i="3"/>
  <c r="F708" i="14" s="1"/>
  <c r="G708" i="14" s="1"/>
  <c r="G48" i="5"/>
  <c r="F716" i="3"/>
  <c r="G55" i="5"/>
  <c r="G590" i="5" l="1"/>
  <c r="G615" i="5"/>
  <c r="G579" i="5"/>
  <c r="G578" i="5" s="1"/>
  <c r="G613" i="5"/>
  <c r="G577" i="5"/>
  <c r="G524" i="5"/>
  <c r="G293" i="4"/>
  <c r="G300" i="15"/>
  <c r="G49" i="5"/>
  <c r="G602" i="5"/>
  <c r="G672" i="5"/>
  <c r="G572" i="5"/>
  <c r="G632" i="5"/>
  <c r="G522" i="5"/>
  <c r="G565" i="5"/>
  <c r="G527" i="5"/>
  <c r="G563" i="5"/>
  <c r="G539" i="5"/>
  <c r="G10" i="5"/>
  <c r="G12" i="5"/>
  <c r="G525" i="5"/>
  <c r="G570" i="5"/>
  <c r="G630" i="5"/>
  <c r="F715" i="3"/>
  <c r="F712" i="14"/>
  <c r="G712" i="14" s="1"/>
  <c r="F773" i="3"/>
  <c r="F769" i="14" s="1"/>
  <c r="F770" i="14"/>
  <c r="G770" i="14" s="1"/>
  <c r="F908" i="3"/>
  <c r="F903" i="14" s="1"/>
  <c r="F904" i="14"/>
  <c r="G904" i="14" s="1"/>
  <c r="F817" i="3"/>
  <c r="F695" i="3"/>
  <c r="F691" i="14" s="1"/>
  <c r="G691" i="14" s="1"/>
  <c r="F692" i="14"/>
  <c r="G692" i="14" s="1"/>
  <c r="F802" i="3"/>
  <c r="F798" i="14" s="1"/>
  <c r="F799" i="14"/>
  <c r="G799" i="14" s="1"/>
  <c r="F874" i="3"/>
  <c r="F866" i="14" s="1"/>
  <c r="F867" i="14"/>
  <c r="G867" i="14" s="1"/>
  <c r="F702" i="3"/>
  <c r="F698" i="14" s="1"/>
  <c r="F699" i="14"/>
  <c r="G699" i="14" s="1"/>
  <c r="F705" i="3"/>
  <c r="F701" i="14" s="1"/>
  <c r="G701" i="14" s="1"/>
  <c r="F702" i="14"/>
  <c r="G702" i="14" s="1"/>
  <c r="F822" i="3"/>
  <c r="F819" i="14"/>
  <c r="G819" i="14" s="1"/>
  <c r="F857" i="3"/>
  <c r="F854" i="14"/>
  <c r="F667" i="3"/>
  <c r="F664" i="14"/>
  <c r="G664" i="14" s="1"/>
  <c r="F677" i="3"/>
  <c r="F674" i="14"/>
  <c r="G674" i="14" s="1"/>
  <c r="G532" i="5"/>
  <c r="G534" i="5"/>
  <c r="G54" i="5"/>
  <c r="G56" i="5"/>
  <c r="G37" i="5"/>
  <c r="G39" i="5"/>
  <c r="G33" i="5"/>
  <c r="G35" i="5"/>
  <c r="H300" i="15" l="1"/>
  <c r="H299" i="15" s="1"/>
  <c r="G299" i="15"/>
  <c r="G854" i="14"/>
  <c r="G853" i="14" s="1"/>
  <c r="G852" i="14" s="1"/>
  <c r="G851" i="14" s="1"/>
  <c r="F853" i="14"/>
  <c r="F852" i="14" s="1"/>
  <c r="F851" i="14" s="1"/>
  <c r="D41" i="13" s="1"/>
  <c r="G866" i="14"/>
  <c r="G865" i="14" s="1"/>
  <c r="G864" i="14" s="1"/>
  <c r="F865" i="14"/>
  <c r="F864" i="14" s="1"/>
  <c r="G769" i="14"/>
  <c r="G768" i="14" s="1"/>
  <c r="F768" i="14"/>
  <c r="G698" i="14"/>
  <c r="G697" i="14" s="1"/>
  <c r="F697" i="14"/>
  <c r="G798" i="14"/>
  <c r="G903" i="14"/>
  <c r="G902" i="14" s="1"/>
  <c r="G901" i="14" s="1"/>
  <c r="F902" i="14"/>
  <c r="F901" i="14" s="1"/>
  <c r="G32" i="5"/>
  <c r="G531" i="5"/>
  <c r="G631" i="5"/>
  <c r="G538" i="5"/>
  <c r="G564" i="5"/>
  <c r="G36" i="5"/>
  <c r="G671" i="5"/>
  <c r="G589" i="5"/>
  <c r="G521" i="5"/>
  <c r="G571" i="5"/>
  <c r="F676" i="3"/>
  <c r="F673" i="14"/>
  <c r="F856" i="3"/>
  <c r="F714" i="3"/>
  <c r="F711" i="14"/>
  <c r="F701" i="3"/>
  <c r="F666" i="3"/>
  <c r="F663" i="14"/>
  <c r="F821" i="3"/>
  <c r="F818" i="14"/>
  <c r="F816" i="3"/>
  <c r="F665" i="3"/>
  <c r="F663" i="3"/>
  <c r="F661" i="3"/>
  <c r="F693" i="3"/>
  <c r="F737" i="3"/>
  <c r="F753" i="3"/>
  <c r="F651" i="3"/>
  <c r="F640" i="3"/>
  <c r="F615" i="3"/>
  <c r="F629" i="3"/>
  <c r="F625" i="14" s="1"/>
  <c r="G625" i="14" s="1"/>
  <c r="F608" i="3"/>
  <c r="F608" i="14" s="1"/>
  <c r="G608" i="14" s="1"/>
  <c r="F620" i="3"/>
  <c r="F620" i="14" s="1"/>
  <c r="G620" i="14" s="1"/>
  <c r="F587" i="3"/>
  <c r="F573" i="3"/>
  <c r="F567" i="3"/>
  <c r="F564" i="3"/>
  <c r="F560" i="3"/>
  <c r="F557" i="3"/>
  <c r="F554" i="3"/>
  <c r="F535" i="3"/>
  <c r="F542" i="14" s="1"/>
  <c r="G542" i="14" s="1"/>
  <c r="F547" i="3"/>
  <c r="F530" i="3"/>
  <c r="F527" i="3"/>
  <c r="F527" i="14" s="1"/>
  <c r="G527" i="14" s="1"/>
  <c r="F517" i="3"/>
  <c r="F517" i="14" s="1"/>
  <c r="G517" i="14" s="1"/>
  <c r="F513" i="3"/>
  <c r="F513" i="14" s="1"/>
  <c r="G513" i="14" s="1"/>
  <c r="F510" i="3"/>
  <c r="F510" i="14" s="1"/>
  <c r="G510" i="14" s="1"/>
  <c r="F499" i="3"/>
  <c r="F493" i="3"/>
  <c r="F489" i="3"/>
  <c r="F486" i="3"/>
  <c r="F486" i="14" s="1"/>
  <c r="G486" i="14" s="1"/>
  <c r="F473" i="3"/>
  <c r="F468" i="3"/>
  <c r="F468" i="14" s="1"/>
  <c r="G468" i="14" s="1"/>
  <c r="F464" i="3"/>
  <c r="F449" i="3"/>
  <c r="F449" i="14" s="1"/>
  <c r="G449" i="14" s="1"/>
  <c r="F451" i="3"/>
  <c r="F451" i="14" s="1"/>
  <c r="G451" i="14" s="1"/>
  <c r="F456" i="3"/>
  <c r="G818" i="14" l="1"/>
  <c r="G817" i="14" s="1"/>
  <c r="G816" i="14" s="1"/>
  <c r="F817" i="14"/>
  <c r="F816" i="14" s="1"/>
  <c r="G673" i="14"/>
  <c r="G672" i="14" s="1"/>
  <c r="F672" i="14"/>
  <c r="G711" i="14"/>
  <c r="G710" i="14" s="1"/>
  <c r="F710" i="14"/>
  <c r="G663" i="14"/>
  <c r="G662" i="14" s="1"/>
  <c r="F662" i="14"/>
  <c r="E41" i="13"/>
  <c r="G588" i="5"/>
  <c r="G31" i="5"/>
  <c r="G537" i="5"/>
  <c r="G535" i="5"/>
  <c r="G528" i="5"/>
  <c r="G518" i="5"/>
  <c r="G520" i="5"/>
  <c r="F639" i="3"/>
  <c r="F635" i="14" s="1"/>
  <c r="G635" i="14" s="1"/>
  <c r="F636" i="14"/>
  <c r="G636" i="14" s="1"/>
  <c r="F692" i="3"/>
  <c r="F689" i="14"/>
  <c r="G689" i="14" s="1"/>
  <c r="F815" i="3"/>
  <c r="F472" i="3"/>
  <c r="F473" i="14"/>
  <c r="G473" i="14" s="1"/>
  <c r="G176" i="5"/>
  <c r="F554" i="14"/>
  <c r="G554" i="14" s="1"/>
  <c r="G217" i="5"/>
  <c r="F567" i="14"/>
  <c r="G567" i="14" s="1"/>
  <c r="F650" i="3"/>
  <c r="F647" i="14"/>
  <c r="G647" i="14" s="1"/>
  <c r="F660" i="3"/>
  <c r="F656" i="14" s="1"/>
  <c r="G656" i="14" s="1"/>
  <c r="F657" i="14"/>
  <c r="G657" i="14" s="1"/>
  <c r="F855" i="3"/>
  <c r="G284" i="5"/>
  <c r="F530" i="14"/>
  <c r="G530" i="14" s="1"/>
  <c r="G180" i="5"/>
  <c r="G181" i="5" s="1"/>
  <c r="F557" i="14"/>
  <c r="G557" i="14" s="1"/>
  <c r="G225" i="5"/>
  <c r="G224" i="5" s="1"/>
  <c r="F573" i="14"/>
  <c r="G573" i="14" s="1"/>
  <c r="F752" i="3"/>
  <c r="F749" i="14"/>
  <c r="G749" i="14" s="1"/>
  <c r="F662" i="3"/>
  <c r="F658" i="14" s="1"/>
  <c r="G658" i="14" s="1"/>
  <c r="F659" i="14"/>
  <c r="G659" i="14" s="1"/>
  <c r="F455" i="3"/>
  <c r="F456" i="14"/>
  <c r="G456" i="14" s="1"/>
  <c r="G196" i="5"/>
  <c r="F493" i="14"/>
  <c r="G493" i="14" s="1"/>
  <c r="G213" i="5"/>
  <c r="G212" i="5" s="1"/>
  <c r="F564" i="14"/>
  <c r="G564" i="14" s="1"/>
  <c r="G204" i="5"/>
  <c r="G203" i="5" s="1"/>
  <c r="F499" i="14"/>
  <c r="G499" i="14" s="1"/>
  <c r="F463" i="3"/>
  <c r="F463" i="14" s="1"/>
  <c r="G463" i="14" s="1"/>
  <c r="F464" i="14"/>
  <c r="G464" i="14" s="1"/>
  <c r="G171" i="5"/>
  <c r="F489" i="14"/>
  <c r="G489" i="14" s="1"/>
  <c r="F546" i="3"/>
  <c r="F546" i="14" s="1"/>
  <c r="G546" i="14" s="1"/>
  <c r="F547" i="14"/>
  <c r="G547" i="14" s="1"/>
  <c r="G184" i="5"/>
  <c r="F560" i="14"/>
  <c r="G560" i="14" s="1"/>
  <c r="F586" i="3"/>
  <c r="F586" i="14" s="1"/>
  <c r="G586" i="14" s="1"/>
  <c r="F587" i="14"/>
  <c r="G587" i="14" s="1"/>
  <c r="G355" i="5"/>
  <c r="F615" i="14"/>
  <c r="G615" i="14" s="1"/>
  <c r="F736" i="3"/>
  <c r="F733" i="14"/>
  <c r="G733" i="14" s="1"/>
  <c r="F664" i="3"/>
  <c r="F660" i="14" s="1"/>
  <c r="G660" i="14" s="1"/>
  <c r="F661" i="14"/>
  <c r="G661" i="14" s="1"/>
  <c r="F488" i="3"/>
  <c r="F485" i="3"/>
  <c r="G167" i="5"/>
  <c r="F435" i="3"/>
  <c r="F435" i="14" s="1"/>
  <c r="G435" i="14" s="1"/>
  <c r="F438" i="3"/>
  <c r="F438" i="14" s="1"/>
  <c r="G438" i="14" s="1"/>
  <c r="F400" i="3"/>
  <c r="I1089" i="4"/>
  <c r="I1088" i="4" s="1"/>
  <c r="H1089" i="4"/>
  <c r="H1088" i="4" s="1"/>
  <c r="I1086" i="4"/>
  <c r="H1086" i="4"/>
  <c r="I1085" i="4"/>
  <c r="I1084" i="4" s="1"/>
  <c r="H1085" i="4"/>
  <c r="H1084" i="4" s="1"/>
  <c r="I1078" i="4"/>
  <c r="I1077" i="4" s="1"/>
  <c r="H1078" i="4"/>
  <c r="H1077" i="4" s="1"/>
  <c r="I1075" i="4"/>
  <c r="H1075" i="4"/>
  <c r="I1074" i="4"/>
  <c r="I1073" i="4" s="1"/>
  <c r="H1074" i="4"/>
  <c r="H1073" i="4" s="1"/>
  <c r="I1068" i="4"/>
  <c r="I1067" i="4" s="1"/>
  <c r="I1066" i="4" s="1"/>
  <c r="H1068" i="4"/>
  <c r="H1067" i="4" s="1"/>
  <c r="H1066" i="4" s="1"/>
  <c r="I1064" i="4"/>
  <c r="I1063" i="4" s="1"/>
  <c r="H1064" i="4"/>
  <c r="H1063" i="4" s="1"/>
  <c r="I1059" i="4"/>
  <c r="I1058" i="4" s="1"/>
  <c r="H1059" i="4"/>
  <c r="H1058" i="4" s="1"/>
  <c r="I1056" i="4"/>
  <c r="H1056" i="4"/>
  <c r="I1055" i="4"/>
  <c r="I1054" i="4" s="1"/>
  <c r="H1055" i="4"/>
  <c r="H1054" i="4" s="1"/>
  <c r="I1046" i="4"/>
  <c r="I1045" i="4" s="1"/>
  <c r="I1044" i="4" s="1"/>
  <c r="I1043" i="4" s="1"/>
  <c r="I1042" i="4" s="1"/>
  <c r="H1046" i="4"/>
  <c r="H1045" i="4" s="1"/>
  <c r="H1044" i="4" s="1"/>
  <c r="H1043" i="4" s="1"/>
  <c r="H1042" i="4" s="1"/>
  <c r="I1033" i="4"/>
  <c r="I1032" i="4" s="1"/>
  <c r="H1033" i="4"/>
  <c r="H1032" i="4" s="1"/>
  <c r="I1031" i="4"/>
  <c r="I1030" i="4" s="1"/>
  <c r="H1031" i="4"/>
  <c r="H1030" i="4" s="1"/>
  <c r="I1028" i="4"/>
  <c r="H1028" i="4"/>
  <c r="I1024" i="4"/>
  <c r="I1023" i="4" s="1"/>
  <c r="H1024" i="4"/>
  <c r="H1023" i="4" s="1"/>
  <c r="I1022" i="4"/>
  <c r="I1021" i="4" s="1"/>
  <c r="I1020" i="4" s="1"/>
  <c r="H1022" i="4"/>
  <c r="H1021" i="4" s="1"/>
  <c r="H1020" i="4" s="1"/>
  <c r="I1016" i="4"/>
  <c r="I1015" i="4" s="1"/>
  <c r="H1016" i="4"/>
  <c r="H1015" i="4" s="1"/>
  <c r="I1014" i="4"/>
  <c r="I1013" i="4" s="1"/>
  <c r="H1014" i="4"/>
  <c r="H1013" i="4" s="1"/>
  <c r="I1011" i="4"/>
  <c r="H1011" i="4"/>
  <c r="I1009" i="4"/>
  <c r="H1009" i="4"/>
  <c r="I1004" i="4"/>
  <c r="I1003" i="4" s="1"/>
  <c r="I1002" i="4" s="1"/>
  <c r="I1001" i="4" s="1"/>
  <c r="I1000" i="4" s="1"/>
  <c r="H1004" i="4"/>
  <c r="H1003" i="4" s="1"/>
  <c r="H1002" i="4" s="1"/>
  <c r="H1001" i="4" s="1"/>
  <c r="H1000" i="4" s="1"/>
  <c r="I998" i="4"/>
  <c r="I997" i="4" s="1"/>
  <c r="H998" i="4"/>
  <c r="H997" i="4" s="1"/>
  <c r="I995" i="4"/>
  <c r="I994" i="4" s="1"/>
  <c r="H995" i="4"/>
  <c r="H994" i="4" s="1"/>
  <c r="I988" i="4"/>
  <c r="I987" i="4" s="1"/>
  <c r="H988" i="4"/>
  <c r="H987" i="4" s="1"/>
  <c r="I985" i="4"/>
  <c r="H985" i="4"/>
  <c r="I984" i="4"/>
  <c r="I983" i="4" s="1"/>
  <c r="H984" i="4"/>
  <c r="H983" i="4" s="1"/>
  <c r="I980" i="4"/>
  <c r="I979" i="4" s="1"/>
  <c r="H980" i="4"/>
  <c r="H979" i="4" s="1"/>
  <c r="I991" i="4"/>
  <c r="I990" i="4" s="1"/>
  <c r="H991" i="4"/>
  <c r="H990" i="4" s="1"/>
  <c r="I975" i="4"/>
  <c r="I974" i="4" s="1"/>
  <c r="H975" i="4"/>
  <c r="H974" i="4" s="1"/>
  <c r="I973" i="4"/>
  <c r="I971" i="4" s="1"/>
  <c r="H973" i="4"/>
  <c r="H971" i="4" s="1"/>
  <c r="I970" i="4"/>
  <c r="I969" i="4" s="1"/>
  <c r="H970" i="4"/>
  <c r="H969" i="4" s="1"/>
  <c r="I966" i="4"/>
  <c r="I965" i="4" s="1"/>
  <c r="H966" i="4"/>
  <c r="H965" i="4" s="1"/>
  <c r="I960" i="4"/>
  <c r="I959" i="4" s="1"/>
  <c r="I958" i="4" s="1"/>
  <c r="I957" i="4" s="1"/>
  <c r="H960" i="4"/>
  <c r="H959" i="4" s="1"/>
  <c r="H958" i="4" s="1"/>
  <c r="H957" i="4" s="1"/>
  <c r="I949" i="4"/>
  <c r="I948" i="4" s="1"/>
  <c r="I947" i="4" s="1"/>
  <c r="H949" i="4"/>
  <c r="H948" i="4" s="1"/>
  <c r="H947" i="4" s="1"/>
  <c r="I945" i="4"/>
  <c r="I944" i="4" s="1"/>
  <c r="I943" i="4" s="1"/>
  <c r="H945" i="4"/>
  <c r="H944" i="4" s="1"/>
  <c r="H943" i="4" s="1"/>
  <c r="I941" i="4"/>
  <c r="I940" i="4" s="1"/>
  <c r="I939" i="4" s="1"/>
  <c r="H941" i="4"/>
  <c r="H940" i="4" s="1"/>
  <c r="H939" i="4" s="1"/>
  <c r="I938" i="4"/>
  <c r="I937" i="4" s="1"/>
  <c r="I936" i="4" s="1"/>
  <c r="I935" i="4" s="1"/>
  <c r="H938" i="4"/>
  <c r="H937" i="4" s="1"/>
  <c r="H936" i="4" s="1"/>
  <c r="H935" i="4" s="1"/>
  <c r="I934" i="4"/>
  <c r="I933" i="4" s="1"/>
  <c r="I932" i="4" s="1"/>
  <c r="I931" i="4" s="1"/>
  <c r="H934" i="4"/>
  <c r="H933" i="4" s="1"/>
  <c r="H932" i="4" s="1"/>
  <c r="H931" i="4" s="1"/>
  <c r="I930" i="4"/>
  <c r="I929" i="4" s="1"/>
  <c r="I928" i="4" s="1"/>
  <c r="I927" i="4" s="1"/>
  <c r="H930" i="4"/>
  <c r="H929" i="4" s="1"/>
  <c r="H928" i="4" s="1"/>
  <c r="H927" i="4" s="1"/>
  <c r="I926" i="4"/>
  <c r="I925" i="4" s="1"/>
  <c r="I924" i="4" s="1"/>
  <c r="I923" i="4" s="1"/>
  <c r="H926" i="4"/>
  <c r="H925" i="4" s="1"/>
  <c r="H924" i="4" s="1"/>
  <c r="H923" i="4" s="1"/>
  <c r="I920" i="4"/>
  <c r="I919" i="4" s="1"/>
  <c r="H920" i="4"/>
  <c r="H919" i="4" s="1"/>
  <c r="I917" i="4"/>
  <c r="H917" i="4"/>
  <c r="I915" i="4"/>
  <c r="H915" i="4"/>
  <c r="I912" i="4"/>
  <c r="I911" i="4" s="1"/>
  <c r="H912" i="4"/>
  <c r="H911" i="4" s="1"/>
  <c r="I909" i="4"/>
  <c r="H909" i="4"/>
  <c r="I907" i="4"/>
  <c r="H907" i="4"/>
  <c r="I903" i="4"/>
  <c r="H903" i="4"/>
  <c r="I901" i="4"/>
  <c r="H901" i="4"/>
  <c r="I898" i="4"/>
  <c r="H898" i="4"/>
  <c r="I896" i="4"/>
  <c r="H896" i="4"/>
  <c r="I891" i="4"/>
  <c r="I890" i="4" s="1"/>
  <c r="I889" i="4" s="1"/>
  <c r="H891" i="4"/>
  <c r="H890" i="4" s="1"/>
  <c r="H889" i="4" s="1"/>
  <c r="I888" i="4"/>
  <c r="I887" i="4" s="1"/>
  <c r="I886" i="4" s="1"/>
  <c r="H888" i="4"/>
  <c r="H887" i="4" s="1"/>
  <c r="H886" i="4" s="1"/>
  <c r="I885" i="4"/>
  <c r="I884" i="4" s="1"/>
  <c r="H885" i="4"/>
  <c r="H884" i="4" s="1"/>
  <c r="I883" i="4"/>
  <c r="I882" i="4" s="1"/>
  <c r="H883" i="4"/>
  <c r="H882" i="4" s="1"/>
  <c r="I876" i="4"/>
  <c r="I875" i="4" s="1"/>
  <c r="H876" i="4"/>
  <c r="H875" i="4" s="1"/>
  <c r="I873" i="4"/>
  <c r="H873" i="4"/>
  <c r="I869" i="4"/>
  <c r="I868" i="4" s="1"/>
  <c r="I867" i="4" s="1"/>
  <c r="H869" i="4"/>
  <c r="H868" i="4" s="1"/>
  <c r="H867" i="4" s="1"/>
  <c r="I864" i="4"/>
  <c r="I863" i="4" s="1"/>
  <c r="I862" i="4" s="1"/>
  <c r="I861" i="4" s="1"/>
  <c r="I860" i="4" s="1"/>
  <c r="I859" i="4" s="1"/>
  <c r="H864" i="4"/>
  <c r="H863" i="4" s="1"/>
  <c r="H862" i="4" s="1"/>
  <c r="H861" i="4" s="1"/>
  <c r="H860" i="4" s="1"/>
  <c r="H859" i="4" s="1"/>
  <c r="I856" i="4"/>
  <c r="I855" i="4" s="1"/>
  <c r="I854" i="4" s="1"/>
  <c r="I853" i="4" s="1"/>
  <c r="I852" i="4" s="1"/>
  <c r="I851" i="4" s="1"/>
  <c r="H856" i="4"/>
  <c r="H855" i="4" s="1"/>
  <c r="H854" i="4" s="1"/>
  <c r="H853" i="4" s="1"/>
  <c r="H852" i="4" s="1"/>
  <c r="H851" i="4" s="1"/>
  <c r="I842" i="4"/>
  <c r="I841" i="4" s="1"/>
  <c r="H842" i="4"/>
  <c r="H841" i="4" s="1"/>
  <c r="I850" i="4"/>
  <c r="I849" i="4" s="1"/>
  <c r="H850" i="4"/>
  <c r="H849" i="4" s="1"/>
  <c r="I848" i="4"/>
  <c r="I847" i="4" s="1"/>
  <c r="H848" i="4"/>
  <c r="H847" i="4" s="1"/>
  <c r="I846" i="4"/>
  <c r="I845" i="4" s="1"/>
  <c r="H846" i="4"/>
  <c r="H845" i="4" s="1"/>
  <c r="I835" i="4"/>
  <c r="I834" i="4" s="1"/>
  <c r="H835" i="4"/>
  <c r="H834" i="4" s="1"/>
  <c r="I833" i="4"/>
  <c r="I832" i="4" s="1"/>
  <c r="H833" i="4"/>
  <c r="H832" i="4" s="1"/>
  <c r="I826" i="4"/>
  <c r="I825" i="4" s="1"/>
  <c r="H826" i="4"/>
  <c r="H825" i="4" s="1"/>
  <c r="I824" i="4"/>
  <c r="I823" i="4" s="1"/>
  <c r="H824" i="4"/>
  <c r="H823" i="4" s="1"/>
  <c r="I822" i="4"/>
  <c r="I821" i="4" s="1"/>
  <c r="H822" i="4"/>
  <c r="H821" i="4" s="1"/>
  <c r="I820" i="4"/>
  <c r="I819" i="4" s="1"/>
  <c r="H820" i="4"/>
  <c r="H819" i="4" s="1"/>
  <c r="I814" i="4"/>
  <c r="I813" i="4" s="1"/>
  <c r="H814" i="4"/>
  <c r="H813" i="4" s="1"/>
  <c r="I812" i="4"/>
  <c r="I811" i="4" s="1"/>
  <c r="I810" i="4" s="1"/>
  <c r="H812" i="4"/>
  <c r="H811" i="4" s="1"/>
  <c r="H810" i="4" s="1"/>
  <c r="I806" i="4"/>
  <c r="I805" i="4" s="1"/>
  <c r="I804" i="4" s="1"/>
  <c r="I803" i="4" s="1"/>
  <c r="I802" i="4" s="1"/>
  <c r="H806" i="4"/>
  <c r="H805" i="4" s="1"/>
  <c r="H804" i="4" s="1"/>
  <c r="H803" i="4" s="1"/>
  <c r="H802" i="4" s="1"/>
  <c r="I801" i="4"/>
  <c r="I800" i="4" s="1"/>
  <c r="I799" i="4" s="1"/>
  <c r="I798" i="4" s="1"/>
  <c r="H801" i="4"/>
  <c r="H800" i="4" s="1"/>
  <c r="H799" i="4" s="1"/>
  <c r="H798" i="4" s="1"/>
  <c r="I797" i="4"/>
  <c r="I796" i="4" s="1"/>
  <c r="I795" i="4" s="1"/>
  <c r="H797" i="4"/>
  <c r="H796" i="4" s="1"/>
  <c r="H795" i="4" s="1"/>
  <c r="I793" i="4"/>
  <c r="I792" i="4" s="1"/>
  <c r="H793" i="4"/>
  <c r="H792" i="4" s="1"/>
  <c r="I789" i="4"/>
  <c r="I788" i="4" s="1"/>
  <c r="H789" i="4"/>
  <c r="H788" i="4" s="1"/>
  <c r="I786" i="4"/>
  <c r="I785" i="4" s="1"/>
  <c r="H786" i="4"/>
  <c r="H785" i="4" s="1"/>
  <c r="I783" i="4"/>
  <c r="I782" i="4" s="1"/>
  <c r="H783" i="4"/>
  <c r="H782" i="4" s="1"/>
  <c r="I779" i="4"/>
  <c r="I778" i="4" s="1"/>
  <c r="H779" i="4"/>
  <c r="H778" i="4" s="1"/>
  <c r="I776" i="4"/>
  <c r="I775" i="4" s="1"/>
  <c r="H776" i="4"/>
  <c r="H775" i="4" s="1"/>
  <c r="I773" i="4"/>
  <c r="I772" i="4" s="1"/>
  <c r="H773" i="4"/>
  <c r="H772" i="4" s="1"/>
  <c r="I757" i="4"/>
  <c r="I756" i="4" s="1"/>
  <c r="H757" i="4"/>
  <c r="H756" i="4" s="1"/>
  <c r="I755" i="4"/>
  <c r="I754" i="4" s="1"/>
  <c r="H755" i="4"/>
  <c r="H754" i="4" s="1"/>
  <c r="I753" i="4"/>
  <c r="I752" i="4" s="1"/>
  <c r="H753" i="4"/>
  <c r="H752" i="4" s="1"/>
  <c r="I751" i="4"/>
  <c r="I750" i="4" s="1"/>
  <c r="H751" i="4"/>
  <c r="H750" i="4" s="1"/>
  <c r="I747" i="4"/>
  <c r="I746" i="4" s="1"/>
  <c r="I745" i="4" s="1"/>
  <c r="I744" i="4" s="1"/>
  <c r="H747" i="4"/>
  <c r="H746" i="4" s="1"/>
  <c r="H745" i="4" s="1"/>
  <c r="H744" i="4" s="1"/>
  <c r="I741" i="4"/>
  <c r="I740" i="4" s="1"/>
  <c r="H741" i="4"/>
  <c r="H740" i="4" s="1"/>
  <c r="I739" i="4"/>
  <c r="I738" i="4" s="1"/>
  <c r="H739" i="4"/>
  <c r="H738" i="4" s="1"/>
  <c r="I737" i="4"/>
  <c r="I736" i="4" s="1"/>
  <c r="H737" i="4"/>
  <c r="H736" i="4" s="1"/>
  <c r="I731" i="4"/>
  <c r="I730" i="4" s="1"/>
  <c r="I729" i="4" s="1"/>
  <c r="H731" i="4"/>
  <c r="H730" i="4" s="1"/>
  <c r="H729" i="4" s="1"/>
  <c r="I728" i="4"/>
  <c r="I727" i="4" s="1"/>
  <c r="I726" i="4" s="1"/>
  <c r="H728" i="4"/>
  <c r="H727" i="4" s="1"/>
  <c r="H726" i="4" s="1"/>
  <c r="I720" i="4"/>
  <c r="I719" i="4" s="1"/>
  <c r="I718" i="4" s="1"/>
  <c r="H720" i="4"/>
  <c r="H719" i="4" s="1"/>
  <c r="H718" i="4" s="1"/>
  <c r="I716" i="4"/>
  <c r="I715" i="4" s="1"/>
  <c r="I714" i="4" s="1"/>
  <c r="I713" i="4" s="1"/>
  <c r="H716" i="4"/>
  <c r="H715" i="4" s="1"/>
  <c r="H714" i="4" s="1"/>
  <c r="H713" i="4" s="1"/>
  <c r="I711" i="4"/>
  <c r="I710" i="4" s="1"/>
  <c r="I709" i="4" s="1"/>
  <c r="H711" i="4"/>
  <c r="H710" i="4" s="1"/>
  <c r="H709" i="4" s="1"/>
  <c r="I707" i="4"/>
  <c r="I706" i="4" s="1"/>
  <c r="I705" i="4" s="1"/>
  <c r="H707" i="4"/>
  <c r="H706" i="4" s="1"/>
  <c r="H705" i="4" s="1"/>
  <c r="I704" i="4"/>
  <c r="I703" i="4" s="1"/>
  <c r="I702" i="4" s="1"/>
  <c r="H704" i="4"/>
  <c r="H703" i="4" s="1"/>
  <c r="H702" i="4" s="1"/>
  <c r="I700" i="4"/>
  <c r="I699" i="4" s="1"/>
  <c r="H700" i="4"/>
  <c r="H699" i="4" s="1"/>
  <c r="I697" i="4"/>
  <c r="I696" i="4" s="1"/>
  <c r="I695" i="4" s="1"/>
  <c r="H697" i="4"/>
  <c r="H696" i="4" s="1"/>
  <c r="H695" i="4" s="1"/>
  <c r="I689" i="4"/>
  <c r="I688" i="4" s="1"/>
  <c r="I687" i="4" s="1"/>
  <c r="I686" i="4" s="1"/>
  <c r="H689" i="4"/>
  <c r="H688" i="4" s="1"/>
  <c r="H687" i="4" s="1"/>
  <c r="H686" i="4" s="1"/>
  <c r="I680" i="4"/>
  <c r="I679" i="4" s="1"/>
  <c r="I678" i="4" s="1"/>
  <c r="I677" i="4" s="1"/>
  <c r="H680" i="4"/>
  <c r="H679" i="4" s="1"/>
  <c r="H678" i="4" s="1"/>
  <c r="H677" i="4" s="1"/>
  <c r="I675" i="4"/>
  <c r="I674" i="4" s="1"/>
  <c r="I673" i="4" s="1"/>
  <c r="H675" i="4"/>
  <c r="H674" i="4" s="1"/>
  <c r="H673" i="4" s="1"/>
  <c r="I672" i="4"/>
  <c r="I671" i="4" s="1"/>
  <c r="I670" i="4" s="1"/>
  <c r="H672" i="4"/>
  <c r="H671" i="4" s="1"/>
  <c r="H670" i="4" s="1"/>
  <c r="I668" i="4"/>
  <c r="I667" i="4" s="1"/>
  <c r="H668" i="4"/>
  <c r="H667" i="4" s="1"/>
  <c r="I665" i="4"/>
  <c r="I664" i="4" s="1"/>
  <c r="I663" i="4" s="1"/>
  <c r="H665" i="4"/>
  <c r="H664" i="4" s="1"/>
  <c r="H663" i="4" s="1"/>
  <c r="I662" i="4"/>
  <c r="I661" i="4" s="1"/>
  <c r="I660" i="4" s="1"/>
  <c r="H662" i="4"/>
  <c r="H661" i="4" s="1"/>
  <c r="H660" i="4" s="1"/>
  <c r="I658" i="4"/>
  <c r="I657" i="4" s="1"/>
  <c r="I656" i="4" s="1"/>
  <c r="H658" i="4"/>
  <c r="H657" i="4" s="1"/>
  <c r="H656" i="4" s="1"/>
  <c r="I655" i="4"/>
  <c r="I654" i="4" s="1"/>
  <c r="I653" i="4" s="1"/>
  <c r="H655" i="4"/>
  <c r="H654" i="4" s="1"/>
  <c r="H653" i="4" s="1"/>
  <c r="I651" i="4"/>
  <c r="I650" i="4" s="1"/>
  <c r="I649" i="4" s="1"/>
  <c r="H651" i="4"/>
  <c r="H650" i="4" s="1"/>
  <c r="H649" i="4" s="1"/>
  <c r="I647" i="4"/>
  <c r="I646" i="4" s="1"/>
  <c r="H647" i="4"/>
  <c r="H646" i="4" s="1"/>
  <c r="I645" i="4"/>
  <c r="I644" i="4" s="1"/>
  <c r="I643" i="4" s="1"/>
  <c r="H645" i="4"/>
  <c r="H644" i="4" s="1"/>
  <c r="H643" i="4" s="1"/>
  <c r="I642" i="4"/>
  <c r="I641" i="4" s="1"/>
  <c r="I640" i="4" s="1"/>
  <c r="H642" i="4"/>
  <c r="H641" i="4" s="1"/>
  <c r="H640" i="4" s="1"/>
  <c r="I637" i="4"/>
  <c r="I636" i="4" s="1"/>
  <c r="I635" i="4" s="1"/>
  <c r="H637" i="4"/>
  <c r="H636" i="4" s="1"/>
  <c r="H635" i="4" s="1"/>
  <c r="I633" i="4"/>
  <c r="I632" i="4" s="1"/>
  <c r="H633" i="4"/>
  <c r="H632" i="4" s="1"/>
  <c r="I631" i="4"/>
  <c r="I630" i="4" s="1"/>
  <c r="I629" i="4" s="1"/>
  <c r="H631" i="4"/>
  <c r="H630" i="4" s="1"/>
  <c r="H629" i="4" s="1"/>
  <c r="I627" i="4"/>
  <c r="I626" i="4" s="1"/>
  <c r="H627" i="4"/>
  <c r="H626" i="4" s="1"/>
  <c r="I624" i="4"/>
  <c r="I623" i="4" s="1"/>
  <c r="H624" i="4"/>
  <c r="H623" i="4" s="1"/>
  <c r="I620" i="4"/>
  <c r="I619" i="4" s="1"/>
  <c r="H620" i="4"/>
  <c r="H619" i="4" s="1"/>
  <c r="I617" i="4"/>
  <c r="I616" i="4" s="1"/>
  <c r="H617" i="4"/>
  <c r="H616" i="4" s="1"/>
  <c r="I614" i="4"/>
  <c r="I613" i="4" s="1"/>
  <c r="H614" i="4"/>
  <c r="H613" i="4" s="1"/>
  <c r="I607" i="4"/>
  <c r="I606" i="4" s="1"/>
  <c r="H607" i="4"/>
  <c r="H606" i="4" s="1"/>
  <c r="H605" i="4" s="1"/>
  <c r="I602" i="4"/>
  <c r="I601" i="4" s="1"/>
  <c r="I600" i="4" s="1"/>
  <c r="I599" i="4" s="1"/>
  <c r="H602" i="4"/>
  <c r="H601" i="4" s="1"/>
  <c r="H600" i="4" s="1"/>
  <c r="H599" i="4" s="1"/>
  <c r="I590" i="4"/>
  <c r="I589" i="4" s="1"/>
  <c r="H590" i="4"/>
  <c r="H589" i="4" s="1"/>
  <c r="I587" i="4"/>
  <c r="I586" i="4" s="1"/>
  <c r="H587" i="4"/>
  <c r="H586" i="4" s="1"/>
  <c r="I584" i="4"/>
  <c r="I583" i="4" s="1"/>
  <c r="I582" i="4" s="1"/>
  <c r="H584" i="4"/>
  <c r="H583" i="4" s="1"/>
  <c r="H582" i="4" s="1"/>
  <c r="I581" i="4"/>
  <c r="I580" i="4" s="1"/>
  <c r="I579" i="4" s="1"/>
  <c r="H581" i="4"/>
  <c r="H580" i="4" s="1"/>
  <c r="H579" i="4" s="1"/>
  <c r="I577" i="4"/>
  <c r="I576" i="4" s="1"/>
  <c r="H577" i="4"/>
  <c r="H576" i="4" s="1"/>
  <c r="I573" i="4"/>
  <c r="I572" i="4" s="1"/>
  <c r="H573" i="4"/>
  <c r="H572" i="4" s="1"/>
  <c r="I570" i="4"/>
  <c r="I569" i="4" s="1"/>
  <c r="H570" i="4"/>
  <c r="H569" i="4" s="1"/>
  <c r="I568" i="4"/>
  <c r="I567" i="4" s="1"/>
  <c r="I566" i="4" s="1"/>
  <c r="H568" i="4"/>
  <c r="H567" i="4" s="1"/>
  <c r="H566" i="4" s="1"/>
  <c r="I563" i="4"/>
  <c r="I562" i="4" s="1"/>
  <c r="I561" i="4" s="1"/>
  <c r="H563" i="4"/>
  <c r="H562" i="4" s="1"/>
  <c r="H561" i="4" s="1"/>
  <c r="I559" i="4"/>
  <c r="I558" i="4" s="1"/>
  <c r="H559" i="4"/>
  <c r="H558" i="4" s="1"/>
  <c r="I557" i="4"/>
  <c r="I556" i="4" s="1"/>
  <c r="I555" i="4" s="1"/>
  <c r="H557" i="4"/>
  <c r="H556" i="4" s="1"/>
  <c r="H555" i="4" s="1"/>
  <c r="I553" i="4"/>
  <c r="I552" i="4" s="1"/>
  <c r="H553" i="4"/>
  <c r="H552" i="4" s="1"/>
  <c r="I549" i="4"/>
  <c r="I548" i="4" s="1"/>
  <c r="H549" i="4"/>
  <c r="H548" i="4" s="1"/>
  <c r="I546" i="4"/>
  <c r="I545" i="4" s="1"/>
  <c r="H546" i="4"/>
  <c r="H545" i="4" s="1"/>
  <c r="I538" i="4"/>
  <c r="I537" i="4" s="1"/>
  <c r="H538" i="4"/>
  <c r="H537" i="4" s="1"/>
  <c r="I535" i="4"/>
  <c r="I534" i="4" s="1"/>
  <c r="I533" i="4" s="1"/>
  <c r="I532" i="4" s="1"/>
  <c r="I531" i="4" s="1"/>
  <c r="H535" i="4"/>
  <c r="H534" i="4" s="1"/>
  <c r="H533" i="4" s="1"/>
  <c r="H532" i="4" s="1"/>
  <c r="H531" i="4" s="1"/>
  <c r="I522" i="4"/>
  <c r="I521" i="4" s="1"/>
  <c r="I520" i="4" s="1"/>
  <c r="H522" i="4"/>
  <c r="H521" i="4" s="1"/>
  <c r="H520" i="4" s="1"/>
  <c r="I519" i="4"/>
  <c r="I518" i="4" s="1"/>
  <c r="I517" i="4" s="1"/>
  <c r="H519" i="4"/>
  <c r="H518" i="4" s="1"/>
  <c r="H517" i="4" s="1"/>
  <c r="I512" i="4"/>
  <c r="I511" i="4" s="1"/>
  <c r="I510" i="4" s="1"/>
  <c r="I509" i="4" s="1"/>
  <c r="I508" i="4" s="1"/>
  <c r="H512" i="4"/>
  <c r="H511" i="4" s="1"/>
  <c r="H510" i="4" s="1"/>
  <c r="H509" i="4" s="1"/>
  <c r="H508" i="4" s="1"/>
  <c r="I506" i="4"/>
  <c r="I505" i="4" s="1"/>
  <c r="H506" i="4"/>
  <c r="H505" i="4" s="1"/>
  <c r="I504" i="4"/>
  <c r="I503" i="4" s="1"/>
  <c r="I502" i="4" s="1"/>
  <c r="H504" i="4"/>
  <c r="H503" i="4" s="1"/>
  <c r="H502" i="4" s="1"/>
  <c r="I493" i="4"/>
  <c r="I492" i="4" s="1"/>
  <c r="H493" i="4"/>
  <c r="H492" i="4" s="1"/>
  <c r="I491" i="4"/>
  <c r="I490" i="4" s="1"/>
  <c r="H491" i="4"/>
  <c r="H490" i="4" s="1"/>
  <c r="I489" i="4"/>
  <c r="I488" i="4" s="1"/>
  <c r="H489" i="4"/>
  <c r="H488" i="4" s="1"/>
  <c r="I487" i="4"/>
  <c r="I486" i="4" s="1"/>
  <c r="H487" i="4"/>
  <c r="H486" i="4" s="1"/>
  <c r="I459" i="4"/>
  <c r="I458" i="4" s="1"/>
  <c r="I457" i="4" s="1"/>
  <c r="I456" i="4" s="1"/>
  <c r="H459" i="4"/>
  <c r="H458" i="4" s="1"/>
  <c r="H457" i="4" s="1"/>
  <c r="H456" i="4" s="1"/>
  <c r="I452" i="4"/>
  <c r="I451" i="4" s="1"/>
  <c r="I450" i="4" s="1"/>
  <c r="H452" i="4"/>
  <c r="H451" i="4" s="1"/>
  <c r="H450" i="4" s="1"/>
  <c r="I449" i="4"/>
  <c r="H449" i="4"/>
  <c r="I443" i="4"/>
  <c r="I442" i="4" s="1"/>
  <c r="I441" i="4" s="1"/>
  <c r="H443" i="4"/>
  <c r="H442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I431" i="4"/>
  <c r="I430" i="4" s="1"/>
  <c r="I429" i="4" s="1"/>
  <c r="I428" i="4" s="1"/>
  <c r="I427" i="4" s="1"/>
  <c r="I426" i="4" s="1"/>
  <c r="H431" i="4"/>
  <c r="I424" i="4"/>
  <c r="I423" i="4" s="1"/>
  <c r="H424" i="4"/>
  <c r="H423" i="4" s="1"/>
  <c r="I421" i="4"/>
  <c r="H421" i="4"/>
  <c r="I419" i="4"/>
  <c r="H419" i="4"/>
  <c r="I417" i="4"/>
  <c r="H417" i="4"/>
  <c r="I412" i="4"/>
  <c r="I411" i="4" s="1"/>
  <c r="H412" i="4"/>
  <c r="H411" i="4" s="1"/>
  <c r="I409" i="4"/>
  <c r="H409" i="4"/>
  <c r="I407" i="4"/>
  <c r="H407" i="4"/>
  <c r="I401" i="4"/>
  <c r="I400" i="4" s="1"/>
  <c r="I399" i="4" s="1"/>
  <c r="I398" i="4" s="1"/>
  <c r="H401" i="4"/>
  <c r="H400" i="4" s="1"/>
  <c r="H399" i="4" s="1"/>
  <c r="H398" i="4" s="1"/>
  <c r="I396" i="4"/>
  <c r="I395" i="4" s="1"/>
  <c r="I393" i="4" s="1"/>
  <c r="H396" i="4"/>
  <c r="H395" i="4" s="1"/>
  <c r="H393" i="4" s="1"/>
  <c r="I394" i="4"/>
  <c r="H394" i="4"/>
  <c r="I391" i="4"/>
  <c r="I390" i="4" s="1"/>
  <c r="H391" i="4"/>
  <c r="H390" i="4" s="1"/>
  <c r="I388" i="4"/>
  <c r="I387" i="4" s="1"/>
  <c r="H388" i="4"/>
  <c r="H387" i="4" s="1"/>
  <c r="I384" i="4"/>
  <c r="I383" i="4" s="1"/>
  <c r="H384" i="4"/>
  <c r="H383" i="4" s="1"/>
  <c r="I381" i="4"/>
  <c r="I380" i="4" s="1"/>
  <c r="H381" i="4"/>
  <c r="H380" i="4" s="1"/>
  <c r="I377" i="4"/>
  <c r="I376" i="4" s="1"/>
  <c r="I375" i="4" s="1"/>
  <c r="H377" i="4"/>
  <c r="H376" i="4" s="1"/>
  <c r="H375" i="4" s="1"/>
  <c r="I373" i="4"/>
  <c r="I372" i="4" s="1"/>
  <c r="I371" i="4" s="1"/>
  <c r="H373" i="4"/>
  <c r="H372" i="4" s="1"/>
  <c r="H371" i="4" s="1"/>
  <c r="I369" i="4"/>
  <c r="H369" i="4"/>
  <c r="I367" i="4"/>
  <c r="H367" i="4"/>
  <c r="I366" i="4"/>
  <c r="I365" i="4" s="1"/>
  <c r="H366" i="4"/>
  <c r="H365" i="4" s="1"/>
  <c r="I356" i="4"/>
  <c r="I355" i="4" s="1"/>
  <c r="I354" i="4" s="1"/>
  <c r="H356" i="4"/>
  <c r="H355" i="4" s="1"/>
  <c r="H354" i="4" s="1"/>
  <c r="I352" i="4"/>
  <c r="I351" i="4" s="1"/>
  <c r="I350" i="4" s="1"/>
  <c r="H352" i="4"/>
  <c r="H351" i="4" s="1"/>
  <c r="H350" i="4" s="1"/>
  <c r="I348" i="4"/>
  <c r="H348" i="4"/>
  <c r="I346" i="4"/>
  <c r="H346" i="4"/>
  <c r="I342" i="4"/>
  <c r="H342" i="4"/>
  <c r="I340" i="4"/>
  <c r="H340" i="4"/>
  <c r="I339" i="4"/>
  <c r="I338" i="4" s="1"/>
  <c r="H339" i="4"/>
  <c r="H338" i="4" s="1"/>
  <c r="I330" i="4"/>
  <c r="I329" i="4" s="1"/>
  <c r="I328" i="4" s="1"/>
  <c r="H330" i="4"/>
  <c r="H329" i="4" s="1"/>
  <c r="H328" i="4" s="1"/>
  <c r="I326" i="4"/>
  <c r="H326" i="4"/>
  <c r="I325" i="4"/>
  <c r="I324" i="4" s="1"/>
  <c r="H325" i="4"/>
  <c r="H324" i="4" s="1"/>
  <c r="I320" i="4"/>
  <c r="I319" i="4" s="1"/>
  <c r="H320" i="4"/>
  <c r="H319" i="4" s="1"/>
  <c r="I317" i="4"/>
  <c r="I316" i="4" s="1"/>
  <c r="H317" i="4"/>
  <c r="H316" i="4" s="1"/>
  <c r="I310" i="4"/>
  <c r="I309" i="4" s="1"/>
  <c r="H310" i="4"/>
  <c r="H309" i="4" s="1"/>
  <c r="H307" i="4" s="1"/>
  <c r="I306" i="4"/>
  <c r="I305" i="4" s="1"/>
  <c r="I304" i="4" s="1"/>
  <c r="H306" i="4"/>
  <c r="H305" i="4" s="1"/>
  <c r="H304" i="4" s="1"/>
  <c r="I303" i="4"/>
  <c r="I302" i="4" s="1"/>
  <c r="I301" i="4" s="1"/>
  <c r="H303" i="4"/>
  <c r="H302" i="4" s="1"/>
  <c r="H301" i="4" s="1"/>
  <c r="I300" i="4"/>
  <c r="I299" i="4" s="1"/>
  <c r="I298" i="4" s="1"/>
  <c r="H300" i="4"/>
  <c r="H299" i="4" s="1"/>
  <c r="H298" i="4" s="1"/>
  <c r="I292" i="4"/>
  <c r="I291" i="4" s="1"/>
  <c r="H292" i="4"/>
  <c r="H291" i="4" s="1"/>
  <c r="I289" i="4"/>
  <c r="H289" i="4"/>
  <c r="I285" i="4"/>
  <c r="I284" i="4" s="1"/>
  <c r="I283" i="4" s="1"/>
  <c r="H285" i="4"/>
  <c r="H284" i="4" s="1"/>
  <c r="H283" i="4" s="1"/>
  <c r="I281" i="4"/>
  <c r="H281" i="4"/>
  <c r="I279" i="4"/>
  <c r="H279" i="4"/>
  <c r="I277" i="4"/>
  <c r="H277" i="4"/>
  <c r="I265" i="4"/>
  <c r="I264" i="4" s="1"/>
  <c r="H265" i="4"/>
  <c r="H264" i="4" s="1"/>
  <c r="I262" i="4"/>
  <c r="I261" i="4" s="1"/>
  <c r="H262" i="4"/>
  <c r="H261" i="4" s="1"/>
  <c r="I258" i="4"/>
  <c r="I257" i="4" s="1"/>
  <c r="H258" i="4"/>
  <c r="H257" i="4" s="1"/>
  <c r="I255" i="4"/>
  <c r="I254" i="4" s="1"/>
  <c r="H255" i="4"/>
  <c r="H254" i="4" s="1"/>
  <c r="I251" i="4"/>
  <c r="I250" i="4" s="1"/>
  <c r="H251" i="4"/>
  <c r="H250" i="4" s="1"/>
  <c r="I248" i="4"/>
  <c r="I247" i="4" s="1"/>
  <c r="H248" i="4"/>
  <c r="H247" i="4" s="1"/>
  <c r="I240" i="4"/>
  <c r="I239" i="4" s="1"/>
  <c r="H240" i="4"/>
  <c r="H239" i="4" s="1"/>
  <c r="H237" i="4" s="1"/>
  <c r="I235" i="4"/>
  <c r="I234" i="4" s="1"/>
  <c r="H235" i="4"/>
  <c r="H234" i="4" s="1"/>
  <c r="I232" i="4"/>
  <c r="I231" i="4" s="1"/>
  <c r="H232" i="4"/>
  <c r="H231" i="4" s="1"/>
  <c r="I229" i="4"/>
  <c r="I228" i="4" s="1"/>
  <c r="H229" i="4"/>
  <c r="H228" i="4" s="1"/>
  <c r="I226" i="4"/>
  <c r="I225" i="4" s="1"/>
  <c r="H226" i="4"/>
  <c r="H225" i="4" s="1"/>
  <c r="I223" i="4"/>
  <c r="I222" i="4" s="1"/>
  <c r="H223" i="4"/>
  <c r="H222" i="4" s="1"/>
  <c r="I218" i="4"/>
  <c r="I217" i="4" s="1"/>
  <c r="H218" i="4"/>
  <c r="H217" i="4" s="1"/>
  <c r="I216" i="4"/>
  <c r="I215" i="4" s="1"/>
  <c r="I214" i="4" s="1"/>
  <c r="H216" i="4"/>
  <c r="H215" i="4" s="1"/>
  <c r="H214" i="4" s="1"/>
  <c r="I207" i="4"/>
  <c r="I206" i="4" s="1"/>
  <c r="H207" i="4"/>
  <c r="H206" i="4" s="1"/>
  <c r="I205" i="4"/>
  <c r="I204" i="4" s="1"/>
  <c r="H205" i="4"/>
  <c r="H204" i="4" s="1"/>
  <c r="I198" i="4"/>
  <c r="I197" i="4" s="1"/>
  <c r="H198" i="4"/>
  <c r="H197" i="4" s="1"/>
  <c r="H195" i="4" s="1"/>
  <c r="H194" i="4" s="1"/>
  <c r="I192" i="4"/>
  <c r="I191" i="4" s="1"/>
  <c r="I190" i="4" s="1"/>
  <c r="I189" i="4" s="1"/>
  <c r="I188" i="4" s="1"/>
  <c r="H192" i="4"/>
  <c r="H191" i="4" s="1"/>
  <c r="H190" i="4" s="1"/>
  <c r="H189" i="4" s="1"/>
  <c r="H188" i="4" s="1"/>
  <c r="I185" i="4"/>
  <c r="I184" i="4" s="1"/>
  <c r="H185" i="4"/>
  <c r="H184" i="4" s="1"/>
  <c r="I182" i="4"/>
  <c r="I181" i="4" s="1"/>
  <c r="H182" i="4"/>
  <c r="H181" i="4" s="1"/>
  <c r="I178" i="4"/>
  <c r="I177" i="4" s="1"/>
  <c r="H178" i="4"/>
  <c r="H177" i="4" s="1"/>
  <c r="I176" i="4"/>
  <c r="I175" i="4" s="1"/>
  <c r="H176" i="4"/>
  <c r="H175" i="4" s="1"/>
  <c r="I169" i="4"/>
  <c r="I168" i="4" s="1"/>
  <c r="I167" i="4" s="1"/>
  <c r="H169" i="4"/>
  <c r="H168" i="4" s="1"/>
  <c r="H167" i="4" s="1"/>
  <c r="I162" i="4"/>
  <c r="I161" i="4" s="1"/>
  <c r="H162" i="4"/>
  <c r="H161" i="4" s="1"/>
  <c r="I155" i="4"/>
  <c r="I154" i="4" s="1"/>
  <c r="H155" i="4"/>
  <c r="H154" i="4" s="1"/>
  <c r="I153" i="4"/>
  <c r="I152" i="4" s="1"/>
  <c r="H153" i="4"/>
  <c r="H152" i="4" s="1"/>
  <c r="I151" i="4"/>
  <c r="I150" i="4" s="1"/>
  <c r="H151" i="4"/>
  <c r="H150" i="4" s="1"/>
  <c r="I147" i="4"/>
  <c r="I146" i="4" s="1"/>
  <c r="I145" i="4" s="1"/>
  <c r="H147" i="4"/>
  <c r="H146" i="4" s="1"/>
  <c r="H145" i="4" s="1"/>
  <c r="I143" i="4"/>
  <c r="I142" i="4" s="1"/>
  <c r="H143" i="4"/>
  <c r="H142" i="4" s="1"/>
  <c r="I136" i="4"/>
  <c r="I135" i="4" s="1"/>
  <c r="I134" i="4" s="1"/>
  <c r="I133" i="4" s="1"/>
  <c r="I132" i="4" s="1"/>
  <c r="I131" i="4" s="1"/>
  <c r="H136" i="4"/>
  <c r="H135" i="4" s="1"/>
  <c r="H134" i="4" s="1"/>
  <c r="H133" i="4" s="1"/>
  <c r="H132" i="4" s="1"/>
  <c r="H131" i="4" s="1"/>
  <c r="I129" i="4"/>
  <c r="I128" i="4" s="1"/>
  <c r="I127" i="4" s="1"/>
  <c r="H129" i="4"/>
  <c r="H128" i="4" s="1"/>
  <c r="H127" i="4" s="1"/>
  <c r="I124" i="4"/>
  <c r="I123" i="4" s="1"/>
  <c r="I122" i="4" s="1"/>
  <c r="H124" i="4"/>
  <c r="H123" i="4" s="1"/>
  <c r="H121" i="4" s="1"/>
  <c r="I119" i="4"/>
  <c r="I118" i="4" s="1"/>
  <c r="I117" i="4" s="1"/>
  <c r="H119" i="4"/>
  <c r="H118" i="4" s="1"/>
  <c r="H117" i="4" s="1"/>
  <c r="I115" i="4"/>
  <c r="I114" i="4" s="1"/>
  <c r="I113" i="4" s="1"/>
  <c r="H115" i="4"/>
  <c r="H114" i="4" s="1"/>
  <c r="H113" i="4" s="1"/>
  <c r="I110" i="4"/>
  <c r="I109" i="4" s="1"/>
  <c r="H110" i="4"/>
  <c r="H109" i="4" s="1"/>
  <c r="I108" i="4"/>
  <c r="I107" i="4" s="1"/>
  <c r="H108" i="4"/>
  <c r="H107" i="4" s="1"/>
  <c r="I106" i="4"/>
  <c r="I105" i="4" s="1"/>
  <c r="H106" i="4"/>
  <c r="H105" i="4" s="1"/>
  <c r="I91" i="4"/>
  <c r="I90" i="4" s="1"/>
  <c r="H91" i="4"/>
  <c r="H90" i="4" s="1"/>
  <c r="I88" i="4"/>
  <c r="H88" i="4"/>
  <c r="I82" i="4"/>
  <c r="I81" i="4" s="1"/>
  <c r="H82" i="4"/>
  <c r="H81" i="4" s="1"/>
  <c r="I79" i="4"/>
  <c r="I78" i="4" s="1"/>
  <c r="H79" i="4"/>
  <c r="H78" i="4" s="1"/>
  <c r="I76" i="4"/>
  <c r="I75" i="4" s="1"/>
  <c r="H76" i="4"/>
  <c r="H75" i="4" s="1"/>
  <c r="I73" i="4"/>
  <c r="H73" i="4"/>
  <c r="I70" i="4"/>
  <c r="I69" i="4" s="1"/>
  <c r="I68" i="4" s="1"/>
  <c r="I67" i="4" s="1"/>
  <c r="H70" i="4"/>
  <c r="H69" i="4" s="1"/>
  <c r="H68" i="4" s="1"/>
  <c r="H67" i="4" s="1"/>
  <c r="I65" i="4"/>
  <c r="I64" i="4" s="1"/>
  <c r="H65" i="4"/>
  <c r="H64" i="4" s="1"/>
  <c r="I63" i="4"/>
  <c r="I62" i="4" s="1"/>
  <c r="H63" i="4"/>
  <c r="H62" i="4" s="1"/>
  <c r="I60" i="4"/>
  <c r="I59" i="4" s="1"/>
  <c r="H60" i="4"/>
  <c r="H59" i="4" s="1"/>
  <c r="I58" i="4"/>
  <c r="I57" i="4" s="1"/>
  <c r="H58" i="4"/>
  <c r="H57" i="4" s="1"/>
  <c r="I55" i="4"/>
  <c r="I54" i="4" s="1"/>
  <c r="H55" i="4"/>
  <c r="H54" i="4" s="1"/>
  <c r="I53" i="4"/>
  <c r="I52" i="4" s="1"/>
  <c r="H53" i="4"/>
  <c r="H52" i="4" s="1"/>
  <c r="I46" i="4"/>
  <c r="H46" i="4"/>
  <c r="I42" i="4"/>
  <c r="I41" i="4" s="1"/>
  <c r="H42" i="4"/>
  <c r="H41" i="4" s="1"/>
  <c r="I40" i="4"/>
  <c r="I39" i="4" s="1"/>
  <c r="I38" i="4" s="1"/>
  <c r="H40" i="4"/>
  <c r="H39" i="4" s="1"/>
  <c r="H38" i="4" s="1"/>
  <c r="I37" i="4"/>
  <c r="I36" i="4" s="1"/>
  <c r="H37" i="4"/>
  <c r="H36" i="4" s="1"/>
  <c r="I34" i="4"/>
  <c r="H34" i="4"/>
  <c r="I33" i="4"/>
  <c r="I32" i="4" s="1"/>
  <c r="H33" i="4"/>
  <c r="H32" i="4" s="1"/>
  <c r="I31" i="4"/>
  <c r="I30" i="4" s="1"/>
  <c r="H31" i="4"/>
  <c r="H30" i="4" s="1"/>
  <c r="I22" i="4"/>
  <c r="I21" i="4" s="1"/>
  <c r="H22" i="4"/>
  <c r="H21" i="4" s="1"/>
  <c r="I19" i="4"/>
  <c r="H19" i="4"/>
  <c r="I17" i="4"/>
  <c r="H17" i="4"/>
  <c r="I16" i="4"/>
  <c r="I15" i="4" s="1"/>
  <c r="H16" i="4"/>
  <c r="H15" i="4" s="1"/>
  <c r="G960" i="4"/>
  <c r="F415" i="3"/>
  <c r="F415" i="14" s="1"/>
  <c r="G415" i="14" s="1"/>
  <c r="F411" i="3"/>
  <c r="H889" i="16" l="1"/>
  <c r="H888" i="16" s="1"/>
  <c r="H887" i="16" s="1"/>
  <c r="H886" i="16" s="1"/>
  <c r="H891" i="16" s="1"/>
  <c r="H430" i="4"/>
  <c r="H429" i="4" s="1"/>
  <c r="H428" i="4" s="1"/>
  <c r="H427" i="4" s="1"/>
  <c r="H426" i="4" s="1"/>
  <c r="H105" i="16"/>
  <c r="H1072" i="4"/>
  <c r="H1071" i="4" s="1"/>
  <c r="H1070" i="4" s="1"/>
  <c r="H1069" i="4" s="1"/>
  <c r="H448" i="4"/>
  <c r="H447" i="4" s="1"/>
  <c r="H446" i="4" s="1"/>
  <c r="H445" i="4" s="1"/>
  <c r="G959" i="4"/>
  <c r="G956" i="15"/>
  <c r="H956" i="15" s="1"/>
  <c r="I448" i="4"/>
  <c r="I447" i="4" s="1"/>
  <c r="I446" i="4" s="1"/>
  <c r="I445" i="4" s="1"/>
  <c r="I1072" i="4"/>
  <c r="I1071" i="4" s="1"/>
  <c r="I1070" i="4" s="1"/>
  <c r="I1069" i="4" s="1"/>
  <c r="G218" i="5"/>
  <c r="G283" i="5"/>
  <c r="G223" i="5"/>
  <c r="G183" i="5"/>
  <c r="G216" i="5"/>
  <c r="F659" i="3"/>
  <c r="F658" i="3" s="1"/>
  <c r="G285" i="5"/>
  <c r="G519" i="5"/>
  <c r="G530" i="5"/>
  <c r="G168" i="5"/>
  <c r="G202" i="5"/>
  <c r="G356" i="5"/>
  <c r="G172" i="5"/>
  <c r="G205" i="5"/>
  <c r="G226" i="5"/>
  <c r="G197" i="5"/>
  <c r="G170" i="5"/>
  <c r="G195" i="5"/>
  <c r="G211" i="5"/>
  <c r="G185" i="5"/>
  <c r="G214" i="5"/>
  <c r="G179" i="5"/>
  <c r="G177" i="5"/>
  <c r="G697" i="5"/>
  <c r="F411" i="14"/>
  <c r="G411" i="14" s="1"/>
  <c r="F484" i="3"/>
  <c r="F484" i="14" s="1"/>
  <c r="F485" i="14"/>
  <c r="G485" i="14" s="1"/>
  <c r="F735" i="3"/>
  <c r="F731" i="14" s="1"/>
  <c r="G731" i="14" s="1"/>
  <c r="F732" i="14"/>
  <c r="G732" i="14" s="1"/>
  <c r="F454" i="3"/>
  <c r="F454" i="14" s="1"/>
  <c r="G454" i="14" s="1"/>
  <c r="F455" i="14"/>
  <c r="G455" i="14" s="1"/>
  <c r="F751" i="3"/>
  <c r="F747" i="14" s="1"/>
  <c r="G747" i="14" s="1"/>
  <c r="F748" i="14"/>
  <c r="G748" i="14" s="1"/>
  <c r="D41" i="2"/>
  <c r="F649" i="3"/>
  <c r="F646" i="14"/>
  <c r="G646" i="14" s="1"/>
  <c r="G175" i="5"/>
  <c r="F487" i="3"/>
  <c r="F487" i="14" s="1"/>
  <c r="G487" i="14" s="1"/>
  <c r="F488" i="14"/>
  <c r="G488" i="14" s="1"/>
  <c r="F471" i="3"/>
  <c r="F471" i="14" s="1"/>
  <c r="G471" i="14" s="1"/>
  <c r="F472" i="14"/>
  <c r="G472" i="14" s="1"/>
  <c r="F691" i="3"/>
  <c r="F688" i="14"/>
  <c r="F399" i="3"/>
  <c r="F400" i="14"/>
  <c r="G400" i="14" s="1"/>
  <c r="F434" i="3"/>
  <c r="G734" i="5"/>
  <c r="F437" i="3"/>
  <c r="G738" i="5"/>
  <c r="I337" i="4"/>
  <c r="I336" i="4" s="1"/>
  <c r="I982" i="4"/>
  <c r="I978" i="4" s="1"/>
  <c r="I203" i="4"/>
  <c r="I202" i="4" s="1"/>
  <c r="I201" i="4" s="1"/>
  <c r="I200" i="4" s="1"/>
  <c r="I253" i="4"/>
  <c r="H203" i="4"/>
  <c r="H202" i="4" s="1"/>
  <c r="H201" i="4" s="1"/>
  <c r="H200" i="4" s="1"/>
  <c r="H187" i="4" s="1"/>
  <c r="I872" i="4"/>
  <c r="I866" i="4" s="1"/>
  <c r="I865" i="4" s="1"/>
  <c r="I858" i="4" s="1"/>
  <c r="H180" i="4"/>
  <c r="H179" i="4" s="1"/>
  <c r="I831" i="4"/>
  <c r="I830" i="4" s="1"/>
  <c r="I829" i="4" s="1"/>
  <c r="I828" i="4" s="1"/>
  <c r="I56" i="4"/>
  <c r="I14" i="4"/>
  <c r="I13" i="4" s="1"/>
  <c r="I12" i="4" s="1"/>
  <c r="I11" i="4" s="1"/>
  <c r="H337" i="4"/>
  <c r="H336" i="4" s="1"/>
  <c r="H406" i="4"/>
  <c r="H405" i="4" s="1"/>
  <c r="H404" i="4" s="1"/>
  <c r="H416" i="4"/>
  <c r="H415" i="4" s="1"/>
  <c r="H414" i="4" s="1"/>
  <c r="H749" i="4"/>
  <c r="H748" i="4" s="1"/>
  <c r="H743" i="4" s="1"/>
  <c r="H809" i="4"/>
  <c r="I1027" i="4"/>
  <c r="I1026" i="4" s="1"/>
  <c r="H174" i="4"/>
  <c r="H173" i="4" s="1"/>
  <c r="H172" i="4" s="1"/>
  <c r="H213" i="4"/>
  <c r="H212" i="4" s="1"/>
  <c r="H211" i="4" s="1"/>
  <c r="H906" i="4"/>
  <c r="I993" i="4"/>
  <c r="H1083" i="4"/>
  <c r="H1082" i="4" s="1"/>
  <c r="H1081" i="4" s="1"/>
  <c r="H1080" i="4" s="1"/>
  <c r="I77" i="4"/>
  <c r="H698" i="4"/>
  <c r="H693" i="4" s="1"/>
  <c r="H575" i="4"/>
  <c r="I585" i="4"/>
  <c r="H253" i="4"/>
  <c r="H612" i="4"/>
  <c r="H56" i="4"/>
  <c r="H77" i="4"/>
  <c r="I174" i="4"/>
  <c r="I173" i="4" s="1"/>
  <c r="I172" i="4" s="1"/>
  <c r="I791" i="4"/>
  <c r="I771" i="4"/>
  <c r="I180" i="4"/>
  <c r="I179" i="4" s="1"/>
  <c r="H246" i="4"/>
  <c r="I364" i="4"/>
  <c r="I363" i="4" s="1"/>
  <c r="I717" i="4"/>
  <c r="H881" i="4"/>
  <c r="H880" i="4" s="1"/>
  <c r="H879" i="4" s="1"/>
  <c r="H878" i="4" s="1"/>
  <c r="I895" i="4"/>
  <c r="I900" i="4"/>
  <c r="I906" i="4"/>
  <c r="H982" i="4"/>
  <c r="H978" i="4" s="1"/>
  <c r="I1083" i="4"/>
  <c r="I1082" i="4" s="1"/>
  <c r="I1081" i="4" s="1"/>
  <c r="I1080" i="4" s="1"/>
  <c r="H14" i="4"/>
  <c r="H13" i="4" s="1"/>
  <c r="H12" i="4" s="1"/>
  <c r="H11" i="4" s="1"/>
  <c r="H61" i="4"/>
  <c r="H72" i="4"/>
  <c r="H71" i="4" s="1"/>
  <c r="H87" i="4"/>
  <c r="H86" i="4" s="1"/>
  <c r="H85" i="4" s="1"/>
  <c r="H84" i="4" s="1"/>
  <c r="H104" i="4"/>
  <c r="H103" i="4" s="1"/>
  <c r="H102" i="4" s="1"/>
  <c r="H126" i="4"/>
  <c r="I141" i="4"/>
  <c r="I149" i="4"/>
  <c r="I148" i="4" s="1"/>
  <c r="H379" i="4"/>
  <c r="I386" i="4"/>
  <c r="I416" i="4"/>
  <c r="I415" i="4" s="1"/>
  <c r="I414" i="4" s="1"/>
  <c r="I612" i="4"/>
  <c r="H831" i="4"/>
  <c r="H830" i="4" s="1"/>
  <c r="H829" i="4" s="1"/>
  <c r="H828" i="4" s="1"/>
  <c r="H844" i="4"/>
  <c r="H840" i="4" s="1"/>
  <c r="H839" i="4" s="1"/>
  <c r="H838" i="4" s="1"/>
  <c r="H837" i="4" s="1"/>
  <c r="H895" i="4"/>
  <c r="I516" i="4"/>
  <c r="I515" i="4" s="1"/>
  <c r="I514" i="4" s="1"/>
  <c r="I513" i="4" s="1"/>
  <c r="I749" i="4"/>
  <c r="I748" i="4" s="1"/>
  <c r="I743" i="4" s="1"/>
  <c r="H386" i="4"/>
  <c r="I565" i="4"/>
  <c r="I1019" i="4"/>
  <c r="H501" i="4"/>
  <c r="H500" i="4" s="1"/>
  <c r="H499" i="4" s="1"/>
  <c r="I1008" i="4"/>
  <c r="I1007" i="4" s="1"/>
  <c r="I1006" i="4" s="1"/>
  <c r="H196" i="4"/>
  <c r="I288" i="4"/>
  <c r="I287" i="4" s="1"/>
  <c r="I345" i="4"/>
  <c r="I344" i="4" s="1"/>
  <c r="I485" i="4"/>
  <c r="I484" i="4" s="1"/>
  <c r="I483" i="4" s="1"/>
  <c r="I482" i="4" s="1"/>
  <c r="I735" i="4"/>
  <c r="I734" i="4" s="1"/>
  <c r="I733" i="4" s="1"/>
  <c r="I809" i="4"/>
  <c r="I1053" i="4"/>
  <c r="I1052" i="4" s="1"/>
  <c r="I1051" i="4" s="1"/>
  <c r="H652" i="4"/>
  <c r="H622" i="4"/>
  <c r="I276" i="4"/>
  <c r="I275" i="4" s="1"/>
  <c r="H604" i="4"/>
  <c r="H717" i="4"/>
  <c r="I781" i="4"/>
  <c r="H818" i="4"/>
  <c r="H817" i="4" s="1"/>
  <c r="H872" i="4"/>
  <c r="H871" i="4" s="1"/>
  <c r="H914" i="4"/>
  <c r="H1062" i="4"/>
  <c r="H1061" i="4" s="1"/>
  <c r="H922" i="4"/>
  <c r="I29" i="4"/>
  <c r="I28" i="4" s="1"/>
  <c r="I246" i="4"/>
  <c r="I260" i="4"/>
  <c r="I237" i="4"/>
  <c r="I238" i="4"/>
  <c r="I379" i="4"/>
  <c r="H260" i="4"/>
  <c r="H315" i="4"/>
  <c r="H708" i="4"/>
  <c r="H725" i="4"/>
  <c r="H724" i="4" s="1"/>
  <c r="H723" i="4" s="1"/>
  <c r="H722" i="4" s="1"/>
  <c r="H141" i="4"/>
  <c r="H694" i="4"/>
  <c r="I922" i="4"/>
  <c r="I968" i="4"/>
  <c r="I964" i="4" s="1"/>
  <c r="I963" i="4" s="1"/>
  <c r="H1041" i="4"/>
  <c r="H1040" i="4" s="1"/>
  <c r="H45" i="4"/>
  <c r="I213" i="4"/>
  <c r="I212" i="4" s="1"/>
  <c r="I211" i="4" s="1"/>
  <c r="H221" i="4"/>
  <c r="H220" i="4" s="1"/>
  <c r="H238" i="4"/>
  <c r="H297" i="4"/>
  <c r="I315" i="4"/>
  <c r="H345" i="4"/>
  <c r="H344" i="4" s="1"/>
  <c r="H364" i="4"/>
  <c r="H363" i="4" s="1"/>
  <c r="H544" i="4"/>
  <c r="H565" i="4"/>
  <c r="I652" i="4"/>
  <c r="H735" i="4"/>
  <c r="H734" i="4" s="1"/>
  <c r="H733" i="4" s="1"/>
  <c r="H968" i="4"/>
  <c r="H964" i="4" s="1"/>
  <c r="H963" i="4" s="1"/>
  <c r="H1027" i="4"/>
  <c r="H1026" i="4" s="1"/>
  <c r="I45" i="4"/>
  <c r="I51" i="4"/>
  <c r="I112" i="4"/>
  <c r="H149" i="4"/>
  <c r="H148" i="4" s="1"/>
  <c r="H276" i="4"/>
  <c r="H275" i="4" s="1"/>
  <c r="I323" i="4"/>
  <c r="I322" i="4" s="1"/>
  <c r="H440" i="4"/>
  <c r="H441" i="4"/>
  <c r="I551" i="4"/>
  <c r="H639" i="4"/>
  <c r="H323" i="4"/>
  <c r="H322" i="4" s="1"/>
  <c r="I575" i="4"/>
  <c r="I659" i="4"/>
  <c r="I725" i="4"/>
  <c r="I724" i="4" s="1"/>
  <c r="I723" i="4" s="1"/>
  <c r="I722" i="4" s="1"/>
  <c r="I844" i="4"/>
  <c r="I840" i="4" s="1"/>
  <c r="I839" i="4" s="1"/>
  <c r="I838" i="4" s="1"/>
  <c r="I837" i="4" s="1"/>
  <c r="I914" i="4"/>
  <c r="H993" i="4"/>
  <c r="I1041" i="4"/>
  <c r="I1040" i="4" s="1"/>
  <c r="I406" i="4"/>
  <c r="I405" i="4" s="1"/>
  <c r="I404" i="4" s="1"/>
  <c r="I501" i="4"/>
  <c r="I500" i="4" s="1"/>
  <c r="I499" i="4" s="1"/>
  <c r="H781" i="4"/>
  <c r="H900" i="4"/>
  <c r="H1008" i="4"/>
  <c r="H1007" i="4" s="1"/>
  <c r="H1006" i="4" s="1"/>
  <c r="H1053" i="4"/>
  <c r="H1052" i="4" s="1"/>
  <c r="H1051" i="4" s="1"/>
  <c r="I307" i="4"/>
  <c r="I308" i="4"/>
  <c r="H485" i="4"/>
  <c r="H484" i="4" s="1"/>
  <c r="H483" i="4" s="1"/>
  <c r="H482" i="4" s="1"/>
  <c r="I61" i="4"/>
  <c r="I72" i="4"/>
  <c r="I71" i="4" s="1"/>
  <c r="I87" i="4"/>
  <c r="I86" i="4" s="1"/>
  <c r="I85" i="4" s="1"/>
  <c r="I84" i="4" s="1"/>
  <c r="I104" i="4"/>
  <c r="I103" i="4" s="1"/>
  <c r="I102" i="4" s="1"/>
  <c r="I195" i="4"/>
  <c r="I194" i="4" s="1"/>
  <c r="I196" i="4"/>
  <c r="I221" i="4"/>
  <c r="I220" i="4" s="1"/>
  <c r="I297" i="4"/>
  <c r="H29" i="4"/>
  <c r="H28" i="4" s="1"/>
  <c r="H51" i="4"/>
  <c r="H112" i="4"/>
  <c r="I694" i="4"/>
  <c r="H308" i="4"/>
  <c r="I605" i="4"/>
  <c r="I604" i="4"/>
  <c r="I639" i="4"/>
  <c r="H122" i="4"/>
  <c r="H288" i="4"/>
  <c r="H287" i="4" s="1"/>
  <c r="I530" i="4"/>
  <c r="H585" i="4"/>
  <c r="I818" i="4"/>
  <c r="H659" i="4"/>
  <c r="I121" i="4"/>
  <c r="I126" i="4"/>
  <c r="H516" i="4"/>
  <c r="H515" i="4" s="1"/>
  <c r="H514" i="4" s="1"/>
  <c r="H513" i="4" s="1"/>
  <c r="H530" i="4"/>
  <c r="H666" i="4"/>
  <c r="I440" i="4"/>
  <c r="I544" i="4"/>
  <c r="I622" i="4"/>
  <c r="I666" i="4"/>
  <c r="I881" i="4"/>
  <c r="I880" i="4" s="1"/>
  <c r="I879" i="4" s="1"/>
  <c r="I878" i="4" s="1"/>
  <c r="H551" i="4"/>
  <c r="I698" i="4"/>
  <c r="I693" i="4" s="1"/>
  <c r="I708" i="4"/>
  <c r="H771" i="4"/>
  <c r="H791" i="4"/>
  <c r="I1062" i="4"/>
  <c r="I1061" i="4" s="1"/>
  <c r="H1019" i="4"/>
  <c r="F389" i="3"/>
  <c r="F389" i="14" s="1"/>
  <c r="G389" i="14" s="1"/>
  <c r="F385" i="3"/>
  <c r="F385" i="14" s="1"/>
  <c r="G385" i="14" s="1"/>
  <c r="F381" i="3"/>
  <c r="F381" i="14" s="1"/>
  <c r="G381" i="14" s="1"/>
  <c r="F360" i="3"/>
  <c r="F360" i="14" s="1"/>
  <c r="G360" i="14" s="1"/>
  <c r="F355" i="3"/>
  <c r="F357" i="3"/>
  <c r="F352" i="3"/>
  <c r="F347" i="3"/>
  <c r="F349" i="3"/>
  <c r="F341" i="3"/>
  <c r="F343" i="3"/>
  <c r="F343" i="14" s="1"/>
  <c r="G343" i="14" s="1"/>
  <c r="F338" i="3"/>
  <c r="F338" i="14" s="1"/>
  <c r="G338" i="14" s="1"/>
  <c r="F336" i="3"/>
  <c r="F266" i="3"/>
  <c r="F270" i="3"/>
  <c r="F300" i="3"/>
  <c r="F300" i="14" s="1"/>
  <c r="G300" i="14" s="1"/>
  <c r="F303" i="3"/>
  <c r="F303" i="14" s="1"/>
  <c r="G303" i="14" s="1"/>
  <c r="F293" i="3"/>
  <c r="F293" i="14" s="1"/>
  <c r="G293" i="14" s="1"/>
  <c r="F296" i="3"/>
  <c r="F296" i="14" s="1"/>
  <c r="G296" i="14" s="1"/>
  <c r="F289" i="3"/>
  <c r="F289" i="14" s="1"/>
  <c r="G289" i="14" s="1"/>
  <c r="F286" i="3"/>
  <c r="F286" i="14" s="1"/>
  <c r="G286" i="14" s="1"/>
  <c r="F312" i="3"/>
  <c r="F312" i="14" s="1"/>
  <c r="G312" i="14" s="1"/>
  <c r="F315" i="3"/>
  <c r="F315" i="14" s="1"/>
  <c r="G315" i="14" s="1"/>
  <c r="F247" i="3"/>
  <c r="F254" i="3"/>
  <c r="F254" i="14" s="1"/>
  <c r="G254" i="14" s="1"/>
  <c r="F240" i="3"/>
  <c r="F228" i="3"/>
  <c r="F228" i="14" s="1"/>
  <c r="G228" i="14" s="1"/>
  <c r="F221" i="3"/>
  <c r="F56" i="3"/>
  <c r="F56" i="14" s="1"/>
  <c r="G56" i="14" s="1"/>
  <c r="F190" i="3"/>
  <c r="F184" i="14"/>
  <c r="G184" i="14" s="1"/>
  <c r="F181" i="3"/>
  <c r="F186" i="3"/>
  <c r="F175" i="14"/>
  <c r="G175" i="14" s="1"/>
  <c r="F149" i="3"/>
  <c r="F214" i="3"/>
  <c r="H106" i="16" l="1"/>
  <c r="H104" i="16"/>
  <c r="H103" i="16" s="1"/>
  <c r="H102" i="16" s="1"/>
  <c r="H101" i="16" s="1"/>
  <c r="G688" i="14"/>
  <c r="G687" i="14" s="1"/>
  <c r="G686" i="14" s="1"/>
  <c r="F687" i="14"/>
  <c r="F686" i="14" s="1"/>
  <c r="G484" i="14"/>
  <c r="G483" i="14" s="1"/>
  <c r="F483" i="14"/>
  <c r="F190" i="14"/>
  <c r="G190" i="14" s="1"/>
  <c r="F189" i="3"/>
  <c r="G958" i="4"/>
  <c r="G955" i="15"/>
  <c r="G696" i="5"/>
  <c r="G282" i="5"/>
  <c r="F655" i="14"/>
  <c r="I187" i="4"/>
  <c r="G698" i="5"/>
  <c r="H10" i="4"/>
  <c r="H9" i="4" s="1"/>
  <c r="G169" i="5"/>
  <c r="I10" i="4"/>
  <c r="I9" i="4" s="1"/>
  <c r="G178" i="5"/>
  <c r="G529" i="5"/>
  <c r="G182" i="5"/>
  <c r="G215" i="5"/>
  <c r="G174" i="5"/>
  <c r="G194" i="5"/>
  <c r="F220" i="3"/>
  <c r="F221" i="14"/>
  <c r="G221" i="14" s="1"/>
  <c r="F148" i="3"/>
  <c r="F146" i="14"/>
  <c r="G146" i="14" s="1"/>
  <c r="F436" i="3"/>
  <c r="F436" i="14" s="1"/>
  <c r="G436" i="14" s="1"/>
  <c r="F437" i="14"/>
  <c r="G437" i="14" s="1"/>
  <c r="F239" i="3"/>
  <c r="F239" i="14" s="1"/>
  <c r="G239" i="14" s="1"/>
  <c r="F240" i="14"/>
  <c r="G240" i="14" s="1"/>
  <c r="F265" i="3"/>
  <c r="F266" i="14"/>
  <c r="G266" i="14" s="1"/>
  <c r="F356" i="3"/>
  <c r="F356" i="14" s="1"/>
  <c r="G356" i="14" s="1"/>
  <c r="F357" i="14"/>
  <c r="G357" i="14" s="1"/>
  <c r="F690" i="3"/>
  <c r="F180" i="3"/>
  <c r="F180" i="14" s="1"/>
  <c r="G180" i="14" s="1"/>
  <c r="F181" i="14"/>
  <c r="G181" i="14" s="1"/>
  <c r="F246" i="3"/>
  <c r="F247" i="14"/>
  <c r="G247" i="14" s="1"/>
  <c r="F346" i="3"/>
  <c r="F346" i="14" s="1"/>
  <c r="G346" i="14" s="1"/>
  <c r="F347" i="14"/>
  <c r="G347" i="14" s="1"/>
  <c r="F433" i="3"/>
  <c r="F433" i="14" s="1"/>
  <c r="F434" i="14"/>
  <c r="G434" i="14" s="1"/>
  <c r="F398" i="3"/>
  <c r="F399" i="14"/>
  <c r="G399" i="14" s="1"/>
  <c r="F269" i="3"/>
  <c r="F351" i="3"/>
  <c r="F352" i="14"/>
  <c r="G352" i="14" s="1"/>
  <c r="F185" i="3"/>
  <c r="F185" i="14" s="1"/>
  <c r="G185" i="14" s="1"/>
  <c r="F186" i="14"/>
  <c r="G186" i="14" s="1"/>
  <c r="F335" i="3"/>
  <c r="F335" i="14" s="1"/>
  <c r="G335" i="14" s="1"/>
  <c r="F336" i="14"/>
  <c r="G336" i="14" s="1"/>
  <c r="F348" i="3"/>
  <c r="F348" i="14" s="1"/>
  <c r="G348" i="14" s="1"/>
  <c r="F349" i="14"/>
  <c r="G349" i="14" s="1"/>
  <c r="F354" i="3"/>
  <c r="F354" i="14" s="1"/>
  <c r="G354" i="14" s="1"/>
  <c r="F355" i="14"/>
  <c r="G355" i="14" s="1"/>
  <c r="F483" i="3"/>
  <c r="F648" i="3"/>
  <c r="F645" i="14"/>
  <c r="F380" i="3"/>
  <c r="G793" i="5"/>
  <c r="F384" i="3"/>
  <c r="G800" i="5"/>
  <c r="G737" i="5"/>
  <c r="G739" i="5"/>
  <c r="F253" i="3"/>
  <c r="G757" i="5"/>
  <c r="F388" i="3"/>
  <c r="G807" i="5"/>
  <c r="G735" i="5"/>
  <c r="G733" i="5"/>
  <c r="F174" i="3"/>
  <c r="G822" i="5"/>
  <c r="F213" i="3"/>
  <c r="G213" i="14" s="1"/>
  <c r="I977" i="4"/>
  <c r="I962" i="4" s="1"/>
  <c r="I956" i="4" s="1"/>
  <c r="F314" i="3"/>
  <c r="G394" i="5"/>
  <c r="F311" i="3"/>
  <c r="G390" i="5"/>
  <c r="F285" i="3"/>
  <c r="G113" i="5"/>
  <c r="G114" i="5" s="1"/>
  <c r="F302" i="3"/>
  <c r="G139" i="5"/>
  <c r="F288" i="3"/>
  <c r="G117" i="5"/>
  <c r="F299" i="3"/>
  <c r="G135" i="5"/>
  <c r="F295" i="3"/>
  <c r="G128" i="5"/>
  <c r="F292" i="3"/>
  <c r="G124" i="5"/>
  <c r="H274" i="4"/>
  <c r="H273" i="4" s="1"/>
  <c r="H272" i="4" s="1"/>
  <c r="I274" i="4"/>
  <c r="I273" i="4" s="1"/>
  <c r="I272" i="4" s="1"/>
  <c r="I314" i="4"/>
  <c r="I313" i="4" s="1"/>
  <c r="I312" i="4" s="1"/>
  <c r="I335" i="4"/>
  <c r="I1018" i="4"/>
  <c r="I1005" i="4" s="1"/>
  <c r="H894" i="4"/>
  <c r="I871" i="4"/>
  <c r="H611" i="4"/>
  <c r="I140" i="4"/>
  <c r="I139" i="4" s="1"/>
  <c r="I138" i="4" s="1"/>
  <c r="H66" i="4"/>
  <c r="H692" i="4"/>
  <c r="H691" i="4" s="1"/>
  <c r="H1050" i="4"/>
  <c r="H1049" i="4" s="1"/>
  <c r="H1048" i="4" s="1"/>
  <c r="H905" i="4"/>
  <c r="H403" i="4"/>
  <c r="I66" i="4"/>
  <c r="I403" i="4"/>
  <c r="I564" i="4"/>
  <c r="H171" i="4"/>
  <c r="I692" i="4"/>
  <c r="I691" i="4" s="1"/>
  <c r="I894" i="4"/>
  <c r="H543" i="4"/>
  <c r="I611" i="4"/>
  <c r="I481" i="4"/>
  <c r="I480" i="4" s="1"/>
  <c r="H140" i="4"/>
  <c r="H139" i="4" s="1"/>
  <c r="H138" i="4" s="1"/>
  <c r="H816" i="4"/>
  <c r="H808" i="4" s="1"/>
  <c r="H807" i="4" s="1"/>
  <c r="H210" i="4"/>
  <c r="H209" i="4" s="1"/>
  <c r="H44" i="4"/>
  <c r="H27" i="4" s="1"/>
  <c r="H335" i="4"/>
  <c r="H434" i="4"/>
  <c r="H433" i="4" s="1"/>
  <c r="H432" i="4" s="1"/>
  <c r="I770" i="4"/>
  <c r="I769" i="4" s="1"/>
  <c r="I768" i="4" s="1"/>
  <c r="I171" i="4"/>
  <c r="H481" i="4"/>
  <c r="H480" i="4" s="1"/>
  <c r="I362" i="4"/>
  <c r="H564" i="4"/>
  <c r="H245" i="4"/>
  <c r="H244" i="4" s="1"/>
  <c r="H243" i="4" s="1"/>
  <c r="H242" i="4" s="1"/>
  <c r="I434" i="4"/>
  <c r="I433" i="4" s="1"/>
  <c r="I432" i="4" s="1"/>
  <c r="H866" i="4"/>
  <c r="H865" i="4" s="1"/>
  <c r="H858" i="4" s="1"/>
  <c r="H1018" i="4"/>
  <c r="H1005" i="4" s="1"/>
  <c r="I1050" i="4"/>
  <c r="I1049" i="4" s="1"/>
  <c r="I1048" i="4" s="1"/>
  <c r="I905" i="4"/>
  <c r="I732" i="4"/>
  <c r="H638" i="4"/>
  <c r="I210" i="4"/>
  <c r="I209" i="4" s="1"/>
  <c r="I543" i="4"/>
  <c r="I44" i="4"/>
  <c r="I27" i="4" s="1"/>
  <c r="I245" i="4"/>
  <c r="I244" i="4" s="1"/>
  <c r="I243" i="4" s="1"/>
  <c r="I242" i="4" s="1"/>
  <c r="H977" i="4"/>
  <c r="H962" i="4" s="1"/>
  <c r="H956" i="4" s="1"/>
  <c r="H732" i="4"/>
  <c r="H362" i="4"/>
  <c r="H314" i="4"/>
  <c r="H313" i="4" s="1"/>
  <c r="H312" i="4" s="1"/>
  <c r="I101" i="4"/>
  <c r="I638" i="4"/>
  <c r="I817" i="4"/>
  <c r="I816" i="4"/>
  <c r="I808" i="4" s="1"/>
  <c r="I807" i="4" s="1"/>
  <c r="H770" i="4"/>
  <c r="H769" i="4" s="1"/>
  <c r="H768" i="4" s="1"/>
  <c r="H101" i="4"/>
  <c r="F209" i="3"/>
  <c r="F195" i="3"/>
  <c r="F199" i="3"/>
  <c r="F199" i="14" s="1"/>
  <c r="G199" i="14" s="1"/>
  <c r="F178" i="3"/>
  <c r="F167" i="3"/>
  <c r="F167" i="14" s="1"/>
  <c r="G167" i="14" s="1"/>
  <c r="F158" i="3"/>
  <c r="F135" i="3"/>
  <c r="F90" i="3"/>
  <c r="F87" i="14" s="1"/>
  <c r="G87" i="14" s="1"/>
  <c r="F96" i="3"/>
  <c r="F93" i="14" s="1"/>
  <c r="G93" i="14" s="1"/>
  <c r="F99" i="3"/>
  <c r="F96" i="14" s="1"/>
  <c r="G96" i="14" s="1"/>
  <c r="F24" i="3"/>
  <c r="F24" i="14" s="1"/>
  <c r="G24" i="14" s="1"/>
  <c r="H100" i="16" l="1"/>
  <c r="H99" i="16"/>
  <c r="H955" i="15"/>
  <c r="H954" i="15" s="1"/>
  <c r="H953" i="15" s="1"/>
  <c r="G954" i="15"/>
  <c r="G953" i="15" s="1"/>
  <c r="G645" i="14"/>
  <c r="G644" i="14" s="1"/>
  <c r="F644" i="14"/>
  <c r="G433" i="14"/>
  <c r="G432" i="14" s="1"/>
  <c r="F432" i="14"/>
  <c r="G655" i="14"/>
  <c r="G654" i="14" s="1"/>
  <c r="F654" i="14"/>
  <c r="H893" i="4"/>
  <c r="H892" i="4" s="1"/>
  <c r="H877" i="4" s="1"/>
  <c r="H836" i="4" s="1"/>
  <c r="G957" i="4"/>
  <c r="I271" i="4"/>
  <c r="H271" i="4"/>
  <c r="G112" i="5"/>
  <c r="G808" i="5"/>
  <c r="G794" i="5"/>
  <c r="G173" i="5"/>
  <c r="G736" i="5"/>
  <c r="G732" i="5"/>
  <c r="G801" i="5"/>
  <c r="F171" i="3"/>
  <c r="F171" i="14" s="1"/>
  <c r="G171" i="14" s="1"/>
  <c r="F172" i="14"/>
  <c r="G172" i="14" s="1"/>
  <c r="F252" i="3"/>
  <c r="F253" i="14"/>
  <c r="G253" i="14" s="1"/>
  <c r="F383" i="3"/>
  <c r="F384" i="14"/>
  <c r="G384" i="14" s="1"/>
  <c r="F350" i="3"/>
  <c r="F350" i="14" s="1"/>
  <c r="G350" i="14" s="1"/>
  <c r="F351" i="14"/>
  <c r="G351" i="14" s="1"/>
  <c r="F397" i="3"/>
  <c r="F398" i="14"/>
  <c r="F147" i="3"/>
  <c r="F144" i="14" s="1"/>
  <c r="G144" i="14" s="1"/>
  <c r="F145" i="14"/>
  <c r="G145" i="14" s="1"/>
  <c r="F294" i="3"/>
  <c r="F294" i="14" s="1"/>
  <c r="G294" i="14" s="1"/>
  <c r="F295" i="14"/>
  <c r="G295" i="14" s="1"/>
  <c r="F313" i="3"/>
  <c r="F313" i="14" s="1"/>
  <c r="G313" i="14" s="1"/>
  <c r="F314" i="14"/>
  <c r="G314" i="14" s="1"/>
  <c r="F134" i="3"/>
  <c r="F132" i="14"/>
  <c r="G132" i="14" s="1"/>
  <c r="F173" i="3"/>
  <c r="F173" i="14" s="1"/>
  <c r="G173" i="14" s="1"/>
  <c r="F174" i="14"/>
  <c r="G174" i="14" s="1"/>
  <c r="F387" i="3"/>
  <c r="F388" i="14"/>
  <c r="G388" i="14" s="1"/>
  <c r="F379" i="3"/>
  <c r="F380" i="14"/>
  <c r="G380" i="14" s="1"/>
  <c r="F157" i="3"/>
  <c r="F158" i="14"/>
  <c r="G158" i="14" s="1"/>
  <c r="F345" i="3"/>
  <c r="F345" i="14" s="1"/>
  <c r="F291" i="3"/>
  <c r="F291" i="14" s="1"/>
  <c r="F292" i="14"/>
  <c r="G292" i="14" s="1"/>
  <c r="F298" i="3"/>
  <c r="F298" i="14" s="1"/>
  <c r="F299" i="14"/>
  <c r="G299" i="14" s="1"/>
  <c r="F301" i="3"/>
  <c r="F301" i="14" s="1"/>
  <c r="G301" i="14" s="1"/>
  <c r="F302" i="14"/>
  <c r="G302" i="14" s="1"/>
  <c r="F310" i="3"/>
  <c r="F310" i="14" s="1"/>
  <c r="F311" i="14"/>
  <c r="G311" i="14" s="1"/>
  <c r="F432" i="3"/>
  <c r="F177" i="3"/>
  <c r="F177" i="14" s="1"/>
  <c r="G177" i="14" s="1"/>
  <c r="F178" i="14"/>
  <c r="G178" i="14" s="1"/>
  <c r="F287" i="3"/>
  <c r="F287" i="14" s="1"/>
  <c r="G287" i="14" s="1"/>
  <c r="F288" i="14"/>
  <c r="G288" i="14" s="1"/>
  <c r="F284" i="3"/>
  <c r="F284" i="14" s="1"/>
  <c r="F285" i="14"/>
  <c r="G285" i="14" s="1"/>
  <c r="F353" i="3"/>
  <c r="F353" i="14" s="1"/>
  <c r="G353" i="14" s="1"/>
  <c r="F245" i="3"/>
  <c r="F245" i="14" s="1"/>
  <c r="G245" i="14" s="1"/>
  <c r="F246" i="14"/>
  <c r="G246" i="14" s="1"/>
  <c r="F264" i="3"/>
  <c r="F265" i="14"/>
  <c r="G265" i="14" s="1"/>
  <c r="F219" i="3"/>
  <c r="F220" i="14"/>
  <c r="G220" i="14" s="1"/>
  <c r="G823" i="5"/>
  <c r="G821" i="5"/>
  <c r="I26" i="4"/>
  <c r="I25" i="4" s="1"/>
  <c r="G756" i="5"/>
  <c r="G758" i="5"/>
  <c r="G393" i="5"/>
  <c r="G395" i="5"/>
  <c r="G389" i="5"/>
  <c r="G391" i="5"/>
  <c r="G134" i="5"/>
  <c r="G136" i="5"/>
  <c r="G138" i="5"/>
  <c r="G140" i="5"/>
  <c r="G127" i="5"/>
  <c r="G129" i="5"/>
  <c r="G116" i="5"/>
  <c r="G118" i="5"/>
  <c r="G123" i="5"/>
  <c r="G125" i="5"/>
  <c r="F95" i="3"/>
  <c r="G428" i="5"/>
  <c r="F89" i="3"/>
  <c r="F86" i="14" s="1"/>
  <c r="G86" i="14" s="1"/>
  <c r="G418" i="5"/>
  <c r="F23" i="3"/>
  <c r="G409" i="5"/>
  <c r="F98" i="3"/>
  <c r="G432" i="5"/>
  <c r="F166" i="3"/>
  <c r="G158" i="5"/>
  <c r="I542" i="4"/>
  <c r="I541" i="4" s="1"/>
  <c r="I334" i="4"/>
  <c r="I333" i="4" s="1"/>
  <c r="I332" i="4" s="1"/>
  <c r="H610" i="4"/>
  <c r="H609" i="4" s="1"/>
  <c r="H334" i="4"/>
  <c r="H333" i="4" s="1"/>
  <c r="H332" i="4" s="1"/>
  <c r="H542" i="4"/>
  <c r="H541" i="4" s="1"/>
  <c r="H26" i="4"/>
  <c r="H25" i="4" s="1"/>
  <c r="I610" i="4"/>
  <c r="I609" i="4" s="1"/>
  <c r="I893" i="4"/>
  <c r="I892" i="4" s="1"/>
  <c r="I877" i="4" s="1"/>
  <c r="I836" i="4" s="1"/>
  <c r="I767" i="4"/>
  <c r="I759" i="4" s="1"/>
  <c r="H767" i="4"/>
  <c r="H759" i="4" s="1"/>
  <c r="G1068" i="4"/>
  <c r="G1064" i="4"/>
  <c r="F116" i="3"/>
  <c r="F121" i="3"/>
  <c r="F110" i="3"/>
  <c r="F107" i="3"/>
  <c r="F60" i="3"/>
  <c r="F55" i="3"/>
  <c r="F37" i="3"/>
  <c r="F18" i="3"/>
  <c r="G1064" i="15" l="1"/>
  <c r="H1064" i="15" s="1"/>
  <c r="H406" i="16" s="1"/>
  <c r="D102" i="1"/>
  <c r="G291" i="14"/>
  <c r="G290" i="14" s="1"/>
  <c r="F290" i="14"/>
  <c r="G345" i="14"/>
  <c r="G310" i="14"/>
  <c r="G309" i="14" s="1"/>
  <c r="G308" i="14" s="1"/>
  <c r="F309" i="14"/>
  <c r="F308" i="14" s="1"/>
  <c r="G298" i="14"/>
  <c r="G297" i="14" s="1"/>
  <c r="F297" i="14"/>
  <c r="G398" i="14"/>
  <c r="G397" i="14" s="1"/>
  <c r="G396" i="14" s="1"/>
  <c r="F397" i="14"/>
  <c r="F396" i="14" s="1"/>
  <c r="G284" i="14"/>
  <c r="G283" i="14" s="1"/>
  <c r="F283" i="14"/>
  <c r="G1063" i="4"/>
  <c r="G1059" i="15" s="1"/>
  <c r="G1060" i="15"/>
  <c r="H1060" i="15" s="1"/>
  <c r="I540" i="4"/>
  <c r="I529" i="4" s="1"/>
  <c r="G115" i="5"/>
  <c r="G388" i="5"/>
  <c r="G755" i="5"/>
  <c r="G820" i="5"/>
  <c r="G419" i="5"/>
  <c r="G731" i="5"/>
  <c r="G122" i="5"/>
  <c r="G126" i="5"/>
  <c r="G133" i="5"/>
  <c r="G392" i="5"/>
  <c r="F309" i="3"/>
  <c r="F308" i="3" s="1"/>
  <c r="G137" i="5"/>
  <c r="F36" i="3"/>
  <c r="F36" i="14" s="1"/>
  <c r="G36" i="14" s="1"/>
  <c r="F37" i="14"/>
  <c r="G37" i="14" s="1"/>
  <c r="F54" i="3"/>
  <c r="F54" i="14" s="1"/>
  <c r="G54" i="14" s="1"/>
  <c r="F55" i="14"/>
  <c r="G55" i="14" s="1"/>
  <c r="F251" i="3"/>
  <c r="F252" i="14"/>
  <c r="F59" i="3"/>
  <c r="F120" i="3"/>
  <c r="F118" i="14"/>
  <c r="G118" i="14" s="1"/>
  <c r="F165" i="3"/>
  <c r="F165" i="14" s="1"/>
  <c r="G165" i="14" s="1"/>
  <c r="F166" i="14"/>
  <c r="G166" i="14" s="1"/>
  <c r="F22" i="3"/>
  <c r="F22" i="14" s="1"/>
  <c r="F23" i="14"/>
  <c r="G23" i="14" s="1"/>
  <c r="F94" i="3"/>
  <c r="F91" i="14" s="1"/>
  <c r="F92" i="14"/>
  <c r="G92" i="14" s="1"/>
  <c r="F290" i="3"/>
  <c r="F283" i="3"/>
  <c r="F263" i="3"/>
  <c r="F264" i="14"/>
  <c r="F106" i="3"/>
  <c r="F103" i="14" s="1"/>
  <c r="G103" i="14" s="1"/>
  <c r="F104" i="14"/>
  <c r="G104" i="14" s="1"/>
  <c r="F97" i="3"/>
  <c r="F94" i="14" s="1"/>
  <c r="G94" i="14" s="1"/>
  <c r="F95" i="14"/>
  <c r="G95" i="14" s="1"/>
  <c r="F218" i="3"/>
  <c r="F219" i="14"/>
  <c r="F109" i="3"/>
  <c r="F107" i="14"/>
  <c r="G107" i="14" s="1"/>
  <c r="F378" i="3"/>
  <c r="F379" i="14"/>
  <c r="F17" i="3"/>
  <c r="F17" i="14" s="1"/>
  <c r="G17" i="14" s="1"/>
  <c r="F18" i="14"/>
  <c r="G18" i="14" s="1"/>
  <c r="F297" i="3"/>
  <c r="F156" i="3"/>
  <c r="F156" i="14" s="1"/>
  <c r="G156" i="14" s="1"/>
  <c r="F157" i="14"/>
  <c r="G157" i="14" s="1"/>
  <c r="F386" i="3"/>
  <c r="F387" i="14"/>
  <c r="F133" i="3"/>
  <c r="F130" i="14" s="1"/>
  <c r="G130" i="14" s="1"/>
  <c r="F131" i="14"/>
  <c r="G131" i="14" s="1"/>
  <c r="F396" i="3"/>
  <c r="F382" i="3"/>
  <c r="F383" i="14"/>
  <c r="G431" i="5"/>
  <c r="G433" i="5"/>
  <c r="G427" i="5"/>
  <c r="G429" i="5"/>
  <c r="G408" i="5"/>
  <c r="G410" i="5"/>
  <c r="G157" i="5"/>
  <c r="G159" i="5"/>
  <c r="H208" i="4"/>
  <c r="I208" i="4"/>
  <c r="H540" i="4"/>
  <c r="H529" i="4" s="1"/>
  <c r="G1067" i="4"/>
  <c r="F27" i="3"/>
  <c r="F27" i="14" s="1"/>
  <c r="G27" i="14" s="1"/>
  <c r="F58" i="3" l="1"/>
  <c r="G406" i="16"/>
  <c r="G405" i="16" s="1"/>
  <c r="G404" i="16" s="1"/>
  <c r="G399" i="16" s="1"/>
  <c r="H1059" i="15"/>
  <c r="F282" i="14"/>
  <c r="F281" i="14" s="1"/>
  <c r="H405" i="16"/>
  <c r="H404" i="16" s="1"/>
  <c r="H399" i="16" s="1"/>
  <c r="H407" i="16"/>
  <c r="F282" i="3"/>
  <c r="G282" i="14"/>
  <c r="G281" i="14" s="1"/>
  <c r="G383" i="14"/>
  <c r="G382" i="14" s="1"/>
  <c r="F382" i="14"/>
  <c r="G379" i="14"/>
  <c r="G378" i="14" s="1"/>
  <c r="F378" i="14"/>
  <c r="G219" i="14"/>
  <c r="G218" i="14" s="1"/>
  <c r="G217" i="14" s="1"/>
  <c r="G216" i="14" s="1"/>
  <c r="G215" i="14" s="1"/>
  <c r="F218" i="14"/>
  <c r="F217" i="14" s="1"/>
  <c r="F216" i="14" s="1"/>
  <c r="F215" i="14" s="1"/>
  <c r="G22" i="14"/>
  <c r="G264" i="14"/>
  <c r="G263" i="14" s="1"/>
  <c r="F263" i="14"/>
  <c r="F262" i="14" s="1"/>
  <c r="F261" i="14" s="1"/>
  <c r="D24" i="13" s="1"/>
  <c r="G387" i="14"/>
  <c r="G386" i="14" s="1"/>
  <c r="F386" i="14"/>
  <c r="G91" i="14"/>
  <c r="G90" i="14" s="1"/>
  <c r="F90" i="14"/>
  <c r="G252" i="14"/>
  <c r="G251" i="14" s="1"/>
  <c r="F251" i="14"/>
  <c r="G1066" i="4"/>
  <c r="G1063" i="15"/>
  <c r="H1063" i="15" s="1"/>
  <c r="G121" i="5"/>
  <c r="G132" i="5"/>
  <c r="G131" i="5" s="1"/>
  <c r="G119" i="5"/>
  <c r="G407" i="5"/>
  <c r="G430" i="5"/>
  <c r="G730" i="5"/>
  <c r="G156" i="5"/>
  <c r="F93" i="3"/>
  <c r="G387" i="5"/>
  <c r="G426" i="5"/>
  <c r="G425" i="5" s="1"/>
  <c r="G424" i="5" s="1"/>
  <c r="G423" i="5" s="1"/>
  <c r="G754" i="5"/>
  <c r="G130" i="5"/>
  <c r="F217" i="3"/>
  <c r="F119" i="3"/>
  <c r="F116" i="14" s="1"/>
  <c r="G116" i="14" s="1"/>
  <c r="F117" i="14"/>
  <c r="G117" i="14" s="1"/>
  <c r="F108" i="3"/>
  <c r="F105" i="14" s="1"/>
  <c r="G105" i="14" s="1"/>
  <c r="F106" i="14"/>
  <c r="G106" i="14" s="1"/>
  <c r="F26" i="3"/>
  <c r="G413" i="5"/>
  <c r="G842" i="15"/>
  <c r="H842" i="15" s="1"/>
  <c r="G493" i="15"/>
  <c r="H493" i="15" s="1"/>
  <c r="G377" i="4"/>
  <c r="G407" i="16" l="1"/>
  <c r="G120" i="5"/>
  <c r="G376" i="4"/>
  <c r="G383" i="15"/>
  <c r="H383" i="15" s="1"/>
  <c r="F788" i="3"/>
  <c r="F784" i="14" s="1"/>
  <c r="G784" i="14" s="1"/>
  <c r="G372" i="15"/>
  <c r="G1062" i="4"/>
  <c r="G1062" i="15"/>
  <c r="G386" i="5"/>
  <c r="G385" i="5" s="1"/>
  <c r="G753" i="5"/>
  <c r="G729" i="5"/>
  <c r="F281" i="3"/>
  <c r="F25" i="3"/>
  <c r="F26" i="14"/>
  <c r="G26" i="14" s="1"/>
  <c r="F216" i="3"/>
  <c r="G412" i="5"/>
  <c r="G414" i="5"/>
  <c r="G37" i="15"/>
  <c r="H37" i="15" s="1"/>
  <c r="G1058" i="15" l="1"/>
  <c r="G1057" i="15" s="1"/>
  <c r="F985" i="3"/>
  <c r="H372" i="15"/>
  <c r="H552" i="16" s="1"/>
  <c r="G552" i="16"/>
  <c r="G1061" i="4"/>
  <c r="F761" i="3"/>
  <c r="F760" i="3" s="1"/>
  <c r="F756" i="14" s="1"/>
  <c r="G756" i="14" s="1"/>
  <c r="G345" i="15"/>
  <c r="F114" i="3"/>
  <c r="F111" i="14" s="1"/>
  <c r="G111" i="14" s="1"/>
  <c r="G16" i="15"/>
  <c r="H16" i="15" s="1"/>
  <c r="H1062" i="15"/>
  <c r="G375" i="4"/>
  <c r="G382" i="15"/>
  <c r="G752" i="5"/>
  <c r="G384" i="5"/>
  <c r="G411" i="5"/>
  <c r="F215" i="3"/>
  <c r="F21" i="3"/>
  <c r="F25" i="14"/>
  <c r="G998" i="4"/>
  <c r="G920" i="4"/>
  <c r="G898" i="4"/>
  <c r="G894" i="15" s="1"/>
  <c r="H894" i="15" s="1"/>
  <c r="H1058" i="15" l="1"/>
  <c r="H1057" i="15" s="1"/>
  <c r="H382" i="15"/>
  <c r="H381" i="15" s="1"/>
  <c r="G381" i="15"/>
  <c r="G25" i="14"/>
  <c r="G21" i="14" s="1"/>
  <c r="G20" i="14" s="1"/>
  <c r="F21" i="14"/>
  <c r="F20" i="14" s="1"/>
  <c r="H553" i="16"/>
  <c r="H551" i="16"/>
  <c r="H550" i="16" s="1"/>
  <c r="H549" i="16" s="1"/>
  <c r="H548" i="16" s="1"/>
  <c r="H547" i="16" s="1"/>
  <c r="H546" i="16" s="1"/>
  <c r="G553" i="16"/>
  <c r="G551" i="16"/>
  <c r="G550" i="16" s="1"/>
  <c r="G549" i="16" s="1"/>
  <c r="G548" i="16" s="1"/>
  <c r="G547" i="16" s="1"/>
  <c r="G546" i="16" s="1"/>
  <c r="H345" i="15"/>
  <c r="H507" i="16" s="1"/>
  <c r="G507" i="16"/>
  <c r="F113" i="3"/>
  <c r="F110" i="14" s="1"/>
  <c r="F757" i="14"/>
  <c r="G757" i="14" s="1"/>
  <c r="G919" i="4"/>
  <c r="G915" i="15" s="1"/>
  <c r="H915" i="15" s="1"/>
  <c r="G916" i="15"/>
  <c r="H916" i="15" s="1"/>
  <c r="G997" i="4"/>
  <c r="G993" i="15" s="1"/>
  <c r="H993" i="15" s="1"/>
  <c r="G994" i="15"/>
  <c r="H994" i="15" s="1"/>
  <c r="F322" i="3"/>
  <c r="F322" i="14" s="1"/>
  <c r="G322" i="14" s="1"/>
  <c r="G879" i="15"/>
  <c r="H879" i="15" s="1"/>
  <c r="G406" i="5"/>
  <c r="F20" i="3"/>
  <c r="G882" i="4"/>
  <c r="G878" i="15" s="1"/>
  <c r="H878" i="15" s="1"/>
  <c r="H38" i="15"/>
  <c r="G110" i="14" l="1"/>
  <c r="G508" i="16"/>
  <c r="G506" i="16"/>
  <c r="G505" i="16" s="1"/>
  <c r="G504" i="16" s="1"/>
  <c r="G503" i="16" s="1"/>
  <c r="G502" i="16" s="1"/>
  <c r="G501" i="16" s="1"/>
  <c r="H506" i="16"/>
  <c r="H505" i="16" s="1"/>
  <c r="H504" i="16" s="1"/>
  <c r="H503" i="16" s="1"/>
  <c r="H502" i="16" s="1"/>
  <c r="H501" i="16" s="1"/>
  <c r="H508" i="16"/>
  <c r="G182" i="4"/>
  <c r="G181" i="4" l="1"/>
  <c r="G184" i="15" s="1"/>
  <c r="H184" i="15" s="1"/>
  <c r="G185" i="15"/>
  <c r="H185" i="15" s="1"/>
  <c r="G82" i="4"/>
  <c r="G79" i="4"/>
  <c r="G82" i="15" s="1"/>
  <c r="H82" i="15" s="1"/>
  <c r="G79" i="15"/>
  <c r="G73" i="4"/>
  <c r="G76" i="15" s="1"/>
  <c r="H76" i="15" s="1"/>
  <c r="G73" i="15"/>
  <c r="H73" i="15" l="1"/>
  <c r="H395" i="16" s="1"/>
  <c r="G395" i="16"/>
  <c r="H79" i="15"/>
  <c r="H414" i="16" s="1"/>
  <c r="G414" i="16"/>
  <c r="G78" i="4"/>
  <c r="G81" i="15" s="1"/>
  <c r="G81" i="4"/>
  <c r="G84" i="15" s="1"/>
  <c r="H84" i="15" s="1"/>
  <c r="G85" i="15"/>
  <c r="H85" i="15" s="1"/>
  <c r="G75" i="4"/>
  <c r="G78" i="15" s="1"/>
  <c r="H78" i="15" s="1"/>
  <c r="F92" i="3"/>
  <c r="F89" i="14" s="1"/>
  <c r="G89" i="14" s="1"/>
  <c r="G69" i="4"/>
  <c r="F86" i="3"/>
  <c r="F83" i="14" s="1"/>
  <c r="G83" i="14" s="1"/>
  <c r="G265" i="4"/>
  <c r="H413" i="16" l="1"/>
  <c r="H409" i="16" s="1"/>
  <c r="H408" i="16" s="1"/>
  <c r="H398" i="16" s="1"/>
  <c r="H397" i="16" s="1"/>
  <c r="H415" i="16"/>
  <c r="G394" i="16"/>
  <c r="G393" i="16" s="1"/>
  <c r="G392" i="16" s="1"/>
  <c r="G396" i="16"/>
  <c r="H81" i="15"/>
  <c r="H80" i="15" s="1"/>
  <c r="G80" i="15"/>
  <c r="H394" i="16"/>
  <c r="H393" i="16" s="1"/>
  <c r="H392" i="16" s="1"/>
  <c r="H396" i="16"/>
  <c r="G415" i="16"/>
  <c r="G413" i="16"/>
  <c r="G409" i="16" s="1"/>
  <c r="G408" i="16" s="1"/>
  <c r="G398" i="16" s="1"/>
  <c r="G397" i="16" s="1"/>
  <c r="G72" i="4"/>
  <c r="G71" i="4" s="1"/>
  <c r="G264" i="4"/>
  <c r="G270" i="15" s="1"/>
  <c r="H270" i="15" s="1"/>
  <c r="G271" i="15"/>
  <c r="H271" i="15" s="1"/>
  <c r="G68" i="4"/>
  <c r="G72" i="15"/>
  <c r="H72" i="15" s="1"/>
  <c r="G77" i="4"/>
  <c r="F85" i="3"/>
  <c r="G402" i="5"/>
  <c r="F91" i="3"/>
  <c r="G421" i="5"/>
  <c r="G330" i="4"/>
  <c r="G320" i="4"/>
  <c r="G390" i="16" l="1"/>
  <c r="G389" i="16" s="1"/>
  <c r="G391" i="16"/>
  <c r="H390" i="16"/>
  <c r="H389" i="16" s="1"/>
  <c r="H391" i="16"/>
  <c r="G75" i="15"/>
  <c r="G67" i="4"/>
  <c r="G71" i="15"/>
  <c r="G319" i="4"/>
  <c r="G325" i="15" s="1"/>
  <c r="H325" i="15" s="1"/>
  <c r="G326" i="15"/>
  <c r="H326" i="15" s="1"/>
  <c r="G329" i="4"/>
  <c r="G336" i="15"/>
  <c r="H336" i="15" s="1"/>
  <c r="G403" i="5"/>
  <c r="G422" i="5"/>
  <c r="F88" i="3"/>
  <c r="F88" i="14"/>
  <c r="G88" i="14" s="1"/>
  <c r="F84" i="3"/>
  <c r="F82" i="14"/>
  <c r="G82" i="14" s="1"/>
  <c r="G394" i="4"/>
  <c r="H71" i="15" l="1"/>
  <c r="H70" i="15" s="1"/>
  <c r="G70" i="15"/>
  <c r="H75" i="15"/>
  <c r="H74" i="15" s="1"/>
  <c r="G74" i="15"/>
  <c r="G328" i="4"/>
  <c r="G335" i="15"/>
  <c r="F83" i="3"/>
  <c r="F81" i="14"/>
  <c r="F87" i="3"/>
  <c r="F85" i="14"/>
  <c r="G39" i="6"/>
  <c r="G38" i="6" s="1"/>
  <c r="G37" i="6" s="1"/>
  <c r="G36" i="6" s="1"/>
  <c r="G35" i="6" s="1"/>
  <c r="G14" i="6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4" i="11"/>
  <c r="G462" i="11"/>
  <c r="G461" i="1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6" i="11" s="1"/>
  <c r="G397" i="11"/>
  <c r="G395" i="11"/>
  <c r="G393" i="11"/>
  <c r="G392" i="11"/>
  <c r="G391" i="11"/>
  <c r="G389" i="11"/>
  <c r="G388" i="11"/>
  <c r="G387" i="11"/>
  <c r="G385" i="11"/>
  <c r="G384" i="11"/>
  <c r="G382" i="11"/>
  <c r="G381" i="11" s="1"/>
  <c r="G380" i="11" s="1"/>
  <c r="G383" i="11" s="1"/>
  <c r="G379" i="11"/>
  <c r="G378" i="11" s="1"/>
  <c r="G377" i="11" s="1"/>
  <c r="G371" i="11"/>
  <c r="G370" i="11"/>
  <c r="G368" i="11"/>
  <c r="G367" i="11" s="1"/>
  <c r="G366" i="11" s="1"/>
  <c r="G365" i="11"/>
  <c r="G364" i="11" s="1"/>
  <c r="G363" i="11" s="1"/>
  <c r="G360" i="11"/>
  <c r="G359" i="11"/>
  <c r="G358" i="11"/>
  <c r="G357" i="11" s="1"/>
  <c r="G356" i="11" s="1"/>
  <c r="G350" i="11"/>
  <c r="G349" i="11"/>
  <c r="G347" i="11"/>
  <c r="G346" i="11" s="1"/>
  <c r="G345" i="11" s="1"/>
  <c r="G342" i="11"/>
  <c r="G341" i="11"/>
  <c r="G338" i="11"/>
  <c r="G337" i="11"/>
  <c r="G334" i="11"/>
  <c r="G333" i="11"/>
  <c r="G332" i="11"/>
  <c r="G331" i="11" s="1"/>
  <c r="G330" i="11" s="1"/>
  <c r="G324" i="11"/>
  <c r="G323" i="11" s="1"/>
  <c r="G322" i="11"/>
  <c r="G321" i="11" s="1"/>
  <c r="G314" i="11"/>
  <c r="G313" i="11"/>
  <c r="G310" i="11"/>
  <c r="G309" i="11"/>
  <c r="G307" i="11"/>
  <c r="G306" i="11" s="1"/>
  <c r="G305" i="11" s="1"/>
  <c r="G304" i="11"/>
  <c r="G303" i="11"/>
  <c r="G302" i="11"/>
  <c r="G301" i="11"/>
  <c r="G299" i="11"/>
  <c r="G298" i="11" s="1"/>
  <c r="G297" i="11" s="1"/>
  <c r="G292" i="11"/>
  <c r="G291" i="11" s="1"/>
  <c r="G290" i="11" s="1"/>
  <c r="G287" i="11"/>
  <c r="G286" i="11"/>
  <c r="G283" i="11"/>
  <c r="G282" i="11"/>
  <c r="G281" i="11"/>
  <c r="G280" i="11"/>
  <c r="G279" i="11"/>
  <c r="G278" i="1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/>
  <c r="G204" i="11"/>
  <c r="G201" i="11"/>
  <c r="G200" i="11"/>
  <c r="G198" i="11"/>
  <c r="G197" i="11"/>
  <c r="G196" i="11"/>
  <c r="G195" i="11"/>
  <c r="G193" i="11"/>
  <c r="G192" i="11" s="1"/>
  <c r="G191" i="11" s="1"/>
  <c r="G190" i="11" s="1"/>
  <c r="G189" i="11" s="1"/>
  <c r="G185" i="11"/>
  <c r="G184" i="11"/>
  <c r="G181" i="11"/>
  <c r="G180" i="1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61" i="11"/>
  <c r="G159" i="11"/>
  <c r="G158" i="11"/>
  <c r="G157" i="11"/>
  <c r="G155" i="11"/>
  <c r="G154" i="11"/>
  <c r="G153" i="11"/>
  <c r="G151" i="11"/>
  <c r="G150" i="11"/>
  <c r="G149" i="11"/>
  <c r="G147" i="11"/>
  <c r="G146" i="11"/>
  <c r="G143" i="11"/>
  <c r="G142" i="11"/>
  <c r="G138" i="11"/>
  <c r="G137" i="11"/>
  <c r="G135" i="11"/>
  <c r="G134" i="11" s="1"/>
  <c r="G133" i="11" s="1"/>
  <c r="G131" i="11"/>
  <c r="G130" i="11" s="1"/>
  <c r="G129" i="11" s="1"/>
  <c r="G126" i="11"/>
  <c r="G125" i="11"/>
  <c r="G122" i="11"/>
  <c r="G121" i="1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4" i="11"/>
  <c r="G90" i="11"/>
  <c r="G89" i="11"/>
  <c r="G88" i="11"/>
  <c r="G86" i="11"/>
  <c r="G85" i="11"/>
  <c r="G84" i="11"/>
  <c r="G82" i="11"/>
  <c r="G81" i="11"/>
  <c r="G79" i="11"/>
  <c r="G78" i="11" s="1"/>
  <c r="G77" i="11" s="1"/>
  <c r="G76" i="11"/>
  <c r="G75" i="11" s="1"/>
  <c r="G72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931" i="5"/>
  <c r="G924" i="5"/>
  <c r="G871" i="5"/>
  <c r="G866" i="5"/>
  <c r="G861" i="5"/>
  <c r="G881" i="5"/>
  <c r="G875" i="5"/>
  <c r="G900" i="5"/>
  <c r="G850" i="5"/>
  <c r="G842" i="5"/>
  <c r="G834" i="5"/>
  <c r="G830" i="5"/>
  <c r="G826" i="5"/>
  <c r="G806" i="5"/>
  <c r="G799" i="5"/>
  <c r="G746" i="5"/>
  <c r="G719" i="5"/>
  <c r="G712" i="5"/>
  <c r="G727" i="5"/>
  <c r="G680" i="5"/>
  <c r="G668" i="5"/>
  <c r="G664" i="5"/>
  <c r="G479" i="5"/>
  <c r="G472" i="5"/>
  <c r="G468" i="5"/>
  <c r="G440" i="5"/>
  <c r="G417" i="5"/>
  <c r="G354" i="5"/>
  <c r="G311" i="5"/>
  <c r="G280" i="5"/>
  <c r="G265" i="5"/>
  <c r="G258" i="5"/>
  <c r="G111" i="5"/>
  <c r="G97" i="5"/>
  <c r="G71" i="5"/>
  <c r="G53" i="5"/>
  <c r="G1009" i="10"/>
  <c r="G1008" i="10"/>
  <c r="G1007" i="10"/>
  <c r="G1006" i="10"/>
  <c r="G1005" i="10"/>
  <c r="G1004" i="10"/>
  <c r="G1003" i="10"/>
  <c r="G1002" i="10"/>
  <c r="G1001" i="10"/>
  <c r="G1000" i="10"/>
  <c r="G999" i="10"/>
  <c r="G998" i="10"/>
  <c r="G997" i="10"/>
  <c r="G996" i="10"/>
  <c r="G995" i="10"/>
  <c r="G994" i="10"/>
  <c r="G993" i="10"/>
  <c r="G991" i="10"/>
  <c r="G990" i="10"/>
  <c r="G989" i="10"/>
  <c r="G988" i="10"/>
  <c r="G987" i="10"/>
  <c r="G986" i="10"/>
  <c r="G985" i="10"/>
  <c r="G984" i="10"/>
  <c r="G983" i="10"/>
  <c r="G982" i="10"/>
  <c r="G981" i="10"/>
  <c r="G978" i="10"/>
  <c r="G977" i="10"/>
  <c r="G975" i="10"/>
  <c r="G973" i="10"/>
  <c r="G972" i="10"/>
  <c r="G971" i="10"/>
  <c r="G969" i="10"/>
  <c r="G968" i="10"/>
  <c r="G967" i="10"/>
  <c r="G966" i="10"/>
  <c r="G965" i="10"/>
  <c r="G964" i="10"/>
  <c r="G963" i="10"/>
  <c r="G961" i="10"/>
  <c r="G960" i="10"/>
  <c r="G959" i="10"/>
  <c r="G958" i="10"/>
  <c r="G956" i="10"/>
  <c r="G955" i="10"/>
  <c r="G954" i="10"/>
  <c r="G953" i="10"/>
  <c r="G951" i="10"/>
  <c r="G949" i="10"/>
  <c r="G948" i="10"/>
  <c r="G947" i="10"/>
  <c r="G946" i="10"/>
  <c r="G945" i="10"/>
  <c r="G943" i="10"/>
  <c r="G941" i="10"/>
  <c r="G939" i="10"/>
  <c r="G938" i="10"/>
  <c r="G937" i="10"/>
  <c r="G936" i="10"/>
  <c r="G935" i="10"/>
  <c r="G933" i="10"/>
  <c r="G931" i="10"/>
  <c r="G930" i="10"/>
  <c r="G929" i="10"/>
  <c r="G928" i="10"/>
  <c r="G927" i="10"/>
  <c r="G926" i="10"/>
  <c r="G925" i="10"/>
  <c r="G923" i="10"/>
  <c r="G922" i="10"/>
  <c r="G921" i="10"/>
  <c r="G920" i="10"/>
  <c r="G919" i="10"/>
  <c r="G918" i="10"/>
  <c r="G917" i="10"/>
  <c r="G916" i="10"/>
  <c r="G915" i="10"/>
  <c r="G914" i="10"/>
  <c r="G913" i="10"/>
  <c r="G911" i="10"/>
  <c r="G910" i="10"/>
  <c r="G909" i="10"/>
  <c r="G908" i="10"/>
  <c r="G907" i="10"/>
  <c r="G905" i="10"/>
  <c r="G904" i="10"/>
  <c r="G903" i="10"/>
  <c r="G902" i="10"/>
  <c r="G901" i="10"/>
  <c r="G900" i="10"/>
  <c r="G899" i="10"/>
  <c r="G897" i="10"/>
  <c r="G896" i="10"/>
  <c r="G894" i="10"/>
  <c r="G893" i="10"/>
  <c r="G892" i="10"/>
  <c r="G890" i="10"/>
  <c r="G889" i="10"/>
  <c r="G887" i="10"/>
  <c r="G886" i="10"/>
  <c r="G884" i="10"/>
  <c r="G883" i="10"/>
  <c r="G882" i="10"/>
  <c r="G881" i="10"/>
  <c r="G880" i="10"/>
  <c r="G879" i="10"/>
  <c r="G878" i="10"/>
  <c r="G876" i="10"/>
  <c r="G875" i="10"/>
  <c r="G874" i="10"/>
  <c r="G872" i="10"/>
  <c r="G871" i="10"/>
  <c r="G869" i="10"/>
  <c r="G868" i="10"/>
  <c r="G866" i="10"/>
  <c r="G865" i="10"/>
  <c r="G863" i="10"/>
  <c r="G862" i="10"/>
  <c r="G861" i="10"/>
  <c r="G860" i="10"/>
  <c r="G859" i="10"/>
  <c r="G857" i="10"/>
  <c r="G856" i="10"/>
  <c r="G854" i="10"/>
  <c r="G853" i="10"/>
  <c r="G851" i="10"/>
  <c r="G850" i="10"/>
  <c r="G849" i="10"/>
  <c r="G848" i="10"/>
  <c r="G847" i="10"/>
  <c r="G845" i="10"/>
  <c r="G844" i="10"/>
  <c r="G841" i="10"/>
  <c r="G840" i="10"/>
  <c r="G839" i="10"/>
  <c r="G838" i="10"/>
  <c r="G837" i="10"/>
  <c r="G835" i="10"/>
  <c r="G834" i="10"/>
  <c r="G832" i="10"/>
  <c r="G831" i="10"/>
  <c r="G830" i="10"/>
  <c r="G829" i="10"/>
  <c r="G828" i="10"/>
  <c r="G827" i="10"/>
  <c r="G826" i="10"/>
  <c r="G825" i="10"/>
  <c r="G824" i="10"/>
  <c r="G823" i="10"/>
  <c r="G821" i="10"/>
  <c r="G820" i="10"/>
  <c r="G819" i="10"/>
  <c r="G818" i="10"/>
  <c r="G817" i="10"/>
  <c r="G816" i="10"/>
  <c r="G815" i="10"/>
  <c r="G814" i="10"/>
  <c r="G813" i="10"/>
  <c r="G812" i="10"/>
  <c r="G811" i="10"/>
  <c r="G810" i="10"/>
  <c r="G809" i="10"/>
  <c r="G808" i="10"/>
  <c r="G806" i="10"/>
  <c r="G805" i="10"/>
  <c r="G803" i="10"/>
  <c r="G802" i="10"/>
  <c r="G801" i="10"/>
  <c r="G800" i="10"/>
  <c r="G799" i="10"/>
  <c r="G798" i="10"/>
  <c r="G797" i="10"/>
  <c r="G796" i="10"/>
  <c r="G795" i="10"/>
  <c r="G793" i="10"/>
  <c r="G792" i="10"/>
  <c r="G791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5" i="10"/>
  <c r="G774" i="10"/>
  <c r="G773" i="10"/>
  <c r="G772" i="10"/>
  <c r="G771" i="10"/>
  <c r="G770" i="10"/>
  <c r="G768" i="10"/>
  <c r="G767" i="10"/>
  <c r="G766" i="10"/>
  <c r="G765" i="10"/>
  <c r="G764" i="10"/>
  <c r="G763" i="10"/>
  <c r="G761" i="10"/>
  <c r="G760" i="10"/>
  <c r="G759" i="10"/>
  <c r="G758" i="10"/>
  <c r="G757" i="10"/>
  <c r="G756" i="10"/>
  <c r="G755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8" i="10"/>
  <c r="G736" i="10"/>
  <c r="G735" i="10"/>
  <c r="G734" i="10"/>
  <c r="G733" i="10"/>
  <c r="G732" i="10"/>
  <c r="G731" i="10"/>
  <c r="G729" i="10"/>
  <c r="G728" i="10"/>
  <c r="G727" i="10"/>
  <c r="G726" i="10"/>
  <c r="G725" i="10"/>
  <c r="G723" i="10"/>
  <c r="G722" i="10"/>
  <c r="G721" i="10"/>
  <c r="G720" i="10"/>
  <c r="G718" i="10"/>
  <c r="G717" i="10"/>
  <c r="G715" i="10"/>
  <c r="G714" i="10"/>
  <c r="G713" i="10"/>
  <c r="G712" i="10"/>
  <c r="G711" i="10"/>
  <c r="G710" i="10"/>
  <c r="G709" i="10"/>
  <c r="G708" i="10"/>
  <c r="G707" i="10"/>
  <c r="G706" i="10"/>
  <c r="G705" i="10"/>
  <c r="G704" i="10"/>
  <c r="G703" i="10"/>
  <c r="G702" i="10"/>
  <c r="G701" i="10"/>
  <c r="G700" i="10"/>
  <c r="G699" i="10"/>
  <c r="G698" i="10"/>
  <c r="G696" i="10"/>
  <c r="G695" i="10"/>
  <c r="G694" i="10"/>
  <c r="G693" i="10"/>
  <c r="G691" i="10"/>
  <c r="G690" i="10"/>
  <c r="G688" i="10"/>
  <c r="G687" i="10"/>
  <c r="G685" i="10"/>
  <c r="G684" i="10"/>
  <c r="G682" i="10"/>
  <c r="G681" i="10"/>
  <c r="G680" i="10"/>
  <c r="G679" i="10"/>
  <c r="G678" i="10"/>
  <c r="G677" i="10"/>
  <c r="G676" i="10"/>
  <c r="G675" i="10"/>
  <c r="G674" i="10"/>
  <c r="G673" i="10"/>
  <c r="G672" i="10"/>
  <c r="G671" i="10"/>
  <c r="G670" i="10"/>
  <c r="G669" i="10"/>
  <c r="G668" i="10"/>
  <c r="G667" i="10"/>
  <c r="G666" i="10"/>
  <c r="G665" i="10"/>
  <c r="G664" i="10"/>
  <c r="G663" i="10"/>
  <c r="G662" i="10"/>
  <c r="G661" i="10"/>
  <c r="G660" i="10"/>
  <c r="G659" i="10"/>
  <c r="G658" i="10"/>
  <c r="G657" i="10"/>
  <c r="G656" i="10"/>
  <c r="G655" i="10"/>
  <c r="G653" i="10"/>
  <c r="G651" i="10"/>
  <c r="G650" i="10"/>
  <c r="G649" i="10"/>
  <c r="G648" i="10"/>
  <c r="G647" i="10"/>
  <c r="G646" i="10"/>
  <c r="G645" i="10"/>
  <c r="G644" i="10"/>
  <c r="G643" i="10"/>
  <c r="G642" i="10"/>
  <c r="G641" i="10"/>
  <c r="G640" i="10"/>
  <c r="G639" i="10"/>
  <c r="G637" i="10"/>
  <c r="G636" i="10"/>
  <c r="G635" i="10"/>
  <c r="G634" i="10"/>
  <c r="G633" i="10"/>
  <c r="G631" i="10"/>
  <c r="G630" i="10"/>
  <c r="G628" i="10"/>
  <c r="G627" i="10"/>
  <c r="G625" i="10"/>
  <c r="G624" i="10"/>
  <c r="G623" i="10"/>
  <c r="G622" i="10"/>
  <c r="G620" i="10"/>
  <c r="G619" i="10"/>
  <c r="G618" i="10"/>
  <c r="G617" i="10"/>
  <c r="G616" i="10"/>
  <c r="G615" i="10"/>
  <c r="G614" i="10"/>
  <c r="G613" i="10"/>
  <c r="G612" i="10"/>
  <c r="G611" i="10"/>
  <c r="G610" i="10"/>
  <c r="G609" i="10"/>
  <c r="G608" i="10"/>
  <c r="G607" i="10"/>
  <c r="G606" i="10"/>
  <c r="G605" i="10"/>
  <c r="G604" i="10"/>
  <c r="G603" i="10"/>
  <c r="G602" i="10"/>
  <c r="G601" i="10"/>
  <c r="G600" i="10"/>
  <c r="G599" i="10"/>
  <c r="G598" i="10"/>
  <c r="G597" i="10"/>
  <c r="G596" i="10"/>
  <c r="G595" i="10"/>
  <c r="G594" i="10"/>
  <c r="G593" i="10"/>
  <c r="G592" i="10"/>
  <c r="G591" i="10"/>
  <c r="G590" i="10"/>
  <c r="G589" i="10"/>
  <c r="G588" i="10"/>
  <c r="G586" i="10"/>
  <c r="G585" i="10"/>
  <c r="G583" i="10"/>
  <c r="G582" i="10"/>
  <c r="G581" i="10"/>
  <c r="G580" i="10"/>
  <c r="G578" i="10"/>
  <c r="G577" i="10"/>
  <c r="G575" i="10"/>
  <c r="G574" i="10"/>
  <c r="G572" i="10"/>
  <c r="G571" i="10"/>
  <c r="G570" i="10"/>
  <c r="G569" i="10"/>
  <c r="G568" i="10"/>
  <c r="G566" i="10"/>
  <c r="G565" i="10"/>
  <c r="G563" i="10"/>
  <c r="G562" i="10"/>
  <c r="G561" i="10"/>
  <c r="G560" i="10"/>
  <c r="G559" i="10"/>
  <c r="G557" i="10"/>
  <c r="G556" i="10"/>
  <c r="G554" i="10"/>
  <c r="G553" i="10"/>
  <c r="G552" i="10"/>
  <c r="G551" i="10"/>
  <c r="G550" i="10"/>
  <c r="G549" i="10"/>
  <c r="G548" i="10"/>
  <c r="G547" i="10"/>
  <c r="G546" i="10"/>
  <c r="G545" i="10"/>
  <c r="G544" i="10"/>
  <c r="G543" i="10"/>
  <c r="G542" i="10"/>
  <c r="G541" i="10"/>
  <c r="G540" i="10"/>
  <c r="G539" i="10"/>
  <c r="G538" i="10"/>
  <c r="G537" i="10"/>
  <c r="G536" i="10"/>
  <c r="G535" i="10"/>
  <c r="G534" i="10"/>
  <c r="G533" i="10"/>
  <c r="G532" i="10"/>
  <c r="G531" i="10"/>
  <c r="G529" i="10"/>
  <c r="G528" i="10"/>
  <c r="G527" i="10"/>
  <c r="G526" i="10"/>
  <c r="G524" i="10"/>
  <c r="G523" i="10"/>
  <c r="G521" i="10"/>
  <c r="G520" i="10"/>
  <c r="G519" i="10"/>
  <c r="G518" i="10"/>
  <c r="G517" i="10"/>
  <c r="G515" i="10"/>
  <c r="G514" i="10"/>
  <c r="G513" i="10"/>
  <c r="G512" i="10"/>
  <c r="G511" i="10"/>
  <c r="G510" i="10"/>
  <c r="G509" i="10"/>
  <c r="G508" i="10"/>
  <c r="G507" i="10"/>
  <c r="G506" i="10"/>
  <c r="G504" i="10"/>
  <c r="G503" i="10"/>
  <c r="G502" i="10"/>
  <c r="G501" i="10"/>
  <c r="G500" i="10"/>
  <c r="G499" i="10"/>
  <c r="G498" i="10"/>
  <c r="G497" i="10"/>
  <c r="G496" i="10"/>
  <c r="G495" i="10"/>
  <c r="G494" i="10"/>
  <c r="G493" i="10"/>
  <c r="G492" i="10"/>
  <c r="G490" i="10"/>
  <c r="G489" i="10"/>
  <c r="G487" i="10"/>
  <c r="G486" i="10"/>
  <c r="G485" i="10"/>
  <c r="G483" i="10"/>
  <c r="G482" i="10"/>
  <c r="G481" i="10"/>
  <c r="G480" i="10"/>
  <c r="G479" i="10"/>
  <c r="G478" i="10"/>
  <c r="G477" i="10"/>
  <c r="G476" i="10"/>
  <c r="G475" i="10"/>
  <c r="G474" i="10"/>
  <c r="G473" i="10"/>
  <c r="G472" i="10"/>
  <c r="G471" i="10"/>
  <c r="G470" i="10"/>
  <c r="G469" i="10"/>
  <c r="G468" i="10"/>
  <c r="G467" i="10"/>
  <c r="G465" i="10"/>
  <c r="G464" i="10"/>
  <c r="G463" i="10"/>
  <c r="G462" i="10"/>
  <c r="G461" i="10"/>
  <c r="G460" i="10"/>
  <c r="G459" i="10"/>
  <c r="G457" i="10"/>
  <c r="G456" i="10"/>
  <c r="G455" i="10"/>
  <c r="G452" i="10"/>
  <c r="G451" i="10"/>
  <c r="G449" i="10"/>
  <c r="G448" i="10"/>
  <c r="G446" i="10"/>
  <c r="G445" i="10"/>
  <c r="G444" i="10"/>
  <c r="G443" i="10"/>
  <c r="G442" i="10"/>
  <c r="G441" i="10"/>
  <c r="G440" i="10"/>
  <c r="G439" i="10"/>
  <c r="G437" i="10"/>
  <c r="G435" i="10"/>
  <c r="G434" i="10"/>
  <c r="G432" i="10"/>
  <c r="G431" i="10"/>
  <c r="G429" i="10"/>
  <c r="G428" i="10"/>
  <c r="G424" i="10"/>
  <c r="G423" i="10"/>
  <c r="G422" i="10"/>
  <c r="G421" i="10"/>
  <c r="G420" i="10"/>
  <c r="G419" i="10"/>
  <c r="G418" i="10"/>
  <c r="G417" i="10"/>
  <c r="G416" i="10"/>
  <c r="G415" i="10"/>
  <c r="G414" i="10"/>
  <c r="G413" i="10"/>
  <c r="G411" i="10"/>
  <c r="G410" i="10"/>
  <c r="G409" i="10"/>
  <c r="G408" i="10"/>
  <c r="G407" i="10"/>
  <c r="G405" i="10"/>
  <c r="G404" i="10"/>
  <c r="G403" i="10"/>
  <c r="G402" i="10"/>
  <c r="G401" i="10"/>
  <c r="G400" i="10"/>
  <c r="G399" i="10"/>
  <c r="G398" i="10"/>
  <c r="G397" i="10"/>
  <c r="G396" i="10"/>
  <c r="G394" i="10"/>
  <c r="G393" i="10"/>
  <c r="G392" i="10"/>
  <c r="G391" i="10"/>
  <c r="G390" i="10"/>
  <c r="G389" i="10"/>
  <c r="G388" i="10"/>
  <c r="G386" i="10"/>
  <c r="G385" i="10"/>
  <c r="G384" i="10"/>
  <c r="G383" i="10"/>
  <c r="G382" i="10"/>
  <c r="G381" i="10"/>
  <c r="G380" i="10"/>
  <c r="G378" i="10"/>
  <c r="G376" i="10"/>
  <c r="G375" i="10"/>
  <c r="G374" i="10"/>
  <c r="G373" i="10"/>
  <c r="G371" i="10"/>
  <c r="G370" i="10"/>
  <c r="G369" i="10"/>
  <c r="G368" i="10"/>
  <c r="G367" i="10"/>
  <c r="G366" i="10"/>
  <c r="G364" i="10"/>
  <c r="G363" i="10"/>
  <c r="G361" i="10"/>
  <c r="G360" i="10"/>
  <c r="G359" i="10"/>
  <c r="G358" i="10"/>
  <c r="G356" i="10"/>
  <c r="G355" i="10"/>
  <c r="G354" i="10"/>
  <c r="G353" i="10"/>
  <c r="G352" i="10"/>
  <c r="G351" i="10"/>
  <c r="G350" i="10"/>
  <c r="G349" i="10"/>
  <c r="G348" i="10"/>
  <c r="G347" i="10"/>
  <c r="G345" i="10"/>
  <c r="G344" i="10"/>
  <c r="G343" i="10"/>
  <c r="G342" i="10"/>
  <c r="G341" i="10"/>
  <c r="G340" i="10"/>
  <c r="G339" i="10"/>
  <c r="G338" i="10"/>
  <c r="G337" i="10"/>
  <c r="G335" i="10"/>
  <c r="G334" i="10"/>
  <c r="G333" i="10"/>
  <c r="G331" i="10"/>
  <c r="G330" i="10"/>
  <c r="G328" i="10"/>
  <c r="G327" i="10"/>
  <c r="G325" i="10"/>
  <c r="G324" i="10"/>
  <c r="G322" i="10"/>
  <c r="G321" i="10"/>
  <c r="G319" i="10"/>
  <c r="G318" i="10"/>
  <c r="G316" i="10"/>
  <c r="G315" i="10"/>
  <c r="G313" i="10"/>
  <c r="G311" i="10"/>
  <c r="G310" i="10"/>
  <c r="G309" i="10"/>
  <c r="G308" i="10"/>
  <c r="G307" i="10"/>
  <c r="G306" i="10"/>
  <c r="G304" i="10"/>
  <c r="G302" i="10"/>
  <c r="G300" i="10"/>
  <c r="G299" i="10"/>
  <c r="G297" i="10"/>
  <c r="G296" i="10"/>
  <c r="G294" i="10"/>
  <c r="G293" i="10"/>
  <c r="G292" i="10"/>
  <c r="G291" i="10"/>
  <c r="G290" i="10"/>
  <c r="G288" i="10"/>
  <c r="G287" i="10"/>
  <c r="G285" i="10"/>
  <c r="G284" i="10"/>
  <c r="G283" i="10"/>
  <c r="G282" i="10"/>
  <c r="G281" i="10"/>
  <c r="G280" i="10"/>
  <c r="G279" i="10"/>
  <c r="G278" i="10"/>
  <c r="G277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8" i="10"/>
  <c r="G257" i="10"/>
  <c r="G255" i="10"/>
  <c r="G254" i="10"/>
  <c r="G252" i="10"/>
  <c r="G251" i="10"/>
  <c r="G249" i="10"/>
  <c r="G248" i="10"/>
  <c r="G246" i="10"/>
  <c r="G245" i="10"/>
  <c r="G243" i="10"/>
  <c r="G242" i="10"/>
  <c r="G241" i="10"/>
  <c r="G240" i="10"/>
  <c r="G239" i="10"/>
  <c r="G238" i="10"/>
  <c r="G237" i="10"/>
  <c r="G236" i="10"/>
  <c r="G235" i="10"/>
  <c r="G233" i="10"/>
  <c r="G232" i="10"/>
  <c r="G231" i="10"/>
  <c r="G230" i="10"/>
  <c r="G229" i="10"/>
  <c r="G228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5" i="10"/>
  <c r="G204" i="10"/>
  <c r="G203" i="10"/>
  <c r="G202" i="10"/>
  <c r="G200" i="10"/>
  <c r="G199" i="10"/>
  <c r="G198" i="10"/>
  <c r="G197" i="10"/>
  <c r="G196" i="10"/>
  <c r="G195" i="10"/>
  <c r="G194" i="10"/>
  <c r="G193" i="10"/>
  <c r="G192" i="10"/>
  <c r="G191" i="10"/>
  <c r="G190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5" i="10"/>
  <c r="G174" i="10"/>
  <c r="G173" i="10"/>
  <c r="G172" i="10"/>
  <c r="G171" i="10"/>
  <c r="G170" i="10"/>
  <c r="G169" i="10"/>
  <c r="G167" i="10"/>
  <c r="G166" i="10"/>
  <c r="G165" i="10"/>
  <c r="G164" i="10"/>
  <c r="G163" i="10"/>
  <c r="G162" i="10"/>
  <c r="G161" i="10"/>
  <c r="G160" i="10"/>
  <c r="G159" i="10"/>
  <c r="G157" i="10"/>
  <c r="G156" i="10"/>
  <c r="G155" i="10"/>
  <c r="G154" i="10"/>
  <c r="G152" i="10"/>
  <c r="G151" i="10"/>
  <c r="G150" i="10"/>
  <c r="G149" i="10"/>
  <c r="G148" i="10"/>
  <c r="G147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2" i="10"/>
  <c r="G131" i="10"/>
  <c r="G129" i="10"/>
  <c r="G128" i="10"/>
  <c r="G126" i="10"/>
  <c r="G125" i="10"/>
  <c r="G123" i="10"/>
  <c r="G122" i="10"/>
  <c r="G121" i="10"/>
  <c r="G119" i="10"/>
  <c r="G118" i="10"/>
  <c r="G117" i="10"/>
  <c r="G116" i="10"/>
  <c r="G114" i="10"/>
  <c r="G113" i="10"/>
  <c r="G111" i="10"/>
  <c r="G110" i="10"/>
  <c r="G109" i="10"/>
  <c r="G108" i="10"/>
  <c r="G107" i="10"/>
  <c r="G105" i="10"/>
  <c r="G104" i="10"/>
  <c r="G102" i="10"/>
  <c r="G100" i="10"/>
  <c r="G99" i="10"/>
  <c r="G98" i="10"/>
  <c r="G97" i="10"/>
  <c r="G92" i="10"/>
  <c r="G91" i="10"/>
  <c r="G90" i="10"/>
  <c r="G89" i="10"/>
  <c r="G88" i="10"/>
  <c r="G87" i="10"/>
  <c r="G86" i="10"/>
  <c r="G84" i="10"/>
  <c r="G83" i="10"/>
  <c r="G82" i="10"/>
  <c r="G80" i="10"/>
  <c r="G79" i="10"/>
  <c r="G78" i="10"/>
  <c r="G76" i="10"/>
  <c r="G75" i="10"/>
  <c r="G74" i="10"/>
  <c r="G73" i="10"/>
  <c r="G71" i="10"/>
  <c r="G70" i="10"/>
  <c r="G69" i="10"/>
  <c r="G68" i="10"/>
  <c r="G66" i="10"/>
  <c r="G65" i="10"/>
  <c r="G64" i="10"/>
  <c r="G63" i="10"/>
  <c r="G62" i="10"/>
  <c r="G61" i="10"/>
  <c r="G60" i="10"/>
  <c r="G59" i="10"/>
  <c r="G58" i="10"/>
  <c r="G57" i="10"/>
  <c r="G56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5" i="10"/>
  <c r="G24" i="10"/>
  <c r="G23" i="10"/>
  <c r="G22" i="10"/>
  <c r="G20" i="10"/>
  <c r="G18" i="10"/>
  <c r="G16" i="10"/>
  <c r="G15" i="10"/>
  <c r="G14" i="10"/>
  <c r="G13" i="10"/>
  <c r="G12" i="10"/>
  <c r="G11" i="10"/>
  <c r="G10" i="10"/>
  <c r="G1089" i="4"/>
  <c r="G1086" i="4"/>
  <c r="G1082" i="15" s="1"/>
  <c r="H1082" i="15" s="1"/>
  <c r="G1081" i="15"/>
  <c r="H1081" i="15" s="1"/>
  <c r="G1078" i="4"/>
  <c r="G1075" i="4"/>
  <c r="G1071" i="15" s="1"/>
  <c r="H1071" i="15" s="1"/>
  <c r="G1070" i="15"/>
  <c r="H1070" i="15" s="1"/>
  <c r="G1059" i="4"/>
  <c r="G1056" i="4"/>
  <c r="G1052" i="15" s="1"/>
  <c r="H1052" i="15" s="1"/>
  <c r="G1046" i="4"/>
  <c r="G1033" i="4"/>
  <c r="G1027" i="15"/>
  <c r="H1027" i="15" s="1"/>
  <c r="G1028" i="4"/>
  <c r="G1024" i="15" s="1"/>
  <c r="H1024" i="15" s="1"/>
  <c r="G1024" i="4"/>
  <c r="G1018" i="15"/>
  <c r="H1018" i="15" s="1"/>
  <c r="G1016" i="4"/>
  <c r="G1010" i="15"/>
  <c r="H1010" i="15" s="1"/>
  <c r="G1011" i="4"/>
  <c r="G1007" i="15" s="1"/>
  <c r="H1007" i="15" s="1"/>
  <c r="G1009" i="4"/>
  <c r="G1005" i="15" s="1"/>
  <c r="H1005" i="15" s="1"/>
  <c r="G995" i="4"/>
  <c r="G988" i="4"/>
  <c r="G985" i="4"/>
  <c r="G981" i="15" s="1"/>
  <c r="H981" i="15" s="1"/>
  <c r="G980" i="4"/>
  <c r="G991" i="4"/>
  <c r="G703" i="5"/>
  <c r="G973" i="4"/>
  <c r="G969" i="15" s="1"/>
  <c r="G966" i="15"/>
  <c r="G690" i="5"/>
  <c r="G949" i="4"/>
  <c r="G945" i="4"/>
  <c r="G941" i="4"/>
  <c r="G934" i="15"/>
  <c r="G926" i="15"/>
  <c r="G917" i="4"/>
  <c r="G913" i="15" s="1"/>
  <c r="H913" i="15" s="1"/>
  <c r="G915" i="4"/>
  <c r="G911" i="15" s="1"/>
  <c r="H911" i="15" s="1"/>
  <c r="G912" i="4"/>
  <c r="G909" i="4"/>
  <c r="G905" i="15" s="1"/>
  <c r="H905" i="15" s="1"/>
  <c r="G907" i="4"/>
  <c r="G903" i="15" s="1"/>
  <c r="H903" i="15" s="1"/>
  <c r="G903" i="4"/>
  <c r="G899" i="15" s="1"/>
  <c r="H899" i="15" s="1"/>
  <c r="G901" i="4"/>
  <c r="G897" i="15" s="1"/>
  <c r="G887" i="15"/>
  <c r="H887" i="15" s="1"/>
  <c r="G884" i="15"/>
  <c r="H884" i="15" s="1"/>
  <c r="G881" i="15"/>
  <c r="H881" i="15" s="1"/>
  <c r="G869" i="4"/>
  <c r="G860" i="15"/>
  <c r="H860" i="15" s="1"/>
  <c r="G856" i="4"/>
  <c r="G842" i="4"/>
  <c r="F138" i="3"/>
  <c r="G831" i="15"/>
  <c r="G826" i="4"/>
  <c r="G820" i="15"/>
  <c r="H820" i="15" s="1"/>
  <c r="G816" i="15"/>
  <c r="H816" i="15" s="1"/>
  <c r="G814" i="4"/>
  <c r="G808" i="15"/>
  <c r="H808" i="15" s="1"/>
  <c r="G802" i="15"/>
  <c r="G793" i="15"/>
  <c r="G793" i="4"/>
  <c r="G789" i="4"/>
  <c r="G786" i="4"/>
  <c r="G464" i="5"/>
  <c r="F920" i="3"/>
  <c r="G449" i="5"/>
  <c r="G757" i="4"/>
  <c r="G749" i="15"/>
  <c r="H749" i="15" s="1"/>
  <c r="G747" i="15"/>
  <c r="H747" i="15" s="1"/>
  <c r="G743" i="15"/>
  <c r="H743" i="15" s="1"/>
  <c r="G741" i="4"/>
  <c r="G735" i="15"/>
  <c r="H735" i="15" s="1"/>
  <c r="G733" i="15"/>
  <c r="H733" i="15" s="1"/>
  <c r="G728" i="4"/>
  <c r="G724" i="15" s="1"/>
  <c r="F719" i="14" s="1"/>
  <c r="F718" i="14" s="1"/>
  <c r="F717" i="14" s="1"/>
  <c r="G720" i="4"/>
  <c r="G716" i="4"/>
  <c r="G712" i="15" s="1"/>
  <c r="G711" i="4"/>
  <c r="G703" i="15"/>
  <c r="G700" i="4"/>
  <c r="G689" i="4"/>
  <c r="G680" i="4"/>
  <c r="G675" i="4"/>
  <c r="G672" i="4"/>
  <c r="G672" i="15" s="1"/>
  <c r="G344" i="5"/>
  <c r="G665" i="4"/>
  <c r="G651" i="15"/>
  <c r="G647" i="4"/>
  <c r="G645" i="15"/>
  <c r="G642" i="15"/>
  <c r="G637" i="15"/>
  <c r="G633" i="4"/>
  <c r="G631" i="15"/>
  <c r="G627" i="4"/>
  <c r="G624" i="4"/>
  <c r="G620" i="4"/>
  <c r="G617" i="4"/>
  <c r="G607" i="4"/>
  <c r="G602" i="4"/>
  <c r="G590" i="4"/>
  <c r="G587" i="4"/>
  <c r="G581" i="4"/>
  <c r="G581" i="15" s="1"/>
  <c r="G577" i="4"/>
  <c r="G573" i="4"/>
  <c r="G568" i="15"/>
  <c r="G563" i="15"/>
  <c r="G559" i="4"/>
  <c r="G557" i="15"/>
  <c r="G553" i="4"/>
  <c r="G549" i="4"/>
  <c r="G538" i="4"/>
  <c r="G535" i="4"/>
  <c r="G528" i="15"/>
  <c r="H528" i="15" s="1"/>
  <c r="G525" i="15"/>
  <c r="H525" i="15" s="1"/>
  <c r="G506" i="4"/>
  <c r="G510" i="15"/>
  <c r="H510" i="15" s="1"/>
  <c r="G493" i="4"/>
  <c r="G486" i="4"/>
  <c r="G492" i="15" s="1"/>
  <c r="H492" i="15" s="1"/>
  <c r="G459" i="4"/>
  <c r="G443" i="4"/>
  <c r="G431" i="4"/>
  <c r="G424" i="4"/>
  <c r="G419" i="4"/>
  <c r="G425" i="15" s="1"/>
  <c r="H425" i="15" s="1"/>
  <c r="F813" i="3"/>
  <c r="G412" i="4"/>
  <c r="G409" i="4"/>
  <c r="G415" i="15" s="1"/>
  <c r="H415" i="15" s="1"/>
  <c r="G407" i="4"/>
  <c r="G413" i="15" s="1"/>
  <c r="H413" i="15" s="1"/>
  <c r="G401" i="4"/>
  <c r="G396" i="4"/>
  <c r="G391" i="4"/>
  <c r="G388" i="4"/>
  <c r="G384" i="4"/>
  <c r="G381" i="4"/>
  <c r="G373" i="4"/>
  <c r="F791" i="3"/>
  <c r="F787" i="14" s="1"/>
  <c r="G787" i="14" s="1"/>
  <c r="G558" i="5"/>
  <c r="G356" i="4"/>
  <c r="G352" i="4"/>
  <c r="F770" i="3"/>
  <c r="F766" i="14" s="1"/>
  <c r="G766" i="14" s="1"/>
  <c r="G325" i="4"/>
  <c r="G331" i="15" s="1"/>
  <c r="G310" i="4"/>
  <c r="G292" i="4"/>
  <c r="G289" i="4"/>
  <c r="G295" i="15" s="1"/>
  <c r="H295" i="15" s="1"/>
  <c r="G285" i="4"/>
  <c r="G262" i="4"/>
  <c r="G258" i="4"/>
  <c r="G255" i="4"/>
  <c r="G251" i="4"/>
  <c r="G248" i="4"/>
  <c r="G240" i="4"/>
  <c r="G235" i="4"/>
  <c r="G232" i="4"/>
  <c r="G229" i="4"/>
  <c r="G226" i="4"/>
  <c r="G223" i="4"/>
  <c r="G218" i="4"/>
  <c r="G222" i="15"/>
  <c r="G207" i="4"/>
  <c r="G213" i="15" s="1"/>
  <c r="H211" i="15"/>
  <c r="H210" i="15" s="1"/>
  <c r="G198" i="4"/>
  <c r="G192" i="4"/>
  <c r="G185" i="4"/>
  <c r="G169" i="4"/>
  <c r="G169" i="15"/>
  <c r="G162" i="4"/>
  <c r="G155" i="4"/>
  <c r="G156" i="15"/>
  <c r="H156" i="15" s="1"/>
  <c r="G154" i="15"/>
  <c r="H154" i="15" s="1"/>
  <c r="G147" i="4"/>
  <c r="G150" i="15" s="1"/>
  <c r="H150" i="15" s="1"/>
  <c r="G136" i="4"/>
  <c r="G129" i="4"/>
  <c r="G124" i="4"/>
  <c r="G119" i="4"/>
  <c r="G115" i="4"/>
  <c r="G401" i="5"/>
  <c r="G110" i="4"/>
  <c r="G91" i="4"/>
  <c r="G88" i="4"/>
  <c r="G68" i="15"/>
  <c r="G63" i="4"/>
  <c r="G66" i="15" s="1"/>
  <c r="G60" i="4"/>
  <c r="G63" i="15" s="1"/>
  <c r="G61" i="15"/>
  <c r="G56" i="15"/>
  <c r="F63" i="14" s="1"/>
  <c r="F62" i="14" s="1"/>
  <c r="F61" i="14" s="1"/>
  <c r="G46" i="4"/>
  <c r="G45" i="4" s="1"/>
  <c r="G42" i="4"/>
  <c r="G34" i="4"/>
  <c r="G40" i="15" s="1"/>
  <c r="H40" i="15" s="1"/>
  <c r="G30" i="4"/>
  <c r="G36" i="15" s="1"/>
  <c r="G22" i="4"/>
  <c r="G19" i="4"/>
  <c r="G19" i="15" s="1"/>
  <c r="H19" i="15" s="1"/>
  <c r="G17" i="4"/>
  <c r="G15" i="4"/>
  <c r="G15" i="15" s="1"/>
  <c r="F958" i="3"/>
  <c r="F936" i="3"/>
  <c r="F931" i="14" s="1"/>
  <c r="F933" i="3"/>
  <c r="F930" i="3"/>
  <c r="F907" i="3"/>
  <c r="F895" i="3"/>
  <c r="F891" i="3"/>
  <c r="F839" i="3"/>
  <c r="F835" i="14" s="1"/>
  <c r="G835" i="14" s="1"/>
  <c r="F834" i="3"/>
  <c r="F820" i="3"/>
  <c r="F809" i="3"/>
  <c r="F806" i="3"/>
  <c r="F799" i="3"/>
  <c r="F794" i="3"/>
  <c r="F778" i="3"/>
  <c r="F764" i="3"/>
  <c r="F760" i="14" s="1"/>
  <c r="G760" i="14" s="1"/>
  <c r="F628" i="3"/>
  <c r="F619" i="3"/>
  <c r="F607" i="3"/>
  <c r="F566" i="3"/>
  <c r="F563" i="3"/>
  <c r="F559" i="3"/>
  <c r="F556" i="3"/>
  <c r="F545" i="3"/>
  <c r="F534" i="3"/>
  <c r="F529" i="3"/>
  <c r="F526" i="3"/>
  <c r="F516" i="3"/>
  <c r="F512" i="3"/>
  <c r="F492" i="3"/>
  <c r="F467" i="3"/>
  <c r="F467" i="14" s="1"/>
  <c r="G467" i="14" s="1"/>
  <c r="F450" i="3"/>
  <c r="F450" i="14" s="1"/>
  <c r="G450" i="14" s="1"/>
  <c r="F431" i="3"/>
  <c r="F431" i="14" s="1"/>
  <c r="G431" i="14" s="1"/>
  <c r="F428" i="3"/>
  <c r="F423" i="3"/>
  <c r="F420" i="3"/>
  <c r="F359" i="3"/>
  <c r="F342" i="3"/>
  <c r="F342" i="14" s="1"/>
  <c r="G342" i="14" s="1"/>
  <c r="F321" i="3"/>
  <c r="F321" i="14" s="1"/>
  <c r="G321" i="14" s="1"/>
  <c r="F212" i="3"/>
  <c r="F208" i="3"/>
  <c r="F198" i="3"/>
  <c r="F194" i="3"/>
  <c r="F179" i="3"/>
  <c r="F179" i="14" s="1"/>
  <c r="G179" i="14" s="1"/>
  <c r="F176" i="3"/>
  <c r="F176" i="14" s="1"/>
  <c r="G176" i="14" s="1"/>
  <c r="F170" i="3"/>
  <c r="F170" i="14" s="1"/>
  <c r="F118" i="3"/>
  <c r="F115" i="3"/>
  <c r="F48" i="3"/>
  <c r="F35" i="3"/>
  <c r="F16" i="3"/>
  <c r="C141" i="1"/>
  <c r="C135" i="1"/>
  <c r="C134" i="1" s="1"/>
  <c r="C133" i="1" s="1"/>
  <c r="C118" i="1"/>
  <c r="C119" i="12" s="1"/>
  <c r="C112" i="12" s="1"/>
  <c r="C107" i="1"/>
  <c r="C102" i="1"/>
  <c r="C89" i="1"/>
  <c r="C87" i="1"/>
  <c r="C77" i="1"/>
  <c r="C76" i="1" s="1"/>
  <c r="C72" i="1"/>
  <c r="C61" i="1"/>
  <c r="C59" i="1"/>
  <c r="C46" i="1"/>
  <c r="C44" i="1"/>
  <c r="C40" i="1"/>
  <c r="C32" i="1"/>
  <c r="C27" i="1"/>
  <c r="C21" i="1" s="1"/>
  <c r="H56" i="15" l="1"/>
  <c r="G55" i="15"/>
  <c r="D127" i="1"/>
  <c r="G665" i="15"/>
  <c r="H665" i="15" s="1"/>
  <c r="H337" i="16" s="1"/>
  <c r="D107" i="1"/>
  <c r="H36" i="15"/>
  <c r="H66" i="15"/>
  <c r="H65" i="15" s="1"/>
  <c r="G65" i="15"/>
  <c r="H68" i="15"/>
  <c r="H67" i="15" s="1"/>
  <c r="G67" i="15"/>
  <c r="H61" i="15"/>
  <c r="H60" i="15" s="1"/>
  <c r="G60" i="15"/>
  <c r="H213" i="15"/>
  <c r="H212" i="15" s="1"/>
  <c r="H209" i="15" s="1"/>
  <c r="G212" i="15"/>
  <c r="G209" i="15" s="1"/>
  <c r="H63" i="15"/>
  <c r="H62" i="15" s="1"/>
  <c r="G62" i="15"/>
  <c r="H15" i="15"/>
  <c r="H14" i="15" s="1"/>
  <c r="G14" i="15"/>
  <c r="G180" i="15"/>
  <c r="G177" i="15" s="1"/>
  <c r="G437" i="15"/>
  <c r="H437" i="15" s="1"/>
  <c r="G105" i="16"/>
  <c r="G889" i="16"/>
  <c r="G888" i="16" s="1"/>
  <c r="G887" i="16" s="1"/>
  <c r="G886" i="16" s="1"/>
  <c r="G891" i="16" s="1"/>
  <c r="G69" i="15"/>
  <c r="H69" i="15"/>
  <c r="H637" i="15"/>
  <c r="H229" i="16" s="1"/>
  <c r="G229" i="16"/>
  <c r="H651" i="15"/>
  <c r="H315" i="16" s="1"/>
  <c r="G315" i="16"/>
  <c r="H802" i="15"/>
  <c r="H884" i="16" s="1"/>
  <c r="G884" i="16"/>
  <c r="H335" i="15"/>
  <c r="H334" i="15" s="1"/>
  <c r="G334" i="15"/>
  <c r="H222" i="15"/>
  <c r="H154" i="16" s="1"/>
  <c r="G154" i="16"/>
  <c r="H331" i="15"/>
  <c r="H45" i="16" s="1"/>
  <c r="G45" i="16"/>
  <c r="H63" i="16"/>
  <c r="G63" i="16"/>
  <c r="H563" i="15"/>
  <c r="H208" i="16" s="1"/>
  <c r="G208" i="16"/>
  <c r="H581" i="15"/>
  <c r="H269" i="16" s="1"/>
  <c r="G269" i="16"/>
  <c r="H672" i="15"/>
  <c r="H348" i="16" s="1"/>
  <c r="G348" i="16"/>
  <c r="H712" i="15"/>
  <c r="H363" i="16" s="1"/>
  <c r="G363" i="16"/>
  <c r="H966" i="15"/>
  <c r="H691" i="16" s="1"/>
  <c r="G691" i="16"/>
  <c r="H631" i="15"/>
  <c r="H221" i="16" s="1"/>
  <c r="G221" i="16"/>
  <c r="H793" i="15"/>
  <c r="H480" i="16" s="1"/>
  <c r="G480" i="16"/>
  <c r="H557" i="15"/>
  <c r="H200" i="16" s="1"/>
  <c r="G200" i="16"/>
  <c r="H703" i="15"/>
  <c r="H242" i="16" s="1"/>
  <c r="G242" i="16"/>
  <c r="H724" i="15"/>
  <c r="G371" i="16"/>
  <c r="H831" i="15"/>
  <c r="H498" i="16" s="1"/>
  <c r="G498" i="16"/>
  <c r="H568" i="15"/>
  <c r="H250" i="16" s="1"/>
  <c r="H249" i="16" s="1"/>
  <c r="H248" i="16" s="1"/>
  <c r="H247" i="16" s="1"/>
  <c r="H246" i="16" s="1"/>
  <c r="H245" i="16" s="1"/>
  <c r="G250" i="16"/>
  <c r="H645" i="15"/>
  <c r="H307" i="16" s="1"/>
  <c r="H308" i="16" s="1"/>
  <c r="G307" i="16"/>
  <c r="H642" i="15"/>
  <c r="H303" i="16" s="1"/>
  <c r="H304" i="16" s="1"/>
  <c r="G303" i="16"/>
  <c r="H934" i="15"/>
  <c r="H783" i="16" s="1"/>
  <c r="H782" i="16" s="1"/>
  <c r="H781" i="16" s="1"/>
  <c r="H780" i="16" s="1"/>
  <c r="H779" i="16" s="1"/>
  <c r="H778" i="16" s="1"/>
  <c r="G783" i="16"/>
  <c r="H926" i="15"/>
  <c r="H769" i="16" s="1"/>
  <c r="H768" i="16" s="1"/>
  <c r="H767" i="16" s="1"/>
  <c r="H766" i="16" s="1"/>
  <c r="H765" i="16" s="1"/>
  <c r="H764" i="16" s="1"/>
  <c r="G769" i="16"/>
  <c r="H969" i="15"/>
  <c r="H697" i="16" s="1"/>
  <c r="H698" i="16" s="1"/>
  <c r="G697" i="16"/>
  <c r="G931" i="14"/>
  <c r="G85" i="14"/>
  <c r="G84" i="14" s="1"/>
  <c r="F84" i="14"/>
  <c r="G81" i="14"/>
  <c r="G80" i="14" s="1"/>
  <c r="F80" i="14"/>
  <c r="D119" i="12"/>
  <c r="D112" i="12" s="1"/>
  <c r="D111" i="12" s="1"/>
  <c r="D110" i="12" s="1"/>
  <c r="C111" i="12"/>
  <c r="C110" i="12" s="1"/>
  <c r="C135" i="12"/>
  <c r="H169" i="15"/>
  <c r="H747" i="16" s="1"/>
  <c r="G747" i="16"/>
  <c r="G170" i="14"/>
  <c r="G91" i="15"/>
  <c r="H91" i="15" s="1"/>
  <c r="G87" i="4"/>
  <c r="F805" i="14"/>
  <c r="C95" i="1"/>
  <c r="G679" i="5"/>
  <c r="G109" i="4"/>
  <c r="G112" i="15" s="1"/>
  <c r="H112" i="15" s="1"/>
  <c r="G113" i="15"/>
  <c r="H113" i="15" s="1"/>
  <c r="G123" i="4"/>
  <c r="G122" i="4" s="1"/>
  <c r="G239" i="4"/>
  <c r="G245" i="15" s="1"/>
  <c r="G246" i="15"/>
  <c r="H246" i="15" s="1"/>
  <c r="G628" i="5"/>
  <c r="G629" i="5" s="1"/>
  <c r="G298" i="15"/>
  <c r="G355" i="4"/>
  <c r="G362" i="15"/>
  <c r="H362" i="15" s="1"/>
  <c r="G395" i="4"/>
  <c r="G411" i="4"/>
  <c r="G417" i="15" s="1"/>
  <c r="H417" i="15" s="1"/>
  <c r="G418" i="15"/>
  <c r="H418" i="15" s="1"/>
  <c r="G458" i="4"/>
  <c r="G465" i="15"/>
  <c r="H465" i="15" s="1"/>
  <c r="G548" i="4"/>
  <c r="G548" i="15" s="1"/>
  <c r="G549" i="15"/>
  <c r="H549" i="15" s="1"/>
  <c r="G679" i="4"/>
  <c r="G680" i="15"/>
  <c r="H680" i="15" s="1"/>
  <c r="G719" i="4"/>
  <c r="G715" i="15" s="1"/>
  <c r="G716" i="15"/>
  <c r="H716" i="15" s="1"/>
  <c r="F373" i="3"/>
  <c r="F373" i="14" s="1"/>
  <c r="G373" i="14" s="1"/>
  <c r="G930" i="15"/>
  <c r="G1032" i="4"/>
  <c r="G1028" i="15" s="1"/>
  <c r="H1028" i="15" s="1"/>
  <c r="G1029" i="15"/>
  <c r="H1029" i="15" s="1"/>
  <c r="G128" i="4"/>
  <c r="G126" i="4" s="1"/>
  <c r="G228" i="4"/>
  <c r="G234" i="15" s="1"/>
  <c r="H234" i="15" s="1"/>
  <c r="G235" i="15"/>
  <c r="H235" i="15" s="1"/>
  <c r="G261" i="4"/>
  <c r="G268" i="15"/>
  <c r="H268" i="15" s="1"/>
  <c r="G383" i="4"/>
  <c r="G389" i="15" s="1"/>
  <c r="H389" i="15" s="1"/>
  <c r="G390" i="15"/>
  <c r="H390" i="15" s="1"/>
  <c r="G606" i="4"/>
  <c r="G606" i="15" s="1"/>
  <c r="G607" i="15"/>
  <c r="H607" i="15" s="1"/>
  <c r="G322" i="5"/>
  <c r="G655" i="15"/>
  <c r="G688" i="4"/>
  <c r="G685" i="15"/>
  <c r="H685" i="15" s="1"/>
  <c r="F750" i="3"/>
  <c r="F746" i="14" s="1"/>
  <c r="G746" i="14" s="1"/>
  <c r="G751" i="15"/>
  <c r="H751" i="15" s="1"/>
  <c r="G825" i="4"/>
  <c r="G821" i="15" s="1"/>
  <c r="H821" i="15" s="1"/>
  <c r="G822" i="15"/>
  <c r="H822" i="15" s="1"/>
  <c r="F140" i="3"/>
  <c r="F139" i="3" s="1"/>
  <c r="F136" i="14" s="1"/>
  <c r="G136" i="14" s="1"/>
  <c r="G844" i="15"/>
  <c r="H844" i="15" s="1"/>
  <c r="G1130" i="4"/>
  <c r="G21" i="4"/>
  <c r="G21" i="15" s="1"/>
  <c r="H21" i="15" s="1"/>
  <c r="G22" i="15"/>
  <c r="H22" i="15" s="1"/>
  <c r="G39" i="4"/>
  <c r="G46" i="15"/>
  <c r="H46" i="15" s="1"/>
  <c r="F153" i="3"/>
  <c r="F153" i="14" s="1"/>
  <c r="G153" i="14" s="1"/>
  <c r="G109" i="15"/>
  <c r="H109" i="15" s="1"/>
  <c r="G114" i="4"/>
  <c r="G154" i="4"/>
  <c r="G157" i="15" s="1"/>
  <c r="H157" i="15" s="1"/>
  <c r="G158" i="15"/>
  <c r="H158" i="15" s="1"/>
  <c r="G184" i="4"/>
  <c r="G188" i="15"/>
  <c r="H188" i="15" s="1"/>
  <c r="G197" i="4"/>
  <c r="G200" i="15" s="1"/>
  <c r="G199" i="15" s="1"/>
  <c r="G198" i="15" s="1"/>
  <c r="G197" i="15" s="1"/>
  <c r="G201" i="15"/>
  <c r="H201" i="15" s="1"/>
  <c r="G217" i="4"/>
  <c r="G223" i="15" s="1"/>
  <c r="G224" i="15"/>
  <c r="H224" i="15" s="1"/>
  <c r="G231" i="4"/>
  <c r="G237" i="15" s="1"/>
  <c r="G238" i="15"/>
  <c r="H238" i="15" s="1"/>
  <c r="G250" i="4"/>
  <c r="G256" i="15" s="1"/>
  <c r="H256" i="15" s="1"/>
  <c r="G257" i="15"/>
  <c r="H257" i="15" s="1"/>
  <c r="G284" i="4"/>
  <c r="G291" i="15"/>
  <c r="H291" i="15" s="1"/>
  <c r="G646" i="5"/>
  <c r="G647" i="5" s="1"/>
  <c r="G309" i="15"/>
  <c r="G387" i="4"/>
  <c r="G394" i="15"/>
  <c r="H394" i="15" s="1"/>
  <c r="G442" i="4"/>
  <c r="G448" i="15" s="1"/>
  <c r="G449" i="15"/>
  <c r="H449" i="15" s="1"/>
  <c r="G488" i="4"/>
  <c r="G494" i="15" s="1"/>
  <c r="H494" i="15" s="1"/>
  <c r="G495" i="15"/>
  <c r="G505" i="4"/>
  <c r="G511" i="15" s="1"/>
  <c r="H511" i="15" s="1"/>
  <c r="G512" i="15"/>
  <c r="H512" i="15" s="1"/>
  <c r="G572" i="4"/>
  <c r="G572" i="15" s="1"/>
  <c r="H572" i="15" s="1"/>
  <c r="G573" i="15"/>
  <c r="H573" i="15" s="1"/>
  <c r="G586" i="4"/>
  <c r="G586" i="15" s="1"/>
  <c r="G587" i="15"/>
  <c r="H587" i="15" s="1"/>
  <c r="G616" i="4"/>
  <c r="G616" i="15" s="1"/>
  <c r="H616" i="15" s="1"/>
  <c r="G617" i="15"/>
  <c r="H617" i="15" s="1"/>
  <c r="G326" i="5"/>
  <c r="G327" i="5" s="1"/>
  <c r="F636" i="3"/>
  <c r="G189" i="5" s="1"/>
  <c r="G693" i="15"/>
  <c r="G710" i="4"/>
  <c r="G707" i="15"/>
  <c r="H707" i="15" s="1"/>
  <c r="F726" i="3"/>
  <c r="G756" i="4"/>
  <c r="G752" i="15" s="1"/>
  <c r="H752" i="15" s="1"/>
  <c r="G753" i="15"/>
  <c r="H753" i="15" s="1"/>
  <c r="G785" i="4"/>
  <c r="G781" i="15" s="1"/>
  <c r="H781" i="15" s="1"/>
  <c r="G782" i="15"/>
  <c r="H782" i="15" s="1"/>
  <c r="F945" i="3"/>
  <c r="F940" i="14" s="1"/>
  <c r="G940" i="14" s="1"/>
  <c r="G797" i="15"/>
  <c r="F977" i="3"/>
  <c r="F976" i="3" s="1"/>
  <c r="F971" i="14" s="1"/>
  <c r="G971" i="14" s="1"/>
  <c r="G829" i="15"/>
  <c r="F142" i="3"/>
  <c r="F139" i="14" s="1"/>
  <c r="G139" i="14" s="1"/>
  <c r="G846" i="15"/>
  <c r="H846" i="15" s="1"/>
  <c r="G868" i="4"/>
  <c r="G865" i="15"/>
  <c r="H865" i="15" s="1"/>
  <c r="G940" i="4"/>
  <c r="G937" i="15"/>
  <c r="H937" i="15" s="1"/>
  <c r="G979" i="4"/>
  <c r="G975" i="15" s="1"/>
  <c r="H975" i="15" s="1"/>
  <c r="G976" i="15"/>
  <c r="H976" i="15" s="1"/>
  <c r="G994" i="4"/>
  <c r="G991" i="15"/>
  <c r="H991" i="15" s="1"/>
  <c r="F14" i="3"/>
  <c r="F13" i="3" s="1"/>
  <c r="F13" i="14" s="1"/>
  <c r="G13" i="14" s="1"/>
  <c r="G1051" i="15"/>
  <c r="H1051" i="15" s="1"/>
  <c r="G1088" i="4"/>
  <c r="G1084" i="15" s="1"/>
  <c r="H1084" i="15" s="1"/>
  <c r="G1085" i="15"/>
  <c r="H1085" i="15" s="1"/>
  <c r="G225" i="4"/>
  <c r="G231" i="15" s="1"/>
  <c r="H231" i="15" s="1"/>
  <c r="G232" i="15"/>
  <c r="H232" i="15" s="1"/>
  <c r="G257" i="4"/>
  <c r="D100" i="1" s="1"/>
  <c r="G309" i="4"/>
  <c r="G315" i="15" s="1"/>
  <c r="G316" i="15"/>
  <c r="H316" i="15" s="1"/>
  <c r="G380" i="4"/>
  <c r="G386" i="15" s="1"/>
  <c r="G387" i="15"/>
  <c r="H387" i="15" s="1"/>
  <c r="G492" i="4"/>
  <c r="G498" i="15" s="1"/>
  <c r="H498" i="15" s="1"/>
  <c r="G499" i="15"/>
  <c r="H499" i="15" s="1"/>
  <c r="G601" i="4"/>
  <c r="G595" i="15"/>
  <c r="H595" i="15" s="1"/>
  <c r="G623" i="4"/>
  <c r="G238" i="5"/>
  <c r="G239" i="5" s="1"/>
  <c r="G700" i="15"/>
  <c r="G792" i="4"/>
  <c r="G788" i="15" s="1"/>
  <c r="G789" i="15"/>
  <c r="H789" i="15" s="1"/>
  <c r="G948" i="4"/>
  <c r="G945" i="15"/>
  <c r="H945" i="15" s="1"/>
  <c r="G1058" i="4"/>
  <c r="G1054" i="15" s="1"/>
  <c r="H1054" i="15" s="1"/>
  <c r="G1055" i="15"/>
  <c r="H1055" i="15" s="1"/>
  <c r="G36" i="4"/>
  <c r="G42" i="15" s="1"/>
  <c r="H42" i="15" s="1"/>
  <c r="G43" i="15"/>
  <c r="H43" i="15" s="1"/>
  <c r="G90" i="4"/>
  <c r="G93" i="15" s="1"/>
  <c r="H93" i="15" s="1"/>
  <c r="G94" i="15"/>
  <c r="H94" i="15" s="1"/>
  <c r="G168" i="4"/>
  <c r="G172" i="15"/>
  <c r="H172" i="15" s="1"/>
  <c r="G191" i="4"/>
  <c r="G195" i="15"/>
  <c r="H195" i="15" s="1"/>
  <c r="G247" i="4"/>
  <c r="G253" i="15" s="1"/>
  <c r="G254" i="15"/>
  <c r="H254" i="15" s="1"/>
  <c r="G642" i="5"/>
  <c r="G641" i="5" s="1"/>
  <c r="G306" i="15"/>
  <c r="G400" i="4"/>
  <c r="G407" i="15"/>
  <c r="H407" i="15" s="1"/>
  <c r="G552" i="4"/>
  <c r="G552" i="15" s="1"/>
  <c r="H552" i="15" s="1"/>
  <c r="G553" i="15"/>
  <c r="H553" i="15" s="1"/>
  <c r="F523" i="3"/>
  <c r="F523" i="14" s="1"/>
  <c r="G523" i="14" s="1"/>
  <c r="G584" i="15"/>
  <c r="G626" i="4"/>
  <c r="G626" i="15" s="1"/>
  <c r="H626" i="15" s="1"/>
  <c r="G627" i="15"/>
  <c r="H627" i="15" s="1"/>
  <c r="G740" i="4"/>
  <c r="G736" i="15" s="1"/>
  <c r="H736" i="15" s="1"/>
  <c r="G737" i="15"/>
  <c r="H737" i="15" s="1"/>
  <c r="G813" i="4"/>
  <c r="G809" i="15" s="1"/>
  <c r="H809" i="15" s="1"/>
  <c r="G810" i="15"/>
  <c r="H810" i="15" s="1"/>
  <c r="G987" i="4"/>
  <c r="G983" i="15" s="1"/>
  <c r="G984" i="15"/>
  <c r="H984" i="15" s="1"/>
  <c r="G1023" i="4"/>
  <c r="G1019" i="15" s="1"/>
  <c r="G1020" i="15"/>
  <c r="H1020" i="15" s="1"/>
  <c r="G1045" i="4"/>
  <c r="G1042" i="15"/>
  <c r="H1042" i="15" s="1"/>
  <c r="G41" i="4"/>
  <c r="G47" i="15" s="1"/>
  <c r="H47" i="15" s="1"/>
  <c r="G48" i="15"/>
  <c r="H48" i="15" s="1"/>
  <c r="F155" i="3"/>
  <c r="F155" i="14" s="1"/>
  <c r="G155" i="14" s="1"/>
  <c r="G111" i="15"/>
  <c r="H111" i="15" s="1"/>
  <c r="G118" i="4"/>
  <c r="G122" i="15"/>
  <c r="H122" i="15" s="1"/>
  <c r="G161" i="4"/>
  <c r="G164" i="15" s="1"/>
  <c r="H164" i="15" s="1"/>
  <c r="G165" i="15"/>
  <c r="H165" i="15" s="1"/>
  <c r="F278" i="3"/>
  <c r="F277" i="3" s="1"/>
  <c r="F277" i="14" s="1"/>
  <c r="G277" i="14" s="1"/>
  <c r="H179" i="15"/>
  <c r="G222" i="4"/>
  <c r="G229" i="15"/>
  <c r="H229" i="15" s="1"/>
  <c r="G234" i="4"/>
  <c r="G240" i="15" s="1"/>
  <c r="H240" i="15" s="1"/>
  <c r="G241" i="15"/>
  <c r="H241" i="15" s="1"/>
  <c r="G254" i="4"/>
  <c r="G260" i="15" s="1"/>
  <c r="H260" i="15" s="1"/>
  <c r="G261" i="15"/>
  <c r="H261" i="15" s="1"/>
  <c r="G650" i="5"/>
  <c r="G312" i="15"/>
  <c r="G351" i="4"/>
  <c r="G358" i="15"/>
  <c r="H358" i="15" s="1"/>
  <c r="G372" i="4"/>
  <c r="G379" i="15"/>
  <c r="H379" i="15" s="1"/>
  <c r="G390" i="4"/>
  <c r="G396" i="15" s="1"/>
  <c r="G397" i="15"/>
  <c r="H397" i="15" s="1"/>
  <c r="G423" i="4"/>
  <c r="G429" i="15" s="1"/>
  <c r="H429" i="15" s="1"/>
  <c r="G430" i="15"/>
  <c r="H430" i="15" s="1"/>
  <c r="G28" i="6"/>
  <c r="G27" i="6" s="1"/>
  <c r="G26" i="6" s="1"/>
  <c r="G25" i="6" s="1"/>
  <c r="G24" i="6" s="1"/>
  <c r="G23" i="6" s="1"/>
  <c r="G455" i="15"/>
  <c r="G490" i="4"/>
  <c r="G496" i="15" s="1"/>
  <c r="H496" i="15" s="1"/>
  <c r="G497" i="15"/>
  <c r="H497" i="15" s="1"/>
  <c r="F204" i="3"/>
  <c r="F204" i="14" s="1"/>
  <c r="G204" i="14" s="1"/>
  <c r="G518" i="15"/>
  <c r="G537" i="4"/>
  <c r="G537" i="15" s="1"/>
  <c r="H537" i="15" s="1"/>
  <c r="G538" i="15"/>
  <c r="H538" i="15" s="1"/>
  <c r="G558" i="4"/>
  <c r="G558" i="15" s="1"/>
  <c r="G559" i="15"/>
  <c r="H559" i="15" s="1"/>
  <c r="G576" i="4"/>
  <c r="G576" i="15" s="1"/>
  <c r="G577" i="15"/>
  <c r="H577" i="15" s="1"/>
  <c r="G589" i="4"/>
  <c r="G590" i="15"/>
  <c r="H590" i="15" s="1"/>
  <c r="G619" i="4"/>
  <c r="G619" i="15" s="1"/>
  <c r="H619" i="15" s="1"/>
  <c r="G620" i="15"/>
  <c r="H620" i="15" s="1"/>
  <c r="G632" i="4"/>
  <c r="G633" i="15"/>
  <c r="H633" i="15" s="1"/>
  <c r="G646" i="4"/>
  <c r="G646" i="15" s="1"/>
  <c r="H646" i="15" s="1"/>
  <c r="G647" i="15"/>
  <c r="H647" i="15" s="1"/>
  <c r="F601" i="3"/>
  <c r="F601" i="14" s="1"/>
  <c r="G601" i="14" s="1"/>
  <c r="G662" i="15"/>
  <c r="G674" i="4"/>
  <c r="G675" i="15"/>
  <c r="H675" i="15" s="1"/>
  <c r="G699" i="4"/>
  <c r="G695" i="15" s="1"/>
  <c r="G696" i="15"/>
  <c r="H696" i="15" s="1"/>
  <c r="G788" i="4"/>
  <c r="G784" i="15" s="1"/>
  <c r="H784" i="15" s="1"/>
  <c r="G785" i="15"/>
  <c r="H785" i="15" s="1"/>
  <c r="F966" i="3"/>
  <c r="F961" i="14" s="1"/>
  <c r="G961" i="14" s="1"/>
  <c r="G818" i="15"/>
  <c r="H818" i="15" s="1"/>
  <c r="G841" i="4"/>
  <c r="G837" i="15" s="1"/>
  <c r="H837" i="15" s="1"/>
  <c r="G838" i="15"/>
  <c r="H838" i="15" s="1"/>
  <c r="F272" i="3"/>
  <c r="F272" i="14" s="1"/>
  <c r="G272" i="14" s="1"/>
  <c r="G872" i="15"/>
  <c r="G911" i="4"/>
  <c r="G907" i="15" s="1"/>
  <c r="H907" i="15" s="1"/>
  <c r="G908" i="15"/>
  <c r="H908" i="15" s="1"/>
  <c r="G944" i="4"/>
  <c r="G941" i="15"/>
  <c r="H941" i="15" s="1"/>
  <c r="G716" i="5"/>
  <c r="G980" i="15"/>
  <c r="G908" i="5"/>
  <c r="G907" i="5" s="1"/>
  <c r="G1000" i="15"/>
  <c r="G1015" i="4"/>
  <c r="G1011" i="15" s="1"/>
  <c r="H1011" i="15" s="1"/>
  <c r="G1012" i="15"/>
  <c r="H1012" i="15" s="1"/>
  <c r="G1077" i="4"/>
  <c r="G1073" i="15" s="1"/>
  <c r="H1073" i="15" s="1"/>
  <c r="G1074" i="15"/>
  <c r="H1074" i="15" s="1"/>
  <c r="G990" i="4"/>
  <c r="G986" i="15" s="1"/>
  <c r="H986" i="15" s="1"/>
  <c r="G987" i="15"/>
  <c r="H987" i="15" s="1"/>
  <c r="G855" i="4"/>
  <c r="G852" i="15"/>
  <c r="H852" i="15" s="1"/>
  <c r="G534" i="4"/>
  <c r="G534" i="15" s="1"/>
  <c r="G535" i="15"/>
  <c r="H535" i="15" s="1"/>
  <c r="G135" i="4"/>
  <c r="G139" i="15"/>
  <c r="H139" i="15" s="1"/>
  <c r="G923" i="5"/>
  <c r="G798" i="5"/>
  <c r="G400" i="5"/>
  <c r="G96" i="5"/>
  <c r="G667" i="5"/>
  <c r="G805" i="5"/>
  <c r="G827" i="5"/>
  <c r="G353" i="5"/>
  <c r="G930" i="5"/>
  <c r="G52" i="5"/>
  <c r="G70" i="5"/>
  <c r="G110" i="5"/>
  <c r="G13" i="6"/>
  <c r="G12" i="6" s="1"/>
  <c r="G11" i="6" s="1"/>
  <c r="F47" i="3"/>
  <c r="F47" i="14" s="1"/>
  <c r="G47" i="14" s="1"/>
  <c r="F48" i="14"/>
  <c r="G48" i="14" s="1"/>
  <c r="F422" i="3"/>
  <c r="F423" i="14"/>
  <c r="G423" i="14" s="1"/>
  <c r="F525" i="3"/>
  <c r="F525" i="14" s="1"/>
  <c r="F526" i="14"/>
  <c r="G526" i="14" s="1"/>
  <c r="F606" i="3"/>
  <c r="F606" i="14" s="1"/>
  <c r="F607" i="14"/>
  <c r="G607" i="14" s="1"/>
  <c r="F777" i="3"/>
  <c r="F774" i="14"/>
  <c r="G774" i="14" s="1"/>
  <c r="F890" i="3"/>
  <c r="F883" i="14"/>
  <c r="G883" i="14" s="1"/>
  <c r="F197" i="3"/>
  <c r="F198" i="14"/>
  <c r="G198" i="14" s="1"/>
  <c r="F427" i="3"/>
  <c r="F427" i="14" s="1"/>
  <c r="G427" i="14" s="1"/>
  <c r="F428" i="14"/>
  <c r="G428" i="14" s="1"/>
  <c r="F528" i="3"/>
  <c r="F528" i="14" s="1"/>
  <c r="G528" i="14" s="1"/>
  <c r="F529" i="14"/>
  <c r="G529" i="14" s="1"/>
  <c r="F618" i="3"/>
  <c r="F619" i="14"/>
  <c r="G619" i="14" s="1"/>
  <c r="F812" i="3"/>
  <c r="F808" i="14" s="1"/>
  <c r="G808" i="14" s="1"/>
  <c r="F809" i="14"/>
  <c r="G809" i="14" s="1"/>
  <c r="F137" i="3"/>
  <c r="F134" i="14" s="1"/>
  <c r="G134" i="14" s="1"/>
  <c r="F135" i="14"/>
  <c r="G135" i="14" s="1"/>
  <c r="F15" i="3"/>
  <c r="F15" i="14" s="1"/>
  <c r="G15" i="14" s="1"/>
  <c r="F16" i="14"/>
  <c r="G16" i="14" s="1"/>
  <c r="F117" i="3"/>
  <c r="F114" i="14" s="1"/>
  <c r="F115" i="14"/>
  <c r="G115" i="14" s="1"/>
  <c r="F182" i="3"/>
  <c r="F182" i="14" s="1"/>
  <c r="G182" i="14" s="1"/>
  <c r="F183" i="14"/>
  <c r="G183" i="14" s="1"/>
  <c r="F207" i="3"/>
  <c r="F358" i="3"/>
  <c r="F359" i="14"/>
  <c r="G359" i="14" s="1"/>
  <c r="F511" i="3"/>
  <c r="F511" i="14" s="1"/>
  <c r="G511" i="14" s="1"/>
  <c r="F512" i="14"/>
  <c r="G512" i="14" s="1"/>
  <c r="F533" i="3"/>
  <c r="F541" i="14"/>
  <c r="G541" i="14" s="1"/>
  <c r="F562" i="3"/>
  <c r="F562" i="14" s="1"/>
  <c r="F563" i="14"/>
  <c r="G563" i="14" s="1"/>
  <c r="F627" i="3"/>
  <c r="F624" i="14"/>
  <c r="G624" i="14" s="1"/>
  <c r="F798" i="3"/>
  <c r="F794" i="14" s="1"/>
  <c r="F795" i="14"/>
  <c r="G795" i="14" s="1"/>
  <c r="F833" i="3"/>
  <c r="F829" i="14" s="1"/>
  <c r="G829" i="14" s="1"/>
  <c r="F830" i="14"/>
  <c r="G830" i="14" s="1"/>
  <c r="F906" i="3"/>
  <c r="F957" i="3"/>
  <c r="F952" i="14" s="1"/>
  <c r="G952" i="14" s="1"/>
  <c r="F953" i="14"/>
  <c r="G953" i="14" s="1"/>
  <c r="F193" i="3"/>
  <c r="G194" i="14"/>
  <c r="G193" i="14" s="1"/>
  <c r="G192" i="14" s="1"/>
  <c r="F555" i="3"/>
  <c r="F555" i="14" s="1"/>
  <c r="G555" i="14" s="1"/>
  <c r="F556" i="14"/>
  <c r="G556" i="14" s="1"/>
  <c r="F932" i="3"/>
  <c r="F927" i="14" s="1"/>
  <c r="G927" i="14" s="1"/>
  <c r="F928" i="14"/>
  <c r="G928" i="14" s="1"/>
  <c r="F491" i="3"/>
  <c r="F491" i="14" s="1"/>
  <c r="G491" i="14" s="1"/>
  <c r="F492" i="14"/>
  <c r="G492" i="14" s="1"/>
  <c r="F558" i="3"/>
  <c r="F558" i="14" s="1"/>
  <c r="G558" i="14" s="1"/>
  <c r="F559" i="14"/>
  <c r="G559" i="14" s="1"/>
  <c r="F793" i="3"/>
  <c r="F790" i="14"/>
  <c r="F894" i="3"/>
  <c r="F887" i="14"/>
  <c r="F886" i="14" s="1"/>
  <c r="F919" i="3"/>
  <c r="F914" i="14" s="1"/>
  <c r="G914" i="14" s="1"/>
  <c r="F915" i="14"/>
  <c r="G915" i="14" s="1"/>
  <c r="F34" i="3"/>
  <c r="F34" i="14" s="1"/>
  <c r="G34" i="14" s="1"/>
  <c r="F35" i="14"/>
  <c r="G35" i="14" s="1"/>
  <c r="F188" i="3"/>
  <c r="F188" i="14" s="1"/>
  <c r="G188" i="14" s="1"/>
  <c r="F189" i="14"/>
  <c r="G189" i="14" s="1"/>
  <c r="F211" i="3"/>
  <c r="G212" i="14"/>
  <c r="G211" i="14" s="1"/>
  <c r="G210" i="14" s="1"/>
  <c r="F419" i="3"/>
  <c r="F420" i="14"/>
  <c r="G420" i="14" s="1"/>
  <c r="F515" i="3"/>
  <c r="F515" i="14" s="1"/>
  <c r="G515" i="14" s="1"/>
  <c r="F516" i="14"/>
  <c r="G516" i="14" s="1"/>
  <c r="F544" i="3"/>
  <c r="F545" i="14"/>
  <c r="F565" i="3"/>
  <c r="F565" i="14" s="1"/>
  <c r="G565" i="14" s="1"/>
  <c r="F566" i="14"/>
  <c r="G566" i="14" s="1"/>
  <c r="F805" i="3"/>
  <c r="F802" i="14"/>
  <c r="G802" i="14" s="1"/>
  <c r="F929" i="3"/>
  <c r="F924" i="14" s="1"/>
  <c r="G924" i="14" s="1"/>
  <c r="F925" i="14"/>
  <c r="G925" i="14" s="1"/>
  <c r="F82" i="3"/>
  <c r="C48" i="1"/>
  <c r="C140" i="1"/>
  <c r="C39" i="1"/>
  <c r="C71" i="1"/>
  <c r="C93" i="1"/>
  <c r="F430" i="3"/>
  <c r="G723" i="5"/>
  <c r="C56" i="1"/>
  <c r="C55" i="1"/>
  <c r="C31" i="1"/>
  <c r="C58" i="1"/>
  <c r="C43" i="1"/>
  <c r="C17" i="1"/>
  <c r="G899" i="5"/>
  <c r="G901" i="5"/>
  <c r="G880" i="5"/>
  <c r="G882" i="5"/>
  <c r="G874" i="5"/>
  <c r="G876" i="5"/>
  <c r="G870" i="5"/>
  <c r="G872" i="5"/>
  <c r="G865" i="5"/>
  <c r="G867" i="5"/>
  <c r="G860" i="5"/>
  <c r="G862" i="5"/>
  <c r="G849" i="5"/>
  <c r="G851" i="5"/>
  <c r="G833" i="5"/>
  <c r="G835" i="5"/>
  <c r="G814" i="5"/>
  <c r="G829" i="5"/>
  <c r="G831" i="5"/>
  <c r="G841" i="5"/>
  <c r="G843" i="5"/>
  <c r="G825" i="5"/>
  <c r="G792" i="5"/>
  <c r="G745" i="5"/>
  <c r="G747" i="5"/>
  <c r="G726" i="5"/>
  <c r="G728" i="5"/>
  <c r="G711" i="5"/>
  <c r="G713" i="5"/>
  <c r="G718" i="5"/>
  <c r="G720" i="5"/>
  <c r="G689" i="5"/>
  <c r="G691" i="5"/>
  <c r="G702" i="5"/>
  <c r="G663" i="5"/>
  <c r="G665" i="5"/>
  <c r="G557" i="5"/>
  <c r="G559" i="5"/>
  <c r="G478" i="5"/>
  <c r="G480" i="5"/>
  <c r="G471" i="5"/>
  <c r="G473" i="5"/>
  <c r="G463" i="5"/>
  <c r="G465" i="5"/>
  <c r="G467" i="5"/>
  <c r="G469" i="5"/>
  <c r="G448" i="5"/>
  <c r="G450" i="5"/>
  <c r="G439" i="5"/>
  <c r="G441" i="5"/>
  <c r="G343" i="5"/>
  <c r="G345" i="5"/>
  <c r="G310" i="5"/>
  <c r="G312" i="5"/>
  <c r="G279" i="5"/>
  <c r="G281" i="5"/>
  <c r="G264" i="5"/>
  <c r="G266" i="5"/>
  <c r="G257" i="5"/>
  <c r="G259" i="5"/>
  <c r="G50" i="5"/>
  <c r="G678" i="5"/>
  <c r="G823" i="4"/>
  <c r="G819" i="15" s="1"/>
  <c r="H819" i="15" s="1"/>
  <c r="F968" i="3"/>
  <c r="G483" i="5"/>
  <c r="F941" i="3"/>
  <c r="F936" i="14" s="1"/>
  <c r="G936" i="14" s="1"/>
  <c r="G819" i="4"/>
  <c r="F964" i="3"/>
  <c r="G811" i="4"/>
  <c r="F956" i="3"/>
  <c r="G887" i="5"/>
  <c r="F950" i="3"/>
  <c r="G501" i="5"/>
  <c r="F979" i="3"/>
  <c r="F885" i="3"/>
  <c r="F877" i="14" s="1"/>
  <c r="G877" i="14" s="1"/>
  <c r="F903" i="3"/>
  <c r="F843" i="3"/>
  <c r="F871" i="3"/>
  <c r="G105" i="5"/>
  <c r="F853" i="3"/>
  <c r="G32" i="6"/>
  <c r="G31" i="6" s="1"/>
  <c r="G30" i="6" s="1"/>
  <c r="G29" i="6" s="1"/>
  <c r="F881" i="3"/>
  <c r="F873" i="14" s="1"/>
  <c r="G873" i="14" s="1"/>
  <c r="F905" i="3"/>
  <c r="G305" i="4"/>
  <c r="F689" i="3"/>
  <c r="F675" i="3"/>
  <c r="G299" i="4"/>
  <c r="F683" i="3"/>
  <c r="G302" i="4"/>
  <c r="F686" i="3"/>
  <c r="F711" i="3"/>
  <c r="F707" i="14" s="1"/>
  <c r="G707" i="14" s="1"/>
  <c r="F759" i="3"/>
  <c r="G727" i="4"/>
  <c r="F723" i="3"/>
  <c r="G752" i="4"/>
  <c r="G748" i="15" s="1"/>
  <c r="H748" i="15" s="1"/>
  <c r="F748" i="3"/>
  <c r="G562" i="4"/>
  <c r="F502" i="3"/>
  <c r="F502" i="14" s="1"/>
  <c r="G502" i="14" s="1"/>
  <c r="G269" i="5"/>
  <c r="F520" i="3"/>
  <c r="G303" i="5"/>
  <c r="F581" i="3"/>
  <c r="F594" i="3"/>
  <c r="G706" i="4"/>
  <c r="G702" i="15" s="1"/>
  <c r="H702" i="15" s="1"/>
  <c r="F646" i="3"/>
  <c r="G250" i="5"/>
  <c r="F507" i="3"/>
  <c r="G630" i="4"/>
  <c r="F570" i="3"/>
  <c r="F570" i="14" s="1"/>
  <c r="G570" i="14" s="1"/>
  <c r="F584" i="3"/>
  <c r="G657" i="4"/>
  <c r="F597" i="3"/>
  <c r="G348" i="5"/>
  <c r="F611" i="3"/>
  <c r="G746" i="4"/>
  <c r="F742" i="3"/>
  <c r="G1013" i="4"/>
  <c r="F453" i="3"/>
  <c r="G636" i="4"/>
  <c r="F576" i="3"/>
  <c r="F576" i="14" s="1"/>
  <c r="G576" i="14" s="1"/>
  <c r="G315" i="5"/>
  <c r="F590" i="3"/>
  <c r="G664" i="4"/>
  <c r="F604" i="3"/>
  <c r="F604" i="14" s="1"/>
  <c r="G604" i="14" s="1"/>
  <c r="G703" i="4"/>
  <c r="F643" i="3"/>
  <c r="G738" i="4"/>
  <c r="G734" i="15" s="1"/>
  <c r="H734" i="15" s="1"/>
  <c r="F734" i="3"/>
  <c r="G1021" i="4"/>
  <c r="F461" i="3"/>
  <c r="G556" i="4"/>
  <c r="F496" i="3"/>
  <c r="F496" i="14" s="1"/>
  <c r="G496" i="14" s="1"/>
  <c r="G370" i="5"/>
  <c r="F655" i="3"/>
  <c r="G736" i="4"/>
  <c r="F732" i="3"/>
  <c r="G750" i="4"/>
  <c r="G746" i="15" s="1"/>
  <c r="H746" i="15" s="1"/>
  <c r="F746" i="3"/>
  <c r="G1030" i="4"/>
  <c r="F470" i="3"/>
  <c r="F250" i="3"/>
  <c r="F250" i="14" s="1"/>
  <c r="G250" i="14" s="1"/>
  <c r="H166" i="4"/>
  <c r="G152" i="4"/>
  <c r="G155" i="15" s="1"/>
  <c r="H155" i="15" s="1"/>
  <c r="F237" i="3"/>
  <c r="F237" i="14" s="1"/>
  <c r="G237" i="14" s="1"/>
  <c r="G503" i="4"/>
  <c r="F146" i="3"/>
  <c r="F337" i="3"/>
  <c r="F365" i="3"/>
  <c r="F409" i="3"/>
  <c r="F412" i="3"/>
  <c r="F412" i="14" s="1"/>
  <c r="G412" i="14" s="1"/>
  <c r="F238" i="3"/>
  <c r="F238" i="14" s="1"/>
  <c r="G238" i="14" s="1"/>
  <c r="F231" i="3"/>
  <c r="G884" i="4"/>
  <c r="F324" i="3"/>
  <c r="G518" i="4"/>
  <c r="F327" i="3"/>
  <c r="G890" i="4"/>
  <c r="F330" i="3"/>
  <c r="F369" i="3"/>
  <c r="F369" i="14" s="1"/>
  <c r="G369" i="14" s="1"/>
  <c r="F234" i="3"/>
  <c r="F234" i="14" s="1"/>
  <c r="G234" i="14" s="1"/>
  <c r="F235" i="3"/>
  <c r="F235" i="14" s="1"/>
  <c r="G235" i="14" s="1"/>
  <c r="G177" i="4"/>
  <c r="F280" i="3"/>
  <c r="F260" i="3"/>
  <c r="F377" i="3"/>
  <c r="F377" i="14" s="1"/>
  <c r="G377" i="14" s="1"/>
  <c r="F164" i="3"/>
  <c r="G52" i="4"/>
  <c r="F66" i="3"/>
  <c r="G54" i="4"/>
  <c r="F68" i="3"/>
  <c r="G62" i="4"/>
  <c r="F76" i="3"/>
  <c r="G57" i="4"/>
  <c r="F71" i="3"/>
  <c r="G59" i="4"/>
  <c r="F73" i="3"/>
  <c r="G1084" i="4"/>
  <c r="F105" i="3"/>
  <c r="G64" i="4"/>
  <c r="F78" i="3"/>
  <c r="G246" i="4"/>
  <c r="G206" i="4"/>
  <c r="F638" i="3"/>
  <c r="F634" i="14" s="1"/>
  <c r="F53" i="3"/>
  <c r="F340" i="3"/>
  <c r="G845" i="4"/>
  <c r="G937" i="4"/>
  <c r="G975" i="4"/>
  <c r="G281" i="4"/>
  <c r="G287" i="15" s="1"/>
  <c r="H287" i="15" s="1"/>
  <c r="G430" i="4"/>
  <c r="G715" i="4"/>
  <c r="G730" i="4"/>
  <c r="F236" i="3"/>
  <c r="F236" i="14" s="1"/>
  <c r="G236" i="14" s="1"/>
  <c r="G580" i="4"/>
  <c r="F917" i="3"/>
  <c r="G150" i="4"/>
  <c r="G153" i="15" s="1"/>
  <c r="H153" i="15" s="1"/>
  <c r="G175" i="4"/>
  <c r="H178" i="15" s="1"/>
  <c r="G448" i="4"/>
  <c r="G641" i="4"/>
  <c r="G849" i="4"/>
  <c r="G845" i="15" s="1"/>
  <c r="H845" i="15" s="1"/>
  <c r="G863" i="4"/>
  <c r="G406" i="4"/>
  <c r="G277" i="4"/>
  <c r="G283" i="15" s="1"/>
  <c r="H283" i="15" s="1"/>
  <c r="G929" i="4"/>
  <c r="F443" i="3"/>
  <c r="F970" i="3"/>
  <c r="F965" i="14" s="1"/>
  <c r="G965" i="14" s="1"/>
  <c r="G204" i="4"/>
  <c r="G215" i="4"/>
  <c r="G291" i="4"/>
  <c r="G367" i="4"/>
  <c r="G373" i="15" s="1"/>
  <c r="H373" i="15" s="1"/>
  <c r="G452" i="4"/>
  <c r="G754" i="4"/>
  <c r="G750" i="15" s="1"/>
  <c r="H750" i="15" s="1"/>
  <c r="G796" i="4"/>
  <c r="G847" i="4"/>
  <c r="G843" i="15" s="1"/>
  <c r="H843" i="15" s="1"/>
  <c r="G1054" i="4"/>
  <c r="F414" i="3"/>
  <c r="F789" i="3"/>
  <c r="F785" i="14" s="1"/>
  <c r="G785" i="14" s="1"/>
  <c r="F939" i="3"/>
  <c r="F426" i="3"/>
  <c r="F448" i="3"/>
  <c r="F448" i="14" s="1"/>
  <c r="G448" i="14" s="1"/>
  <c r="F462" i="3"/>
  <c r="F462" i="14" s="1"/>
  <c r="G462" i="14" s="1"/>
  <c r="F927" i="3"/>
  <c r="G146" i="4"/>
  <c r="G417" i="4"/>
  <c r="G423" i="15" s="1"/>
  <c r="H423" i="15" s="1"/>
  <c r="G421" i="4"/>
  <c r="G427" i="15" s="1"/>
  <c r="H427" i="15" s="1"/>
  <c r="G650" i="4"/>
  <c r="G671" i="4"/>
  <c r="G773" i="4"/>
  <c r="G783" i="4"/>
  <c r="G906" i="4"/>
  <c r="G902" i="15" s="1"/>
  <c r="G966" i="4"/>
  <c r="G47" i="5"/>
  <c r="G326" i="4"/>
  <c r="G332" i="15" s="1"/>
  <c r="H332" i="15" s="1"/>
  <c r="G254" i="5"/>
  <c r="G570" i="4"/>
  <c r="F498" i="3"/>
  <c r="G273" i="5"/>
  <c r="F509" i="3"/>
  <c r="G457" i="5"/>
  <c r="G779" i="4"/>
  <c r="F923" i="3"/>
  <c r="G896" i="4"/>
  <c r="G916" i="5"/>
  <c r="G511" i="4"/>
  <c r="G696" i="4"/>
  <c r="F635" i="3"/>
  <c r="G821" i="4"/>
  <c r="G817" i="15" s="1"/>
  <c r="H817" i="15" s="1"/>
  <c r="G887" i="4"/>
  <c r="F44" i="3"/>
  <c r="F50" i="3"/>
  <c r="F585" i="3"/>
  <c r="F585" i="14" s="1"/>
  <c r="G585" i="14" s="1"/>
  <c r="G14" i="4"/>
  <c r="G513" i="5"/>
  <c r="G340" i="4"/>
  <c r="G346" i="15" s="1"/>
  <c r="H346" i="15" s="1"/>
  <c r="G63" i="5"/>
  <c r="G438" i="4"/>
  <c r="G166" i="5"/>
  <c r="G546" i="4"/>
  <c r="G583" i="4"/>
  <c r="G25" i="5"/>
  <c r="G105" i="4"/>
  <c r="G108" i="15" s="1"/>
  <c r="H108" i="15" s="1"/>
  <c r="G644" i="4"/>
  <c r="G307" i="5"/>
  <c r="G661" i="4"/>
  <c r="F572" i="3"/>
  <c r="G348" i="4"/>
  <c r="G354" i="15" s="1"/>
  <c r="H354" i="15" s="1"/>
  <c r="G654" i="4"/>
  <c r="G800" i="4"/>
  <c r="G925" i="4"/>
  <c r="G1073" i="4"/>
  <c r="F33" i="3"/>
  <c r="G900" i="4"/>
  <c r="G896" i="15" s="1"/>
  <c r="G914" i="4"/>
  <c r="G910" i="15" s="1"/>
  <c r="H910" i="15" s="1"/>
  <c r="F406" i="3"/>
  <c r="G107" i="4"/>
  <c r="G110" i="15" s="1"/>
  <c r="H110" i="15" s="1"/>
  <c r="G324" i="4"/>
  <c r="G330" i="15" s="1"/>
  <c r="H330" i="15" s="1"/>
  <c r="G516" i="5"/>
  <c r="G342" i="4"/>
  <c r="G348" i="15" s="1"/>
  <c r="H348" i="15" s="1"/>
  <c r="F772" i="3"/>
  <c r="G317" i="4"/>
  <c r="G555" i="5"/>
  <c r="G365" i="4"/>
  <c r="G371" i="15" s="1"/>
  <c r="H371" i="15" s="1"/>
  <c r="F787" i="3"/>
  <c r="F783" i="14" s="1"/>
  <c r="G783" i="14" s="1"/>
  <c r="G32" i="4"/>
  <c r="F46" i="3"/>
  <c r="G420" i="5"/>
  <c r="G143" i="4"/>
  <c r="F227" i="3"/>
  <c r="G279" i="4"/>
  <c r="G285" i="15" s="1"/>
  <c r="H285" i="15" s="1"/>
  <c r="G510" i="5"/>
  <c r="G338" i="4"/>
  <c r="F768" i="3"/>
  <c r="G346" i="4"/>
  <c r="G352" i="15" s="1"/>
  <c r="H352" i="15" s="1"/>
  <c r="G521" i="4"/>
  <c r="G127" i="4"/>
  <c r="G561" i="5"/>
  <c r="G369" i="4"/>
  <c r="G375" i="15" s="1"/>
  <c r="H375" i="15" s="1"/>
  <c r="F553" i="3"/>
  <c r="G776" i="4"/>
  <c r="G453" i="5"/>
  <c r="G378" i="5"/>
  <c r="G498" i="5"/>
  <c r="G832" i="4"/>
  <c r="G828" i="15" s="1"/>
  <c r="H828" i="15" s="1"/>
  <c r="G567" i="4"/>
  <c r="G614" i="4"/>
  <c r="G668" i="4"/>
  <c r="G22" i="5"/>
  <c r="G873" i="4"/>
  <c r="G933" i="4"/>
  <c r="G929" i="15" s="1"/>
  <c r="H929" i="15" s="1"/>
  <c r="G969" i="4"/>
  <c r="G965" i="15" s="1"/>
  <c r="H965" i="15" s="1"/>
  <c r="G694" i="5"/>
  <c r="G805" i="4"/>
  <c r="G834" i="4"/>
  <c r="G830" i="15" s="1"/>
  <c r="H830" i="15" s="1"/>
  <c r="G875" i="4"/>
  <c r="G871" i="15" s="1"/>
  <c r="G971" i="4"/>
  <c r="G967" i="15" s="1"/>
  <c r="H967" i="15" s="1"/>
  <c r="G983" i="4"/>
  <c r="G1003" i="4"/>
  <c r="F846" i="3"/>
  <c r="G71" i="11"/>
  <c r="G70" i="11" s="1"/>
  <c r="G69" i="11" s="1"/>
  <c r="G80" i="11" s="1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165" i="4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376" i="11"/>
  <c r="G375" i="11" s="1"/>
  <c r="G374" i="11" s="1"/>
  <c r="G404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7" i="2"/>
  <c r="D17" i="13" s="1"/>
  <c r="F828" i="3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H55" i="15" l="1"/>
  <c r="G63" i="14"/>
  <c r="G62" i="14" s="1"/>
  <c r="G61" i="14" s="1"/>
  <c r="H35" i="15"/>
  <c r="H371" i="16"/>
  <c r="H370" i="16" s="1"/>
  <c r="H369" i="16" s="1"/>
  <c r="G719" i="14"/>
  <c r="G718" i="14" s="1"/>
  <c r="G717" i="14" s="1"/>
  <c r="G228" i="15"/>
  <c r="H228" i="15" s="1"/>
  <c r="G221" i="4"/>
  <c r="H770" i="16"/>
  <c r="G337" i="16"/>
  <c r="G336" i="16" s="1"/>
  <c r="G335" i="16" s="1"/>
  <c r="G121" i="4"/>
  <c r="G632" i="15"/>
  <c r="H632" i="15" s="1"/>
  <c r="D122" i="1"/>
  <c r="G64" i="15"/>
  <c r="H64" i="15"/>
  <c r="H54" i="15"/>
  <c r="G54" i="15"/>
  <c r="G35" i="15"/>
  <c r="H59" i="15"/>
  <c r="H495" i="15"/>
  <c r="G46" i="14" s="1"/>
  <c r="G45" i="14" s="1"/>
  <c r="F46" i="14"/>
  <c r="F45" i="14" s="1"/>
  <c r="G59" i="15"/>
  <c r="G589" i="15"/>
  <c r="H589" i="15" s="1"/>
  <c r="G114" i="14"/>
  <c r="G109" i="14" s="1"/>
  <c r="F109" i="14"/>
  <c r="G604" i="4"/>
  <c r="H180" i="15"/>
  <c r="G441" i="4"/>
  <c r="H181" i="15"/>
  <c r="G308" i="4"/>
  <c r="G195" i="4"/>
  <c r="G1131" i="4" s="1"/>
  <c r="G605" i="4"/>
  <c r="L304" i="4"/>
  <c r="G627" i="5"/>
  <c r="G623" i="5" s="1"/>
  <c r="F154" i="3"/>
  <c r="F154" i="14" s="1"/>
  <c r="G154" i="14" s="1"/>
  <c r="F372" i="3"/>
  <c r="F372" i="14" s="1"/>
  <c r="G372" i="14" s="1"/>
  <c r="G333" i="5"/>
  <c r="G332" i="5" s="1"/>
  <c r="F522" i="3"/>
  <c r="F521" i="3" s="1"/>
  <c r="F521" i="14" s="1"/>
  <c r="G521" i="14" s="1"/>
  <c r="G79" i="14"/>
  <c r="G585" i="4"/>
  <c r="G344" i="15"/>
  <c r="H344" i="15" s="1"/>
  <c r="G337" i="4"/>
  <c r="G237" i="5"/>
  <c r="G236" i="5" s="1"/>
  <c r="F141" i="3"/>
  <c r="F138" i="14" s="1"/>
  <c r="G138" i="14" s="1"/>
  <c r="F79" i="14"/>
  <c r="G841" i="15"/>
  <c r="H841" i="15" s="1"/>
  <c r="G104" i="16"/>
  <c r="G103" i="16" s="1"/>
  <c r="G102" i="16" s="1"/>
  <c r="G101" i="16" s="1"/>
  <c r="G106" i="16"/>
  <c r="G718" i="4"/>
  <c r="G440" i="4"/>
  <c r="G533" i="4"/>
  <c r="G532" i="4" s="1"/>
  <c r="F600" i="3"/>
  <c r="F599" i="3" s="1"/>
  <c r="F599" i="14" s="1"/>
  <c r="H306" i="16"/>
  <c r="H305" i="16" s="1"/>
  <c r="H251" i="16"/>
  <c r="G779" i="5"/>
  <c r="G780" i="5" s="1"/>
  <c r="H200" i="15"/>
  <c r="H199" i="15" s="1"/>
  <c r="H198" i="15" s="1"/>
  <c r="H197" i="15" s="1"/>
  <c r="G690" i="16"/>
  <c r="G692" i="16"/>
  <c r="G209" i="16"/>
  <c r="G207" i="16"/>
  <c r="G206" i="16" s="1"/>
  <c r="G46" i="16"/>
  <c r="G44" i="16"/>
  <c r="G43" i="16" s="1"/>
  <c r="G42" i="16" s="1"/>
  <c r="G41" i="16" s="1"/>
  <c r="G40" i="16" s="1"/>
  <c r="G28" i="16" s="1"/>
  <c r="H315" i="15"/>
  <c r="G314" i="15"/>
  <c r="G313" i="15"/>
  <c r="H606" i="15"/>
  <c r="G605" i="15"/>
  <c r="G604" i="15"/>
  <c r="H245" i="15"/>
  <c r="G244" i="15"/>
  <c r="G243" i="15"/>
  <c r="G370" i="16"/>
  <c r="G369" i="16" s="1"/>
  <c r="G372" i="16"/>
  <c r="G479" i="16"/>
  <c r="G478" i="16" s="1"/>
  <c r="G473" i="16" s="1"/>
  <c r="G472" i="16" s="1"/>
  <c r="G471" i="16" s="1"/>
  <c r="G481" i="16"/>
  <c r="G349" i="16"/>
  <c r="G347" i="16"/>
  <c r="G346" i="16" s="1"/>
  <c r="G314" i="16"/>
  <c r="G313" i="16" s="1"/>
  <c r="G316" i="16"/>
  <c r="H1000" i="15"/>
  <c r="H905" i="16" s="1"/>
  <c r="G905" i="16"/>
  <c r="H872" i="15"/>
  <c r="H25" i="16" s="1"/>
  <c r="H24" i="16" s="1"/>
  <c r="H20" i="16" s="1"/>
  <c r="H19" i="16" s="1"/>
  <c r="H18" i="16" s="1"/>
  <c r="H17" i="16" s="1"/>
  <c r="H9" i="16" s="1"/>
  <c r="G25" i="16"/>
  <c r="H662" i="15"/>
  <c r="H333" i="16" s="1"/>
  <c r="G333" i="16"/>
  <c r="H518" i="15"/>
  <c r="H913" i="16" s="1"/>
  <c r="G913" i="16"/>
  <c r="H455" i="15"/>
  <c r="G26" i="17"/>
  <c r="G25" i="17" s="1"/>
  <c r="G24" i="17" s="1"/>
  <c r="G23" i="17" s="1"/>
  <c r="G22" i="17" s="1"/>
  <c r="G21" i="17" s="1"/>
  <c r="G39" i="17" s="1"/>
  <c r="G79" i="16"/>
  <c r="H584" i="15"/>
  <c r="H273" i="16" s="1"/>
  <c r="G273" i="16"/>
  <c r="H700" i="15"/>
  <c r="H238" i="16" s="1"/>
  <c r="G238" i="16"/>
  <c r="H797" i="15"/>
  <c r="H487" i="16" s="1"/>
  <c r="G487" i="16"/>
  <c r="H326" i="16"/>
  <c r="G326" i="16"/>
  <c r="H309" i="15"/>
  <c r="H643" i="16" s="1"/>
  <c r="G643" i="16"/>
  <c r="H655" i="15"/>
  <c r="H322" i="16" s="1"/>
  <c r="G322" i="16"/>
  <c r="H715" i="15"/>
  <c r="G714" i="15"/>
  <c r="G713" i="15"/>
  <c r="H336" i="16"/>
  <c r="H335" i="16" s="1"/>
  <c r="H338" i="16"/>
  <c r="H479" i="16"/>
  <c r="H478" i="16" s="1"/>
  <c r="H473" i="16" s="1"/>
  <c r="H472" i="16" s="1"/>
  <c r="H471" i="16" s="1"/>
  <c r="H481" i="16"/>
  <c r="H690" i="16"/>
  <c r="H692" i="16"/>
  <c r="H347" i="16"/>
  <c r="H346" i="16" s="1"/>
  <c r="H349" i="16"/>
  <c r="H207" i="16"/>
  <c r="H206" i="16" s="1"/>
  <c r="H209" i="16"/>
  <c r="H46" i="16"/>
  <c r="H44" i="16"/>
  <c r="H43" i="16" s="1"/>
  <c r="H42" i="16" s="1"/>
  <c r="H41" i="16" s="1"/>
  <c r="H40" i="16" s="1"/>
  <c r="H28" i="16" s="1"/>
  <c r="H314" i="16"/>
  <c r="H313" i="16" s="1"/>
  <c r="H316" i="16"/>
  <c r="H534" i="15"/>
  <c r="H533" i="15" s="1"/>
  <c r="H532" i="15" s="1"/>
  <c r="H531" i="15" s="1"/>
  <c r="H530" i="15" s="1"/>
  <c r="G533" i="15"/>
  <c r="G532" i="15" s="1"/>
  <c r="G531" i="15" s="1"/>
  <c r="G530" i="15" s="1"/>
  <c r="H695" i="15"/>
  <c r="H386" i="15"/>
  <c r="H385" i="15" s="1"/>
  <c r="G385" i="15"/>
  <c r="H586" i="15"/>
  <c r="H448" i="15"/>
  <c r="G447" i="15"/>
  <c r="G446" i="15"/>
  <c r="H696" i="16"/>
  <c r="G497" i="16"/>
  <c r="G499" i="16"/>
  <c r="G241" i="16"/>
  <c r="G240" i="16" s="1"/>
  <c r="G243" i="16"/>
  <c r="G199" i="16"/>
  <c r="G198" i="16" s="1"/>
  <c r="G201" i="16"/>
  <c r="G220" i="16"/>
  <c r="G219" i="16" s="1"/>
  <c r="G222" i="16"/>
  <c r="G362" i="16"/>
  <c r="G361" i="16" s="1"/>
  <c r="G360" i="16" s="1"/>
  <c r="G359" i="16" s="1"/>
  <c r="G364" i="16"/>
  <c r="G268" i="16"/>
  <c r="G267" i="16" s="1"/>
  <c r="G270" i="16"/>
  <c r="G62" i="16"/>
  <c r="G61" i="16" s="1"/>
  <c r="G60" i="16" s="1"/>
  <c r="G59" i="16" s="1"/>
  <c r="G58" i="16" s="1"/>
  <c r="G57" i="16" s="1"/>
  <c r="G64" i="16"/>
  <c r="G155" i="16"/>
  <c r="G153" i="16"/>
  <c r="G152" i="16" s="1"/>
  <c r="G151" i="16" s="1"/>
  <c r="G150" i="16" s="1"/>
  <c r="G149" i="16" s="1"/>
  <c r="G148" i="16" s="1"/>
  <c r="G885" i="16"/>
  <c r="G883" i="16"/>
  <c r="G882" i="16" s="1"/>
  <c r="G881" i="16" s="1"/>
  <c r="G880" i="16" s="1"/>
  <c r="G853" i="16" s="1"/>
  <c r="G841" i="16" s="1"/>
  <c r="G228" i="16"/>
  <c r="G227" i="16" s="1"/>
  <c r="G230" i="16"/>
  <c r="H871" i="15"/>
  <c r="H868" i="15" s="1"/>
  <c r="H867" i="15" s="1"/>
  <c r="G868" i="15"/>
  <c r="G867" i="15" s="1"/>
  <c r="G490" i="5"/>
  <c r="G489" i="5" s="1"/>
  <c r="F749" i="3"/>
  <c r="F745" i="14" s="1"/>
  <c r="G745" i="14" s="1"/>
  <c r="H980" i="15"/>
  <c r="H713" i="16" s="1"/>
  <c r="G713" i="16"/>
  <c r="H312" i="15"/>
  <c r="H647" i="16" s="1"/>
  <c r="G647" i="16"/>
  <c r="H306" i="15"/>
  <c r="H639" i="16" s="1"/>
  <c r="G639" i="16"/>
  <c r="H829" i="15"/>
  <c r="H495" i="16" s="1"/>
  <c r="G495" i="16"/>
  <c r="H727" i="15"/>
  <c r="G722" i="14" s="1"/>
  <c r="G721" i="14" s="1"/>
  <c r="G720" i="14" s="1"/>
  <c r="G375" i="16"/>
  <c r="H497" i="16"/>
  <c r="H499" i="16"/>
  <c r="H241" i="16"/>
  <c r="H240" i="16" s="1"/>
  <c r="H243" i="16"/>
  <c r="H199" i="16"/>
  <c r="H198" i="16" s="1"/>
  <c r="H201" i="16"/>
  <c r="H222" i="16"/>
  <c r="H220" i="16"/>
  <c r="H219" i="16" s="1"/>
  <c r="H362" i="16"/>
  <c r="H361" i="16" s="1"/>
  <c r="H360" i="16" s="1"/>
  <c r="H359" i="16" s="1"/>
  <c r="H364" i="16"/>
  <c r="H270" i="16"/>
  <c r="H268" i="16"/>
  <c r="H267" i="16" s="1"/>
  <c r="H64" i="16"/>
  <c r="H62" i="16"/>
  <c r="H61" i="16" s="1"/>
  <c r="H60" i="16" s="1"/>
  <c r="H59" i="16" s="1"/>
  <c r="H58" i="16" s="1"/>
  <c r="H57" i="16" s="1"/>
  <c r="H153" i="16"/>
  <c r="H152" i="16" s="1"/>
  <c r="H151" i="16" s="1"/>
  <c r="H150" i="16" s="1"/>
  <c r="H149" i="16" s="1"/>
  <c r="H148" i="16" s="1"/>
  <c r="H155" i="16"/>
  <c r="H883" i="16"/>
  <c r="H882" i="16" s="1"/>
  <c r="H881" i="16" s="1"/>
  <c r="H880" i="16" s="1"/>
  <c r="H853" i="16" s="1"/>
  <c r="H841" i="16" s="1"/>
  <c r="H885" i="16"/>
  <c r="H230" i="16"/>
  <c r="H228" i="16"/>
  <c r="H227" i="16" s="1"/>
  <c r="H1019" i="15"/>
  <c r="H298" i="15"/>
  <c r="H625" i="16" s="1"/>
  <c r="H624" i="16" s="1"/>
  <c r="H620" i="16" s="1"/>
  <c r="G625" i="16"/>
  <c r="H223" i="15"/>
  <c r="H237" i="15"/>
  <c r="H227" i="15" s="1"/>
  <c r="H226" i="15" s="1"/>
  <c r="G227" i="15"/>
  <c r="G226" i="15" s="1"/>
  <c r="H253" i="15"/>
  <c r="H252" i="15" s="1"/>
  <c r="G252" i="15"/>
  <c r="H259" i="15"/>
  <c r="G259" i="15"/>
  <c r="G253" i="4"/>
  <c r="G249" i="16"/>
  <c r="G248" i="16" s="1"/>
  <c r="G247" i="16" s="1"/>
  <c r="G246" i="16" s="1"/>
  <c r="G245" i="16" s="1"/>
  <c r="G251" i="16"/>
  <c r="H576" i="15"/>
  <c r="H302" i="16"/>
  <c r="H301" i="16" s="1"/>
  <c r="G304" i="16"/>
  <c r="G302" i="16"/>
  <c r="G301" i="16" s="1"/>
  <c r="G308" i="16"/>
  <c r="G306" i="16"/>
  <c r="G305" i="16" s="1"/>
  <c r="H788" i="15"/>
  <c r="H930" i="15"/>
  <c r="H776" i="16" s="1"/>
  <c r="H775" i="16" s="1"/>
  <c r="H774" i="16" s="1"/>
  <c r="H773" i="16" s="1"/>
  <c r="H772" i="16" s="1"/>
  <c r="H771" i="16" s="1"/>
  <c r="H756" i="16" s="1"/>
  <c r="G776" i="16"/>
  <c r="H784" i="16"/>
  <c r="G770" i="16"/>
  <c r="G768" i="16"/>
  <c r="G767" i="16" s="1"/>
  <c r="G766" i="16" s="1"/>
  <c r="G765" i="16" s="1"/>
  <c r="G764" i="16" s="1"/>
  <c r="H902" i="15"/>
  <c r="H901" i="15" s="1"/>
  <c r="G901" i="15"/>
  <c r="G782" i="16"/>
  <c r="G781" i="16" s="1"/>
  <c r="G780" i="16" s="1"/>
  <c r="G779" i="16" s="1"/>
  <c r="G778" i="16" s="1"/>
  <c r="G784" i="16"/>
  <c r="H983" i="15"/>
  <c r="G698" i="16"/>
  <c r="G696" i="16"/>
  <c r="H396" i="15"/>
  <c r="H548" i="15"/>
  <c r="G634" i="14"/>
  <c r="G545" i="14"/>
  <c r="G544" i="14" s="1"/>
  <c r="G543" i="14" s="1"/>
  <c r="F544" i="14"/>
  <c r="F543" i="14" s="1"/>
  <c r="G790" i="14"/>
  <c r="G789" i="14" s="1"/>
  <c r="F789" i="14"/>
  <c r="G606" i="14"/>
  <c r="G805" i="14"/>
  <c r="G804" i="14" s="1"/>
  <c r="F804" i="14"/>
  <c r="G794" i="14"/>
  <c r="G793" i="14" s="1"/>
  <c r="F793" i="14"/>
  <c r="G887" i="14"/>
  <c r="F885" i="14"/>
  <c r="G525" i="14"/>
  <c r="G524" i="14" s="1"/>
  <c r="F524" i="14"/>
  <c r="G169" i="14"/>
  <c r="G168" i="14" s="1"/>
  <c r="F169" i="14"/>
  <c r="F168" i="14" s="1"/>
  <c r="H693" i="15"/>
  <c r="H189" i="16" s="1"/>
  <c r="G189" i="16"/>
  <c r="D135" i="12"/>
  <c r="D134" i="12" s="1"/>
  <c r="C134" i="12"/>
  <c r="G562" i="14"/>
  <c r="H558" i="15"/>
  <c r="G746" i="16"/>
  <c r="G745" i="16" s="1"/>
  <c r="G740" i="16" s="1"/>
  <c r="G739" i="16" s="1"/>
  <c r="G738" i="16" s="1"/>
  <c r="G737" i="16" s="1"/>
  <c r="G748" i="16"/>
  <c r="H746" i="16"/>
  <c r="H745" i="16" s="1"/>
  <c r="H740" i="16" s="1"/>
  <c r="H739" i="16" s="1"/>
  <c r="H738" i="16" s="1"/>
  <c r="H737" i="16" s="1"/>
  <c r="H748" i="16"/>
  <c r="F203" i="3"/>
  <c r="F202" i="3" s="1"/>
  <c r="G643" i="5"/>
  <c r="G386" i="4"/>
  <c r="G813" i="5"/>
  <c r="G815" i="15"/>
  <c r="H815" i="15" s="1"/>
  <c r="G816" i="4"/>
  <c r="F271" i="3"/>
  <c r="F271" i="14" s="1"/>
  <c r="G271" i="14" s="1"/>
  <c r="F808" i="3"/>
  <c r="G393" i="15"/>
  <c r="H393" i="15" s="1"/>
  <c r="G715" i="5"/>
  <c r="G714" i="5" s="1"/>
  <c r="F152" i="3"/>
  <c r="F152" i="14" s="1"/>
  <c r="G152" i="14" s="1"/>
  <c r="G717" i="4"/>
  <c r="G220" i="4"/>
  <c r="G323" i="5"/>
  <c r="F278" i="14"/>
  <c r="G278" i="14" s="1"/>
  <c r="G237" i="4"/>
  <c r="G238" i="4"/>
  <c r="G307" i="4"/>
  <c r="G90" i="15"/>
  <c r="G196" i="4"/>
  <c r="G717" i="5"/>
  <c r="G491" i="15"/>
  <c r="G321" i="5"/>
  <c r="G320" i="5" s="1"/>
  <c r="G382" i="5"/>
  <c r="F14" i="14"/>
  <c r="G14" i="14" s="1"/>
  <c r="F972" i="14"/>
  <c r="G972" i="14" s="1"/>
  <c r="F632" i="14"/>
  <c r="G632" i="14" s="1"/>
  <c r="F137" i="14"/>
  <c r="G137" i="14" s="1"/>
  <c r="F112" i="3"/>
  <c r="F725" i="3"/>
  <c r="G651" i="5"/>
  <c r="G649" i="5"/>
  <c r="G648" i="5" s="1"/>
  <c r="G645" i="5"/>
  <c r="G644" i="5" s="1"/>
  <c r="G109" i="5"/>
  <c r="G51" i="5"/>
  <c r="G982" i="4"/>
  <c r="G979" i="15"/>
  <c r="H979" i="15" s="1"/>
  <c r="G566" i="4"/>
  <c r="G566" i="15" s="1"/>
  <c r="G567" i="15"/>
  <c r="H567" i="15" s="1"/>
  <c r="G667" i="4"/>
  <c r="G667" i="15" s="1"/>
  <c r="G668" i="15"/>
  <c r="H668" i="15" s="1"/>
  <c r="G775" i="4"/>
  <c r="G771" i="15" s="1"/>
  <c r="H771" i="15" s="1"/>
  <c r="G772" i="15"/>
  <c r="H772" i="15" s="1"/>
  <c r="G1144" i="4"/>
  <c r="G142" i="4"/>
  <c r="G145" i="15" s="1"/>
  <c r="G146" i="15"/>
  <c r="H146" i="15" s="1"/>
  <c r="G653" i="4"/>
  <c r="G653" i="15" s="1"/>
  <c r="G652" i="15" s="1"/>
  <c r="G654" i="15"/>
  <c r="H654" i="15" s="1"/>
  <c r="G545" i="4"/>
  <c r="G546" i="15"/>
  <c r="H546" i="15" s="1"/>
  <c r="G895" i="4"/>
  <c r="G891" i="15" s="1"/>
  <c r="H891" i="15" s="1"/>
  <c r="G892" i="15"/>
  <c r="H892" i="15" s="1"/>
  <c r="G649" i="4"/>
  <c r="G649" i="15" s="1"/>
  <c r="H649" i="15" s="1"/>
  <c r="G650" i="15"/>
  <c r="H650" i="15" s="1"/>
  <c r="G214" i="4"/>
  <c r="G221" i="15"/>
  <c r="H221" i="15" s="1"/>
  <c r="G928" i="4"/>
  <c r="G925" i="15"/>
  <c r="H925" i="15" s="1"/>
  <c r="G429" i="4"/>
  <c r="G436" i="15"/>
  <c r="H436" i="15" s="1"/>
  <c r="G889" i="4"/>
  <c r="G885" i="15" s="1"/>
  <c r="H885" i="15" s="1"/>
  <c r="G886" i="15"/>
  <c r="H886" i="15" s="1"/>
  <c r="G881" i="4"/>
  <c r="G877" i="15" s="1"/>
  <c r="G880" i="15"/>
  <c r="H880" i="15" s="1"/>
  <c r="G502" i="4"/>
  <c r="G509" i="15"/>
  <c r="H509" i="15" s="1"/>
  <c r="H1126" i="15"/>
  <c r="G1126" i="15"/>
  <c r="G1002" i="4"/>
  <c r="G998" i="15" s="1"/>
  <c r="G999" i="15"/>
  <c r="H999" i="15" s="1"/>
  <c r="G613" i="4"/>
  <c r="G614" i="15"/>
  <c r="H614" i="15" s="1"/>
  <c r="G1143" i="4"/>
  <c r="G316" i="4"/>
  <c r="G323" i="15"/>
  <c r="H323" i="15" s="1"/>
  <c r="G1069" i="15"/>
  <c r="H1069" i="15" s="1"/>
  <c r="G1072" i="4"/>
  <c r="G1068" i="15" s="1"/>
  <c r="G660" i="4"/>
  <c r="G660" i="15" s="1"/>
  <c r="G661" i="15"/>
  <c r="H661" i="15" s="1"/>
  <c r="G695" i="4"/>
  <c r="G692" i="15"/>
  <c r="H692" i="15" s="1"/>
  <c r="G569" i="4"/>
  <c r="G569" i="15" s="1"/>
  <c r="H569" i="15" s="1"/>
  <c r="G570" i="15"/>
  <c r="H570" i="15" s="1"/>
  <c r="G782" i="4"/>
  <c r="G779" i="15"/>
  <c r="H779" i="15" s="1"/>
  <c r="G1050" i="15"/>
  <c r="H1050" i="15" s="1"/>
  <c r="G640" i="4"/>
  <c r="G640" i="15" s="1"/>
  <c r="G641" i="15"/>
  <c r="H641" i="15" s="1"/>
  <c r="F524" i="3"/>
  <c r="G1020" i="4"/>
  <c r="G1017" i="15"/>
  <c r="H1017" i="15" s="1"/>
  <c r="G702" i="4"/>
  <c r="G698" i="15" s="1"/>
  <c r="H698" i="15" s="1"/>
  <c r="G699" i="15"/>
  <c r="H699" i="15" s="1"/>
  <c r="G1009" i="15"/>
  <c r="H1009" i="15" s="1"/>
  <c r="G561" i="4"/>
  <c r="G561" i="15" s="1"/>
  <c r="H561" i="15" s="1"/>
  <c r="G562" i="15"/>
  <c r="H562" i="15" s="1"/>
  <c r="G301" i="4"/>
  <c r="G307" i="15" s="1"/>
  <c r="H307" i="15" s="1"/>
  <c r="G308" i="15"/>
  <c r="H308" i="15" s="1"/>
  <c r="G810" i="4"/>
  <c r="G807" i="15"/>
  <c r="H807" i="15" s="1"/>
  <c r="G943" i="4"/>
  <c r="G940" i="15"/>
  <c r="G350" i="4"/>
  <c r="G357" i="15"/>
  <c r="G1044" i="4"/>
  <c r="G1041" i="15"/>
  <c r="G399" i="4"/>
  <c r="G406" i="15"/>
  <c r="G167" i="4"/>
  <c r="G171" i="15"/>
  <c r="G947" i="4"/>
  <c r="G944" i="15"/>
  <c r="G600" i="4"/>
  <c r="G594" i="15"/>
  <c r="G993" i="4"/>
  <c r="G990" i="15"/>
  <c r="G939" i="4"/>
  <c r="G936" i="15"/>
  <c r="G709" i="4"/>
  <c r="G706" i="15"/>
  <c r="G180" i="4"/>
  <c r="G187" i="15"/>
  <c r="G113" i="4"/>
  <c r="G38" i="4"/>
  <c r="G44" i="15" s="1"/>
  <c r="H44" i="15" s="1"/>
  <c r="G45" i="15"/>
  <c r="H45" i="15" s="1"/>
  <c r="G687" i="4"/>
  <c r="G684" i="15"/>
  <c r="G260" i="4"/>
  <c r="G267" i="15"/>
  <c r="G678" i="4"/>
  <c r="G679" i="15"/>
  <c r="G457" i="4"/>
  <c r="G464" i="15"/>
  <c r="G393" i="4"/>
  <c r="G804" i="4"/>
  <c r="G801" i="15"/>
  <c r="H801" i="15" s="1"/>
  <c r="G924" i="4"/>
  <c r="H921" i="15"/>
  <c r="G437" i="4"/>
  <c r="G13" i="4"/>
  <c r="G886" i="4"/>
  <c r="G882" i="15" s="1"/>
  <c r="H882" i="15" s="1"/>
  <c r="G883" i="15"/>
  <c r="H883" i="15" s="1"/>
  <c r="G510" i="4"/>
  <c r="G517" i="15"/>
  <c r="H517" i="15" s="1"/>
  <c r="G778" i="4"/>
  <c r="G774" i="15" s="1"/>
  <c r="H774" i="15" s="1"/>
  <c r="G775" i="15"/>
  <c r="H775" i="15" s="1"/>
  <c r="G772" i="4"/>
  <c r="G769" i="15"/>
  <c r="H769" i="15" s="1"/>
  <c r="G412" i="15"/>
  <c r="G447" i="4"/>
  <c r="G454" i="15"/>
  <c r="H454" i="15" s="1"/>
  <c r="G579" i="4"/>
  <c r="G579" i="15" s="1"/>
  <c r="H579" i="15" s="1"/>
  <c r="G580" i="15"/>
  <c r="H580" i="15" s="1"/>
  <c r="G714" i="4"/>
  <c r="G711" i="15"/>
  <c r="H711" i="15" s="1"/>
  <c r="G974" i="4"/>
  <c r="G970" i="15" s="1"/>
  <c r="H970" i="15" s="1"/>
  <c r="G971" i="15"/>
  <c r="H971" i="15" s="1"/>
  <c r="G1083" i="4"/>
  <c r="G1080" i="15"/>
  <c r="H1080" i="15" s="1"/>
  <c r="G517" i="4"/>
  <c r="G523" i="15" s="1"/>
  <c r="G524" i="15"/>
  <c r="H524" i="15" s="1"/>
  <c r="G629" i="4"/>
  <c r="G629" i="15" s="1"/>
  <c r="H629" i="15" s="1"/>
  <c r="G630" i="15"/>
  <c r="H630" i="15" s="1"/>
  <c r="G304" i="4"/>
  <c r="G311" i="15"/>
  <c r="H311" i="15" s="1"/>
  <c r="G520" i="4"/>
  <c r="G526" i="15" s="1"/>
  <c r="H526" i="15" s="1"/>
  <c r="G527" i="15"/>
  <c r="H527" i="15" s="1"/>
  <c r="G799" i="4"/>
  <c r="G796" i="15"/>
  <c r="H796" i="15" s="1"/>
  <c r="G643" i="4"/>
  <c r="G643" i="15" s="1"/>
  <c r="H643" i="15" s="1"/>
  <c r="G644" i="15"/>
  <c r="H644" i="15" s="1"/>
  <c r="G582" i="4"/>
  <c r="G582" i="15" s="1"/>
  <c r="H582" i="15" s="1"/>
  <c r="G583" i="15"/>
  <c r="H583" i="15" s="1"/>
  <c r="G965" i="4"/>
  <c r="G961" i="15" s="1"/>
  <c r="H961" i="15" s="1"/>
  <c r="G962" i="15"/>
  <c r="H962" i="15" s="1"/>
  <c r="G670" i="4"/>
  <c r="G670" i="15" s="1"/>
  <c r="H670" i="15" s="1"/>
  <c r="G671" i="15"/>
  <c r="H671" i="15" s="1"/>
  <c r="G145" i="4"/>
  <c r="G148" i="15" s="1"/>
  <c r="H148" i="15" s="1"/>
  <c r="G149" i="15"/>
  <c r="H149" i="15" s="1"/>
  <c r="G795" i="4"/>
  <c r="G792" i="15"/>
  <c r="H792" i="15" s="1"/>
  <c r="G288" i="4"/>
  <c r="G297" i="15"/>
  <c r="H297" i="15" s="1"/>
  <c r="G862" i="4"/>
  <c r="G859" i="15"/>
  <c r="H859" i="15" s="1"/>
  <c r="G936" i="4"/>
  <c r="G933" i="15"/>
  <c r="H933" i="15" s="1"/>
  <c r="G1027" i="4"/>
  <c r="G1026" i="15"/>
  <c r="H1026" i="15" s="1"/>
  <c r="G732" i="15"/>
  <c r="H732" i="15" s="1"/>
  <c r="G555" i="4"/>
  <c r="G556" i="15"/>
  <c r="H556" i="15" s="1"/>
  <c r="G663" i="4"/>
  <c r="G663" i="15" s="1"/>
  <c r="H663" i="15" s="1"/>
  <c r="G664" i="15"/>
  <c r="H664" i="15" s="1"/>
  <c r="G635" i="4"/>
  <c r="G635" i="15" s="1"/>
  <c r="H635" i="15" s="1"/>
  <c r="G636" i="15"/>
  <c r="H636" i="15" s="1"/>
  <c r="G745" i="4"/>
  <c r="G742" i="15"/>
  <c r="H742" i="15" s="1"/>
  <c r="G656" i="4"/>
  <c r="G298" i="4"/>
  <c r="G305" i="15"/>
  <c r="H305" i="15" s="1"/>
  <c r="G188" i="5"/>
  <c r="G673" i="4"/>
  <c r="G674" i="15"/>
  <c r="G371" i="4"/>
  <c r="G378" i="15"/>
  <c r="G117" i="4"/>
  <c r="G120" i="15" s="1"/>
  <c r="G115" i="15" s="1"/>
  <c r="G121" i="15"/>
  <c r="H121" i="15" s="1"/>
  <c r="G190" i="4"/>
  <c r="G194" i="15"/>
  <c r="G867" i="4"/>
  <c r="G864" i="15"/>
  <c r="G283" i="4"/>
  <c r="G290" i="15"/>
  <c r="G354" i="4"/>
  <c r="G361" i="15"/>
  <c r="F12" i="3"/>
  <c r="F12" i="14" s="1"/>
  <c r="G190" i="5"/>
  <c r="F169" i="3"/>
  <c r="F168" i="3" s="1"/>
  <c r="G726" i="4"/>
  <c r="G722" i="15" s="1"/>
  <c r="G723" i="15"/>
  <c r="H723" i="15" s="1"/>
  <c r="G666" i="5"/>
  <c r="G854" i="4"/>
  <c r="G851" i="15"/>
  <c r="G729" i="4"/>
  <c r="G41" i="6"/>
  <c r="G451" i="4"/>
  <c r="G450" i="4" s="1"/>
  <c r="G458" i="15"/>
  <c r="H458" i="15" s="1"/>
  <c r="G62" i="5"/>
  <c r="G915" i="5"/>
  <c r="G263" i="5"/>
  <c r="G662" i="5"/>
  <c r="G688" i="5"/>
  <c r="G791" i="5"/>
  <c r="G873" i="5"/>
  <c r="G859" i="5"/>
  <c r="G869" i="5"/>
  <c r="G879" i="5"/>
  <c r="G892" i="5"/>
  <c r="G342" i="5"/>
  <c r="G447" i="5"/>
  <c r="G462" i="5"/>
  <c r="G477" i="5"/>
  <c r="G640" i="5"/>
  <c r="G848" i="5"/>
  <c r="G864" i="5"/>
  <c r="G898" i="5"/>
  <c r="G744" i="5"/>
  <c r="G824" i="5"/>
  <c r="G840" i="5"/>
  <c r="G929" i="5"/>
  <c r="G352" i="5"/>
  <c r="G804" i="5"/>
  <c r="G95" i="5"/>
  <c r="G399" i="5"/>
  <c r="G922" i="5"/>
  <c r="G165" i="5"/>
  <c r="G104" i="5"/>
  <c r="G278" i="5"/>
  <c r="G309" i="5"/>
  <c r="G350" i="5"/>
  <c r="G438" i="5"/>
  <c r="G466" i="5"/>
  <c r="G470" i="5"/>
  <c r="F797" i="3"/>
  <c r="G256" i="5"/>
  <c r="G710" i="5"/>
  <c r="G725" i="5"/>
  <c r="G828" i="5"/>
  <c r="G832" i="5"/>
  <c r="G69" i="5"/>
  <c r="G906" i="5"/>
  <c r="G797" i="5"/>
  <c r="G134" i="4"/>
  <c r="G138" i="15"/>
  <c r="F226" i="3"/>
  <c r="F226" i="14" s="1"/>
  <c r="F227" i="14"/>
  <c r="G227" i="14" s="1"/>
  <c r="F508" i="3"/>
  <c r="F508" i="14" s="1"/>
  <c r="G508" i="14" s="1"/>
  <c r="F509" i="14"/>
  <c r="G509" i="14" s="1"/>
  <c r="F937" i="3"/>
  <c r="F932" i="14" s="1"/>
  <c r="G932" i="14" s="1"/>
  <c r="F934" i="14"/>
  <c r="F70" i="3"/>
  <c r="F67" i="14" s="1"/>
  <c r="G67" i="14" s="1"/>
  <c r="F68" i="14"/>
  <c r="G68" i="14" s="1"/>
  <c r="F506" i="3"/>
  <c r="F507" i="14"/>
  <c r="G507" i="14" s="1"/>
  <c r="F904" i="3"/>
  <c r="F899" i="14" s="1"/>
  <c r="G899" i="14" s="1"/>
  <c r="F900" i="14"/>
  <c r="G900" i="14" s="1"/>
  <c r="F425" i="3"/>
  <c r="F426" i="14"/>
  <c r="G426" i="14" s="1"/>
  <c r="F654" i="3"/>
  <c r="F651" i="14"/>
  <c r="G651" i="14" s="1"/>
  <c r="F642" i="3"/>
  <c r="F639" i="14"/>
  <c r="G639" i="14" s="1"/>
  <c r="F610" i="3"/>
  <c r="F611" i="14"/>
  <c r="G611" i="14" s="1"/>
  <c r="F685" i="3"/>
  <c r="F682" i="14"/>
  <c r="G682" i="14" s="1"/>
  <c r="F978" i="3"/>
  <c r="F974" i="14"/>
  <c r="G974" i="14" s="1"/>
  <c r="F192" i="3"/>
  <c r="F617" i="3"/>
  <c r="F618" i="14"/>
  <c r="F889" i="3"/>
  <c r="F882" i="14"/>
  <c r="F421" i="3"/>
  <c r="F421" i="14" s="1"/>
  <c r="G421" i="14" s="1"/>
  <c r="F422" i="14"/>
  <c r="G422" i="14" s="1"/>
  <c r="F827" i="3"/>
  <c r="F824" i="14"/>
  <c r="F845" i="3"/>
  <c r="F841" i="14" s="1"/>
  <c r="G841" i="14" s="1"/>
  <c r="F842" i="14"/>
  <c r="G842" i="14" s="1"/>
  <c r="F552" i="3"/>
  <c r="F552" i="14" s="1"/>
  <c r="F553" i="14"/>
  <c r="G553" i="14" s="1"/>
  <c r="F767" i="3"/>
  <c r="F764" i="14"/>
  <c r="G764" i="14" s="1"/>
  <c r="F405" i="3"/>
  <c r="F406" i="14"/>
  <c r="G406" i="14" s="1"/>
  <c r="F49" i="3"/>
  <c r="F49" i="14" s="1"/>
  <c r="G49" i="14" s="1"/>
  <c r="F50" i="14"/>
  <c r="G50" i="14" s="1"/>
  <c r="F634" i="3"/>
  <c r="F631" i="14"/>
  <c r="G631" i="14" s="1"/>
  <c r="F497" i="3"/>
  <c r="F497" i="14" s="1"/>
  <c r="F498" i="14"/>
  <c r="G498" i="14" s="1"/>
  <c r="F926" i="3"/>
  <c r="F922" i="14"/>
  <c r="G922" i="14" s="1"/>
  <c r="F413" i="3"/>
  <c r="F413" i="14" s="1"/>
  <c r="G413" i="14" s="1"/>
  <c r="F414" i="14"/>
  <c r="G414" i="14" s="1"/>
  <c r="F77" i="3"/>
  <c r="F74" i="14" s="1"/>
  <c r="G74" i="14" s="1"/>
  <c r="F75" i="14"/>
  <c r="G75" i="14" s="1"/>
  <c r="F72" i="3"/>
  <c r="F69" i="14" s="1"/>
  <c r="G69" i="14" s="1"/>
  <c r="F70" i="14"/>
  <c r="G70" i="14" s="1"/>
  <c r="F75" i="3"/>
  <c r="F72" i="14" s="1"/>
  <c r="G72" i="14" s="1"/>
  <c r="F73" i="14"/>
  <c r="G73" i="14" s="1"/>
  <c r="F65" i="3"/>
  <c r="F326" i="3"/>
  <c r="F327" i="14"/>
  <c r="G327" i="14" s="1"/>
  <c r="F230" i="3"/>
  <c r="F231" i="14"/>
  <c r="G231" i="14" s="1"/>
  <c r="F645" i="3"/>
  <c r="F642" i="14"/>
  <c r="G642" i="14" s="1"/>
  <c r="F688" i="3"/>
  <c r="F685" i="14"/>
  <c r="G685" i="14" s="1"/>
  <c r="F841" i="3"/>
  <c r="F839" i="14"/>
  <c r="G839" i="14" s="1"/>
  <c r="F429" i="3"/>
  <c r="F429" i="14" s="1"/>
  <c r="G429" i="14" s="1"/>
  <c r="F430" i="14"/>
  <c r="G430" i="14" s="1"/>
  <c r="F104" i="3"/>
  <c r="F102" i="14"/>
  <c r="G102" i="14" s="1"/>
  <c r="F67" i="3"/>
  <c r="G154" i="5"/>
  <c r="F164" i="14"/>
  <c r="G164" i="14" s="1"/>
  <c r="F329" i="3"/>
  <c r="F330" i="14"/>
  <c r="G330" i="14" s="1"/>
  <c r="F323" i="3"/>
  <c r="F324" i="14"/>
  <c r="G324" i="14" s="1"/>
  <c r="F145" i="3"/>
  <c r="F143" i="14"/>
  <c r="G143" i="14" s="1"/>
  <c r="F593" i="3"/>
  <c r="F594" i="14"/>
  <c r="G594" i="14" s="1"/>
  <c r="F45" i="3"/>
  <c r="F32" i="3"/>
  <c r="F33" i="14"/>
  <c r="G33" i="14" s="1"/>
  <c r="F571" i="3"/>
  <c r="F571" i="14" s="1"/>
  <c r="G571" i="14" s="1"/>
  <c r="F572" i="14"/>
  <c r="G572" i="14" s="1"/>
  <c r="F442" i="3"/>
  <c r="F443" i="14"/>
  <c r="G443" i="14" s="1"/>
  <c r="F52" i="3"/>
  <c r="F53" i="14"/>
  <c r="G53" i="14" s="1"/>
  <c r="F259" i="3"/>
  <c r="F260" i="14"/>
  <c r="G260" i="14" s="1"/>
  <c r="F408" i="3"/>
  <c r="F408" i="14" s="1"/>
  <c r="G408" i="14" s="1"/>
  <c r="F409" i="14"/>
  <c r="G409" i="14" s="1"/>
  <c r="F745" i="3"/>
  <c r="F741" i="14" s="1"/>
  <c r="G741" i="14" s="1"/>
  <c r="F742" i="14"/>
  <c r="G742" i="14" s="1"/>
  <c r="F460" i="3"/>
  <c r="F461" i="14"/>
  <c r="G461" i="14" s="1"/>
  <c r="F589" i="3"/>
  <c r="F590" i="14"/>
  <c r="G590" i="14" s="1"/>
  <c r="F452" i="3"/>
  <c r="F452" i="14" s="1"/>
  <c r="G452" i="14" s="1"/>
  <c r="F453" i="14"/>
  <c r="G453" i="14" s="1"/>
  <c r="F583" i="3"/>
  <c r="F584" i="14"/>
  <c r="G584" i="14" s="1"/>
  <c r="F580" i="3"/>
  <c r="F581" i="14"/>
  <c r="G581" i="14" s="1"/>
  <c r="F722" i="3"/>
  <c r="F674" i="3"/>
  <c r="F671" i="14"/>
  <c r="G671" i="14" s="1"/>
  <c r="F870" i="3"/>
  <c r="F997" i="3"/>
  <c r="F993" i="14"/>
  <c r="G993" i="14" s="1"/>
  <c r="F955" i="3"/>
  <c r="F951" i="14"/>
  <c r="G951" i="14" s="1"/>
  <c r="F967" i="3"/>
  <c r="F962" i="14" s="1"/>
  <c r="G962" i="14" s="1"/>
  <c r="F963" i="14"/>
  <c r="G963" i="14" s="1"/>
  <c r="F210" i="3"/>
  <c r="F893" i="3"/>
  <c r="F206" i="3"/>
  <c r="F43" i="3"/>
  <c r="F43" i="14" s="1"/>
  <c r="F44" i="14"/>
  <c r="G44" i="14" s="1"/>
  <c r="F922" i="3"/>
  <c r="F917" i="14" s="1"/>
  <c r="G917" i="14" s="1"/>
  <c r="F918" i="14"/>
  <c r="G918" i="14" s="1"/>
  <c r="F916" i="3"/>
  <c r="F911" i="14" s="1"/>
  <c r="F912" i="14"/>
  <c r="G912" i="14" s="1"/>
  <c r="F339" i="3"/>
  <c r="F279" i="3"/>
  <c r="F280" i="14"/>
  <c r="G280" i="14" s="1"/>
  <c r="F334" i="3"/>
  <c r="F334" i="14" s="1"/>
  <c r="F337" i="14"/>
  <c r="G337" i="14" s="1"/>
  <c r="F469" i="3"/>
  <c r="F470" i="14"/>
  <c r="G470" i="14" s="1"/>
  <c r="F731" i="3"/>
  <c r="F727" i="14" s="1"/>
  <c r="G727" i="14" s="1"/>
  <c r="F728" i="14"/>
  <c r="G728" i="14" s="1"/>
  <c r="F733" i="3"/>
  <c r="F729" i="14" s="1"/>
  <c r="G729" i="14" s="1"/>
  <c r="F730" i="14"/>
  <c r="G730" i="14" s="1"/>
  <c r="F741" i="3"/>
  <c r="F738" i="14"/>
  <c r="G738" i="14" s="1"/>
  <c r="F519" i="3"/>
  <c r="F520" i="14"/>
  <c r="G520" i="14" s="1"/>
  <c r="F747" i="3"/>
  <c r="F743" i="14" s="1"/>
  <c r="G743" i="14" s="1"/>
  <c r="F744" i="14"/>
  <c r="G744" i="14" s="1"/>
  <c r="F758" i="3"/>
  <c r="F755" i="14"/>
  <c r="F682" i="3"/>
  <c r="F679" i="14"/>
  <c r="G679" i="14" s="1"/>
  <c r="F852" i="3"/>
  <c r="F849" i="14"/>
  <c r="G849" i="14" s="1"/>
  <c r="F902" i="3"/>
  <c r="F897" i="14" s="1"/>
  <c r="G897" i="14" s="1"/>
  <c r="F898" i="14"/>
  <c r="G898" i="14" s="1"/>
  <c r="F949" i="3"/>
  <c r="F945" i="14"/>
  <c r="G945" i="14" s="1"/>
  <c r="F963" i="3"/>
  <c r="F959" i="14"/>
  <c r="G959" i="14" s="1"/>
  <c r="F989" i="3"/>
  <c r="F984" i="14" s="1"/>
  <c r="F801" i="3"/>
  <c r="F801" i="14"/>
  <c r="F543" i="3"/>
  <c r="F418" i="3"/>
  <c r="F418" i="14" s="1"/>
  <c r="F419" i="14"/>
  <c r="G419" i="14" s="1"/>
  <c r="F626" i="3"/>
  <c r="F623" i="14"/>
  <c r="F532" i="3"/>
  <c r="F540" i="14"/>
  <c r="F344" i="3"/>
  <c r="F358" i="14"/>
  <c r="F196" i="3"/>
  <c r="F197" i="14"/>
  <c r="F776" i="3"/>
  <c r="F773" i="14"/>
  <c r="C110" i="1"/>
  <c r="G164" i="4"/>
  <c r="G168" i="15"/>
  <c r="H168" i="15" s="1"/>
  <c r="C16" i="1"/>
  <c r="C139" i="1"/>
  <c r="C42" i="1"/>
  <c r="D42" i="1" s="1"/>
  <c r="F376" i="3"/>
  <c r="G786" i="5"/>
  <c r="F368" i="3"/>
  <c r="G772" i="5"/>
  <c r="F364" i="3"/>
  <c r="G765" i="5"/>
  <c r="G724" i="5"/>
  <c r="G722" i="5"/>
  <c r="F410" i="3"/>
  <c r="F410" i="14" s="1"/>
  <c r="G410" i="14" s="1"/>
  <c r="G700" i="5"/>
  <c r="F249" i="3"/>
  <c r="G750" i="5"/>
  <c r="G886" i="5"/>
  <c r="G888" i="5"/>
  <c r="G693" i="5"/>
  <c r="G695" i="5"/>
  <c r="G614" i="5"/>
  <c r="G560" i="5"/>
  <c r="G562" i="5"/>
  <c r="G554" i="5"/>
  <c r="G556" i="5"/>
  <c r="G509" i="5"/>
  <c r="G511" i="5"/>
  <c r="G512" i="5"/>
  <c r="G514" i="5"/>
  <c r="G515" i="5"/>
  <c r="G517" i="5"/>
  <c r="G500" i="5"/>
  <c r="G502" i="5"/>
  <c r="G497" i="5"/>
  <c r="G499" i="5"/>
  <c r="G482" i="5"/>
  <c r="G484" i="5"/>
  <c r="G456" i="5"/>
  <c r="G458" i="5"/>
  <c r="G452" i="5"/>
  <c r="G454" i="5"/>
  <c r="G416" i="5"/>
  <c r="G377" i="5"/>
  <c r="G379" i="5"/>
  <c r="G369" i="5"/>
  <c r="G371" i="5"/>
  <c r="G347" i="5"/>
  <c r="G349" i="5"/>
  <c r="G314" i="5"/>
  <c r="G316" i="5"/>
  <c r="G302" i="5"/>
  <c r="G304" i="5"/>
  <c r="G306" i="5"/>
  <c r="G308" i="5"/>
  <c r="G268" i="5"/>
  <c r="G270" i="5"/>
  <c r="G272" i="5"/>
  <c r="G274" i="5"/>
  <c r="G249" i="5"/>
  <c r="G251" i="5"/>
  <c r="G253" i="5"/>
  <c r="G255" i="5"/>
  <c r="G21" i="5"/>
  <c r="G23" i="5"/>
  <c r="G24" i="5"/>
  <c r="G26" i="5"/>
  <c r="G677" i="5"/>
  <c r="G705" i="4"/>
  <c r="G242" i="5"/>
  <c r="F603" i="3"/>
  <c r="G337" i="5"/>
  <c r="F575" i="3"/>
  <c r="G229" i="5"/>
  <c r="F596" i="3"/>
  <c r="G325" i="5"/>
  <c r="F501" i="3"/>
  <c r="G208" i="5"/>
  <c r="F495" i="3"/>
  <c r="G200" i="5"/>
  <c r="F569" i="3"/>
  <c r="G221" i="5"/>
  <c r="F710" i="3"/>
  <c r="G45" i="5"/>
  <c r="F880" i="3"/>
  <c r="G79" i="5"/>
  <c r="G80" i="5" s="1"/>
  <c r="F884" i="3"/>
  <c r="G86" i="5"/>
  <c r="F935" i="3"/>
  <c r="F873" i="3"/>
  <c r="F965" i="3"/>
  <c r="F969" i="3"/>
  <c r="F964" i="14" s="1"/>
  <c r="G964" i="14" s="1"/>
  <c r="F786" i="3"/>
  <c r="I166" i="4"/>
  <c r="I165" i="4" s="1"/>
  <c r="I164" i="4" s="1"/>
  <c r="I160" i="4" s="1"/>
  <c r="I159" i="4" s="1"/>
  <c r="I158" i="4" s="1"/>
  <c r="I157" i="4" s="1"/>
  <c r="I24" i="4" s="1"/>
  <c r="I1091" i="4" s="1"/>
  <c r="H165" i="4"/>
  <c r="H164" i="4" s="1"/>
  <c r="H160" i="4" s="1"/>
  <c r="H159" i="4" s="1"/>
  <c r="H158" i="4" s="1"/>
  <c r="H157" i="4" s="1"/>
  <c r="H24" i="4" s="1"/>
  <c r="H1091" i="4" s="1"/>
  <c r="F233" i="3"/>
  <c r="G174" i="4"/>
  <c r="D117" i="1" s="1"/>
  <c r="G61" i="4"/>
  <c r="D123" i="1" s="1"/>
  <c r="G51" i="4"/>
  <c r="G905" i="4"/>
  <c r="G56" i="4"/>
  <c r="D116" i="1" s="1"/>
  <c r="I985" i="10"/>
  <c r="F163" i="3"/>
  <c r="F163" i="14" s="1"/>
  <c r="G163" i="14" s="1"/>
  <c r="D118" i="1"/>
  <c r="F987" i="3"/>
  <c r="G932" i="4"/>
  <c r="G345" i="4"/>
  <c r="G104" i="4"/>
  <c r="G968" i="4"/>
  <c r="G831" i="4"/>
  <c r="G872" i="4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886" i="14" l="1"/>
  <c r="G885" i="14" s="1"/>
  <c r="H372" i="16"/>
  <c r="F42" i="14"/>
  <c r="H50" i="15"/>
  <c r="G50" i="15"/>
  <c r="G338" i="16"/>
  <c r="D132" i="1"/>
  <c r="G194" i="4"/>
  <c r="H375" i="16"/>
  <c r="H374" i="16" s="1"/>
  <c r="H373" i="16" s="1"/>
  <c r="H368" i="16" s="1"/>
  <c r="H367" i="16" s="1"/>
  <c r="H366" i="16" s="1"/>
  <c r="H365" i="16" s="1"/>
  <c r="H726" i="15"/>
  <c r="H725" i="15" s="1"/>
  <c r="G141" i="4"/>
  <c r="H26" i="16"/>
  <c r="H689" i="16"/>
  <c r="H684" i="16" s="1"/>
  <c r="H683" i="16" s="1"/>
  <c r="H681" i="16" s="1"/>
  <c r="G43" i="14"/>
  <c r="G42" i="14" s="1"/>
  <c r="G585" i="15"/>
  <c r="H585" i="15"/>
  <c r="G984" i="14"/>
  <c r="G979" i="14" s="1"/>
  <c r="F979" i="14"/>
  <c r="J304" i="4"/>
  <c r="K304" i="4"/>
  <c r="F371" i="3"/>
  <c r="F370" i="3" s="1"/>
  <c r="G768" i="15"/>
  <c r="G767" i="15" s="1"/>
  <c r="F151" i="3"/>
  <c r="F150" i="3" s="1"/>
  <c r="F136" i="3"/>
  <c r="F133" i="14" s="1"/>
  <c r="F129" i="14" s="1"/>
  <c r="G778" i="5"/>
  <c r="G777" i="5" s="1"/>
  <c r="G193" i="16"/>
  <c r="H300" i="16"/>
  <c r="H299" i="16" s="1"/>
  <c r="H298" i="16" s="1"/>
  <c r="G334" i="5"/>
  <c r="G491" i="5"/>
  <c r="F522" i="14"/>
  <c r="G522" i="14" s="1"/>
  <c r="F268" i="3"/>
  <c r="F267" i="3" s="1"/>
  <c r="F600" i="14"/>
  <c r="G600" i="14" s="1"/>
  <c r="F203" i="14"/>
  <c r="G203" i="14" s="1"/>
  <c r="F111" i="3"/>
  <c r="G894" i="4"/>
  <c r="G893" i="4" s="1"/>
  <c r="G1001" i="4"/>
  <c r="G1000" i="4" s="1"/>
  <c r="H193" i="16"/>
  <c r="G99" i="16"/>
  <c r="G100" i="16"/>
  <c r="G484" i="4"/>
  <c r="G483" i="4" s="1"/>
  <c r="G1139" i="4"/>
  <c r="G689" i="16"/>
  <c r="G684" i="16" s="1"/>
  <c r="G683" i="16" s="1"/>
  <c r="G682" i="16" s="1"/>
  <c r="F11" i="3"/>
  <c r="F10" i="3" s="1"/>
  <c r="G659" i="4"/>
  <c r="G245" i="4"/>
  <c r="G244" i="4" s="1"/>
  <c r="G575" i="15"/>
  <c r="G300" i="16"/>
  <c r="G299" i="16" s="1"/>
  <c r="G298" i="16" s="1"/>
  <c r="H890" i="15"/>
  <c r="H889" i="15" s="1"/>
  <c r="G392" i="15"/>
  <c r="H171" i="15"/>
  <c r="H170" i="15" s="1"/>
  <c r="G170" i="15"/>
  <c r="H640" i="16"/>
  <c r="H638" i="16"/>
  <c r="H637" i="16" s="1"/>
  <c r="H714" i="16"/>
  <c r="H712" i="16"/>
  <c r="H711" i="16" s="1"/>
  <c r="H706" i="16" s="1"/>
  <c r="H705" i="16" s="1"/>
  <c r="G357" i="16"/>
  <c r="G358" i="16"/>
  <c r="H644" i="16"/>
  <c r="H642" i="16"/>
  <c r="H641" i="16" s="1"/>
  <c r="H274" i="16"/>
  <c r="H272" i="16"/>
  <c r="H271" i="16" s="1"/>
  <c r="H262" i="16" s="1"/>
  <c r="H261" i="16" s="1"/>
  <c r="H260" i="16" s="1"/>
  <c r="H244" i="16" s="1"/>
  <c r="G26" i="16"/>
  <c r="G24" i="16"/>
  <c r="G20" i="16" s="1"/>
  <c r="G19" i="16" s="1"/>
  <c r="G18" i="16" s="1"/>
  <c r="G17" i="16" s="1"/>
  <c r="G9" i="16" s="1"/>
  <c r="H313" i="15"/>
  <c r="H314" i="15"/>
  <c r="H194" i="15"/>
  <c r="H193" i="15" s="1"/>
  <c r="H192" i="15" s="1"/>
  <c r="H191" i="15" s="1"/>
  <c r="G193" i="15"/>
  <c r="G192" i="15" s="1"/>
  <c r="G191" i="15" s="1"/>
  <c r="G323" i="16"/>
  <c r="G321" i="16"/>
  <c r="G320" i="16" s="1"/>
  <c r="G239" i="16"/>
  <c r="G237" i="16"/>
  <c r="G236" i="16" s="1"/>
  <c r="G231" i="16" s="1"/>
  <c r="G78" i="16"/>
  <c r="G77" i="16" s="1"/>
  <c r="G76" i="16" s="1"/>
  <c r="G75" i="16" s="1"/>
  <c r="G80" i="16"/>
  <c r="H851" i="15"/>
  <c r="H850" i="15" s="1"/>
  <c r="H849" i="15" s="1"/>
  <c r="H848" i="15" s="1"/>
  <c r="H847" i="15" s="1"/>
  <c r="G850" i="15"/>
  <c r="G849" i="15" s="1"/>
  <c r="G848" i="15" s="1"/>
  <c r="G847" i="15" s="1"/>
  <c r="H722" i="15"/>
  <c r="G721" i="15"/>
  <c r="G720" i="15" s="1"/>
  <c r="G719" i="15" s="1"/>
  <c r="G718" i="15" s="1"/>
  <c r="H990" i="15"/>
  <c r="H989" i="15" s="1"/>
  <c r="G989" i="15"/>
  <c r="G1104" i="15" s="1"/>
  <c r="H406" i="15"/>
  <c r="H405" i="15" s="1"/>
  <c r="H404" i="15" s="1"/>
  <c r="G405" i="15"/>
  <c r="G404" i="15" s="1"/>
  <c r="H357" i="15"/>
  <c r="H356" i="15" s="1"/>
  <c r="G356" i="15"/>
  <c r="H626" i="16"/>
  <c r="H392" i="15"/>
  <c r="H357" i="16"/>
  <c r="H358" i="16"/>
  <c r="H494" i="16"/>
  <c r="H493" i="16" s="1"/>
  <c r="H492" i="16" s="1"/>
  <c r="H491" i="16" s="1"/>
  <c r="H490" i="16" s="1"/>
  <c r="H489" i="16" s="1"/>
  <c r="H496" i="16"/>
  <c r="H648" i="16"/>
  <c r="H646" i="16"/>
  <c r="H645" i="16" s="1"/>
  <c r="G210" i="16"/>
  <c r="H321" i="16"/>
  <c r="H320" i="16" s="1"/>
  <c r="H323" i="16"/>
  <c r="H325" i="16"/>
  <c r="H324" i="16" s="1"/>
  <c r="H327" i="16"/>
  <c r="H237" i="16"/>
  <c r="H236" i="16" s="1"/>
  <c r="H231" i="16" s="1"/>
  <c r="H239" i="16"/>
  <c r="G334" i="16"/>
  <c r="G332" i="16"/>
  <c r="G331" i="16" s="1"/>
  <c r="G906" i="16"/>
  <c r="G904" i="16"/>
  <c r="G903" i="16" s="1"/>
  <c r="G902" i="16" s="1"/>
  <c r="G901" i="16" s="1"/>
  <c r="G900" i="16" s="1"/>
  <c r="G899" i="16" s="1"/>
  <c r="G341" i="16"/>
  <c r="G340" i="16" s="1"/>
  <c r="G339" i="16"/>
  <c r="H243" i="15"/>
  <c r="H244" i="15"/>
  <c r="H1041" i="15"/>
  <c r="H1040" i="15" s="1"/>
  <c r="H1039" i="15" s="1"/>
  <c r="H1038" i="15" s="1"/>
  <c r="H1037" i="15" s="1"/>
  <c r="H1036" i="15" s="1"/>
  <c r="G1040" i="15"/>
  <c r="G1039" i="15" s="1"/>
  <c r="G1038" i="15" s="1"/>
  <c r="G1037" i="15" s="1"/>
  <c r="G1036" i="15" s="1"/>
  <c r="H660" i="15"/>
  <c r="H659" i="15" s="1"/>
  <c r="G659" i="15"/>
  <c r="H714" i="15"/>
  <c r="H713" i="15"/>
  <c r="H486" i="16"/>
  <c r="H485" i="16" s="1"/>
  <c r="H484" i="16" s="1"/>
  <c r="H483" i="16" s="1"/>
  <c r="H482" i="16" s="1"/>
  <c r="H440" i="16" s="1"/>
  <c r="H488" i="16"/>
  <c r="G914" i="16"/>
  <c r="G912" i="16"/>
  <c r="G911" i="16" s="1"/>
  <c r="G910" i="16" s="1"/>
  <c r="G909" i="16" s="1"/>
  <c r="H290" i="15"/>
  <c r="H289" i="15" s="1"/>
  <c r="G289" i="15"/>
  <c r="H378" i="15"/>
  <c r="H377" i="15" s="1"/>
  <c r="G377" i="15"/>
  <c r="H464" i="15"/>
  <c r="H463" i="15" s="1"/>
  <c r="H462" i="15" s="1"/>
  <c r="G463" i="15"/>
  <c r="G462" i="15" s="1"/>
  <c r="H145" i="15"/>
  <c r="H144" i="15" s="1"/>
  <c r="G144" i="15"/>
  <c r="H777" i="16"/>
  <c r="H575" i="15"/>
  <c r="G496" i="16"/>
  <c r="G494" i="16"/>
  <c r="G493" i="16" s="1"/>
  <c r="G492" i="16" s="1"/>
  <c r="G491" i="16" s="1"/>
  <c r="G490" i="16" s="1"/>
  <c r="G489" i="16" s="1"/>
  <c r="G648" i="16"/>
  <c r="G646" i="16"/>
  <c r="G645" i="16" s="1"/>
  <c r="H447" i="15"/>
  <c r="H446" i="15"/>
  <c r="H339" i="16"/>
  <c r="H341" i="16"/>
  <c r="H340" i="16" s="1"/>
  <c r="G327" i="16"/>
  <c r="G325" i="16"/>
  <c r="G324" i="16" s="1"/>
  <c r="H914" i="16"/>
  <c r="H912" i="16"/>
  <c r="H911" i="16" s="1"/>
  <c r="H910" i="16" s="1"/>
  <c r="H909" i="16" s="1"/>
  <c r="H605" i="15"/>
  <c r="H604" i="15"/>
  <c r="H674" i="15"/>
  <c r="H673" i="15" s="1"/>
  <c r="G673" i="15"/>
  <c r="H523" i="15"/>
  <c r="H522" i="15" s="1"/>
  <c r="H521" i="15" s="1"/>
  <c r="H520" i="15" s="1"/>
  <c r="H519" i="15" s="1"/>
  <c r="G522" i="15"/>
  <c r="G521" i="15" s="1"/>
  <c r="G520" i="15" s="1"/>
  <c r="G519" i="15" s="1"/>
  <c r="H684" i="15"/>
  <c r="H683" i="15" s="1"/>
  <c r="H682" i="15" s="1"/>
  <c r="G683" i="15"/>
  <c r="G682" i="15" s="1"/>
  <c r="H998" i="15"/>
  <c r="H997" i="15" s="1"/>
  <c r="H996" i="15" s="1"/>
  <c r="G997" i="15"/>
  <c r="G996" i="15" s="1"/>
  <c r="H653" i="15"/>
  <c r="H652" i="15" s="1"/>
  <c r="H210" i="16"/>
  <c r="G374" i="16"/>
  <c r="G373" i="16" s="1"/>
  <c r="G368" i="16" s="1"/>
  <c r="G367" i="16" s="1"/>
  <c r="G366" i="16" s="1"/>
  <c r="G365" i="16" s="1"/>
  <c r="G376" i="16"/>
  <c r="G640" i="16"/>
  <c r="G638" i="16"/>
  <c r="G637" i="16" s="1"/>
  <c r="G714" i="16"/>
  <c r="G712" i="16"/>
  <c r="G711" i="16" s="1"/>
  <c r="G706" i="16" s="1"/>
  <c r="G705" i="16" s="1"/>
  <c r="G644" i="16"/>
  <c r="G642" i="16"/>
  <c r="G641" i="16" s="1"/>
  <c r="G488" i="16"/>
  <c r="G486" i="16"/>
  <c r="G485" i="16" s="1"/>
  <c r="G484" i="16" s="1"/>
  <c r="G483" i="16" s="1"/>
  <c r="G482" i="16" s="1"/>
  <c r="G440" i="16" s="1"/>
  <c r="G439" i="16" s="1"/>
  <c r="G272" i="16"/>
  <c r="G271" i="16" s="1"/>
  <c r="G262" i="16" s="1"/>
  <c r="G261" i="16" s="1"/>
  <c r="G260" i="16" s="1"/>
  <c r="G244" i="16" s="1"/>
  <c r="G274" i="16"/>
  <c r="H26" i="17"/>
  <c r="H25" i="17" s="1"/>
  <c r="H24" i="17" s="1"/>
  <c r="H23" i="17" s="1"/>
  <c r="H22" i="17" s="1"/>
  <c r="H21" i="17" s="1"/>
  <c r="H39" i="17" s="1"/>
  <c r="H79" i="16"/>
  <c r="H332" i="16"/>
  <c r="H331" i="16" s="1"/>
  <c r="H334" i="16"/>
  <c r="H906" i="16"/>
  <c r="H904" i="16"/>
  <c r="H903" i="16" s="1"/>
  <c r="H902" i="16" s="1"/>
  <c r="H901" i="16" s="1"/>
  <c r="H900" i="16" s="1"/>
  <c r="H899" i="16" s="1"/>
  <c r="G626" i="16"/>
  <c r="G624" i="16"/>
  <c r="G620" i="16" s="1"/>
  <c r="H138" i="15"/>
  <c r="H137" i="15" s="1"/>
  <c r="H136" i="15" s="1"/>
  <c r="H135" i="15" s="1"/>
  <c r="H134" i="15" s="1"/>
  <c r="G137" i="15"/>
  <c r="G136" i="15" s="1"/>
  <c r="G135" i="15" s="1"/>
  <c r="G134" i="15" s="1"/>
  <c r="H187" i="15"/>
  <c r="H183" i="15" s="1"/>
  <c r="H182" i="15" s="1"/>
  <c r="G183" i="15"/>
  <c r="G182" i="15" s="1"/>
  <c r="G1135" i="15"/>
  <c r="H1135" i="15"/>
  <c r="H267" i="15"/>
  <c r="H266" i="15" s="1"/>
  <c r="H251" i="15" s="1"/>
  <c r="H250" i="15" s="1"/>
  <c r="H249" i="15" s="1"/>
  <c r="H248" i="15" s="1"/>
  <c r="G266" i="15"/>
  <c r="G251" i="15" s="1"/>
  <c r="G250" i="15" s="1"/>
  <c r="G249" i="15" s="1"/>
  <c r="G248" i="15" s="1"/>
  <c r="H566" i="15"/>
  <c r="H565" i="15" s="1"/>
  <c r="G565" i="15"/>
  <c r="G565" i="4"/>
  <c r="H594" i="15"/>
  <c r="H593" i="15" s="1"/>
  <c r="H592" i="15" s="1"/>
  <c r="G593" i="15"/>
  <c r="G592" i="15" s="1"/>
  <c r="H640" i="15"/>
  <c r="H639" i="15" s="1"/>
  <c r="G639" i="15"/>
  <c r="H667" i="15"/>
  <c r="H666" i="15" s="1"/>
  <c r="G666" i="15"/>
  <c r="H679" i="15"/>
  <c r="H678" i="15" s="1"/>
  <c r="H677" i="15" s="1"/>
  <c r="G678" i="15"/>
  <c r="G677" i="15" s="1"/>
  <c r="H706" i="15"/>
  <c r="H705" i="15" s="1"/>
  <c r="G705" i="15"/>
  <c r="H864" i="15"/>
  <c r="H863" i="15" s="1"/>
  <c r="H862" i="15" s="1"/>
  <c r="H861" i="15" s="1"/>
  <c r="G863" i="15"/>
  <c r="G862" i="15" s="1"/>
  <c r="G861" i="15" s="1"/>
  <c r="H877" i="15"/>
  <c r="H876" i="15" s="1"/>
  <c r="H875" i="15" s="1"/>
  <c r="H874" i="15" s="1"/>
  <c r="G876" i="15"/>
  <c r="G875" i="15" s="1"/>
  <c r="G874" i="15" s="1"/>
  <c r="G890" i="15"/>
  <c r="G889" i="15" s="1"/>
  <c r="H944" i="15"/>
  <c r="H943" i="15" s="1"/>
  <c r="G943" i="15"/>
  <c r="H936" i="15"/>
  <c r="H935" i="15" s="1"/>
  <c r="G935" i="15"/>
  <c r="H940" i="15"/>
  <c r="H939" i="15" s="1"/>
  <c r="G939" i="15"/>
  <c r="G777" i="16"/>
  <c r="G775" i="16"/>
  <c r="G774" i="16" s="1"/>
  <c r="G773" i="16" s="1"/>
  <c r="G772" i="16" s="1"/>
  <c r="G771" i="16" s="1"/>
  <c r="G756" i="16" s="1"/>
  <c r="H361" i="15"/>
  <c r="H360" i="15" s="1"/>
  <c r="G360" i="15"/>
  <c r="H617" i="16"/>
  <c r="H619" i="16"/>
  <c r="H618" i="16" s="1"/>
  <c r="C132" i="12"/>
  <c r="C133" i="12"/>
  <c r="D132" i="12"/>
  <c r="D74" i="12" s="1"/>
  <c r="D73" i="12" s="1"/>
  <c r="D133" i="12"/>
  <c r="G773" i="14"/>
  <c r="G772" i="14" s="1"/>
  <c r="F772" i="14"/>
  <c r="G197" i="14"/>
  <c r="G196" i="14" s="1"/>
  <c r="G191" i="14" s="1"/>
  <c r="F196" i="14"/>
  <c r="F191" i="14" s="1"/>
  <c r="G540" i="14"/>
  <c r="G539" i="14" s="1"/>
  <c r="G538" i="14" s="1"/>
  <c r="F539" i="14"/>
  <c r="F538" i="14" s="1"/>
  <c r="G934" i="14"/>
  <c r="G930" i="14" s="1"/>
  <c r="F930" i="14"/>
  <c r="G882" i="14"/>
  <c r="G881" i="14" s="1"/>
  <c r="G880" i="14" s="1"/>
  <c r="F881" i="14"/>
  <c r="F880" i="14" s="1"/>
  <c r="G618" i="14"/>
  <c r="G617" i="14" s="1"/>
  <c r="G616" i="14" s="1"/>
  <c r="F617" i="14"/>
  <c r="F616" i="14" s="1"/>
  <c r="G599" i="14"/>
  <c r="G226" i="14"/>
  <c r="G801" i="14"/>
  <c r="G797" i="14" s="1"/>
  <c r="F797" i="14"/>
  <c r="G358" i="14"/>
  <c r="G344" i="14" s="1"/>
  <c r="F344" i="14"/>
  <c r="G623" i="14"/>
  <c r="G622" i="14" s="1"/>
  <c r="G621" i="14" s="1"/>
  <c r="F622" i="14"/>
  <c r="F621" i="14" s="1"/>
  <c r="G334" i="14"/>
  <c r="G333" i="14" s="1"/>
  <c r="F333" i="14"/>
  <c r="G552" i="14"/>
  <c r="G551" i="14" s="1"/>
  <c r="F551" i="14"/>
  <c r="G418" i="14"/>
  <c r="G911" i="14"/>
  <c r="G910" i="14" s="1"/>
  <c r="F910" i="14"/>
  <c r="G190" i="16"/>
  <c r="G188" i="16"/>
  <c r="G187" i="16" s="1"/>
  <c r="G186" i="16" s="1"/>
  <c r="G163" i="16" s="1"/>
  <c r="G162" i="16" s="1"/>
  <c r="H190" i="16"/>
  <c r="H188" i="16"/>
  <c r="H187" i="16" s="1"/>
  <c r="H186" i="16" s="1"/>
  <c r="H163" i="16" s="1"/>
  <c r="H162" i="16" s="1"/>
  <c r="D8" i="1"/>
  <c r="H622" i="15"/>
  <c r="G622" i="15"/>
  <c r="G497" i="14"/>
  <c r="H1068" i="15"/>
  <c r="H1067" i="15" s="1"/>
  <c r="H1066" i="15" s="1"/>
  <c r="H1065" i="15" s="1"/>
  <c r="G1067" i="15"/>
  <c r="G1066" i="15" s="1"/>
  <c r="G1065" i="15" s="1"/>
  <c r="G12" i="14"/>
  <c r="G11" i="14" s="1"/>
  <c r="G10" i="14" s="1"/>
  <c r="G9" i="14" s="1"/>
  <c r="E11" i="13" s="1"/>
  <c r="F11" i="14"/>
  <c r="F10" i="14" s="1"/>
  <c r="F9" i="14" s="1"/>
  <c r="D11" i="13" s="1"/>
  <c r="H491" i="15"/>
  <c r="H490" i="15" s="1"/>
  <c r="G490" i="15"/>
  <c r="G824" i="14"/>
  <c r="G823" i="14" s="1"/>
  <c r="G822" i="14" s="1"/>
  <c r="F823" i="14"/>
  <c r="F822" i="14" s="1"/>
  <c r="H412" i="15"/>
  <c r="H411" i="15" s="1"/>
  <c r="H410" i="15" s="1"/>
  <c r="G411" i="15"/>
  <c r="G410" i="15" s="1"/>
  <c r="G755" i="14"/>
  <c r="G754" i="14" s="1"/>
  <c r="F754" i="14"/>
  <c r="H90" i="15"/>
  <c r="H89" i="15" s="1"/>
  <c r="H88" i="15" s="1"/>
  <c r="H87" i="15" s="1"/>
  <c r="G89" i="15"/>
  <c r="G88" i="15" s="1"/>
  <c r="G87" i="15" s="1"/>
  <c r="H13" i="15"/>
  <c r="H12" i="15" s="1"/>
  <c r="H11" i="15" s="1"/>
  <c r="H10" i="15" s="1"/>
  <c r="H9" i="15" s="1"/>
  <c r="G13" i="15"/>
  <c r="G12" i="15" s="1"/>
  <c r="G11" i="15" s="1"/>
  <c r="G10" i="15" s="1"/>
  <c r="G9" i="15" s="1"/>
  <c r="G108" i="14"/>
  <c r="F108" i="14"/>
  <c r="G812" i="5"/>
  <c r="H120" i="15"/>
  <c r="H115" i="15" s="1"/>
  <c r="F958" i="14"/>
  <c r="G958" i="14" s="1"/>
  <c r="F962" i="3"/>
  <c r="F961" i="3" s="1"/>
  <c r="F960" i="3" s="1"/>
  <c r="G304" i="15"/>
  <c r="J298" i="4"/>
  <c r="G310" i="15"/>
  <c r="H310" i="15" s="1"/>
  <c r="G1071" i="4"/>
  <c r="G1070" i="4" s="1"/>
  <c r="G555" i="15"/>
  <c r="J301" i="4"/>
  <c r="G622" i="4"/>
  <c r="G167" i="15"/>
  <c r="H167" i="15" s="1"/>
  <c r="G383" i="5"/>
  <c r="G381" i="5"/>
  <c r="G516" i="4"/>
  <c r="G515" i="4" s="1"/>
  <c r="G880" i="4"/>
  <c r="F730" i="3"/>
  <c r="F729" i="3" s="1"/>
  <c r="G639" i="4"/>
  <c r="F74" i="3"/>
  <c r="F71" i="14" s="1"/>
  <c r="G71" i="14" s="1"/>
  <c r="F724" i="3"/>
  <c r="F551" i="3"/>
  <c r="G108" i="5"/>
  <c r="G107" i="5" s="1"/>
  <c r="G187" i="5"/>
  <c r="G186" i="5" s="1"/>
  <c r="G164" i="5"/>
  <c r="G398" i="5"/>
  <c r="G155" i="5"/>
  <c r="G153" i="5"/>
  <c r="G152" i="5" s="1"/>
  <c r="G814" i="15"/>
  <c r="G744" i="4"/>
  <c r="G741" i="15"/>
  <c r="G731" i="15"/>
  <c r="G935" i="4"/>
  <c r="G932" i="15"/>
  <c r="G287" i="4"/>
  <c r="G294" i="15"/>
  <c r="G1049" i="15"/>
  <c r="H1139" i="15"/>
  <c r="G1139" i="15"/>
  <c r="H1140" i="15"/>
  <c r="G1140" i="15"/>
  <c r="G964" i="4"/>
  <c r="G964" i="15"/>
  <c r="G344" i="4"/>
  <c r="G351" i="15"/>
  <c r="G275" i="4"/>
  <c r="G282" i="15"/>
  <c r="G160" i="4"/>
  <c r="G158" i="4" s="1"/>
  <c r="G745" i="15"/>
  <c r="G798" i="4"/>
  <c r="G795" i="15"/>
  <c r="G436" i="4"/>
  <c r="G803" i="4"/>
  <c r="G800" i="15"/>
  <c r="G456" i="4"/>
  <c r="G179" i="4"/>
  <c r="G599" i="4"/>
  <c r="G1043" i="4"/>
  <c r="G315" i="4"/>
  <c r="G322" i="15"/>
  <c r="G501" i="4"/>
  <c r="G508" i="15"/>
  <c r="G213" i="4"/>
  <c r="G220" i="15"/>
  <c r="G830" i="4"/>
  <c r="G827" i="15"/>
  <c r="G202" i="4"/>
  <c r="G201" i="4" s="1"/>
  <c r="G103" i="4"/>
  <c r="G107" i="15"/>
  <c r="G931" i="4"/>
  <c r="G928" i="15"/>
  <c r="G336" i="4"/>
  <c r="G343" i="15"/>
  <c r="G322" i="4"/>
  <c r="G329" i="15"/>
  <c r="G173" i="4"/>
  <c r="G1105" i="4" s="1"/>
  <c r="G701" i="15"/>
  <c r="H701" i="15" s="1"/>
  <c r="H694" i="15" s="1"/>
  <c r="G1023" i="15"/>
  <c r="G861" i="4"/>
  <c r="G858" i="15"/>
  <c r="G791" i="4"/>
  <c r="G791" i="15"/>
  <c r="G1127" i="15"/>
  <c r="G781" i="4"/>
  <c r="G778" i="15"/>
  <c r="G694" i="4"/>
  <c r="G691" i="15"/>
  <c r="G363" i="4"/>
  <c r="G370" i="15"/>
  <c r="G666" i="4"/>
  <c r="G415" i="4"/>
  <c r="G422" i="15"/>
  <c r="G840" i="15"/>
  <c r="G652" i="4"/>
  <c r="F333" i="3"/>
  <c r="F332" i="3" s="1"/>
  <c r="G148" i="4"/>
  <c r="G152" i="15"/>
  <c r="G189" i="4"/>
  <c r="G1082" i="4"/>
  <c r="G1079" i="15"/>
  <c r="G713" i="4"/>
  <c r="G710" i="15"/>
  <c r="G446" i="4"/>
  <c r="G453" i="15"/>
  <c r="G509" i="4"/>
  <c r="G516" i="15"/>
  <c r="G12" i="4"/>
  <c r="G923" i="4"/>
  <c r="H920" i="15"/>
  <c r="H919" i="15" s="1"/>
  <c r="G677" i="4"/>
  <c r="G686" i="4"/>
  <c r="G398" i="4"/>
  <c r="G806" i="15"/>
  <c r="G1004" i="15"/>
  <c r="G1019" i="4"/>
  <c r="G1016" i="15"/>
  <c r="G613" i="15"/>
  <c r="G428" i="4"/>
  <c r="G435" i="15"/>
  <c r="G927" i="4"/>
  <c r="G924" i="15"/>
  <c r="G545" i="15"/>
  <c r="G85" i="4"/>
  <c r="G978" i="4"/>
  <c r="G978" i="15"/>
  <c r="G639" i="5"/>
  <c r="G638" i="5" s="1"/>
  <c r="G853" i="4"/>
  <c r="G725" i="4"/>
  <c r="G868" i="5"/>
  <c r="G457" i="15"/>
  <c r="G451" i="5"/>
  <c r="G885" i="5"/>
  <c r="G68" i="5"/>
  <c r="G921" i="5"/>
  <c r="G351" i="5"/>
  <c r="G301" i="5"/>
  <c r="G481" i="5"/>
  <c r="G78" i="5"/>
  <c r="G252" i="5"/>
  <c r="G368" i="5"/>
  <c r="G455" i="5"/>
  <c r="G637" i="5"/>
  <c r="G133" i="4"/>
  <c r="G905" i="5"/>
  <c r="G277" i="5"/>
  <c r="G803" i="5"/>
  <c r="G928" i="5"/>
  <c r="G248" i="5"/>
  <c r="G376" i="5"/>
  <c r="G103" i="5"/>
  <c r="G94" i="5"/>
  <c r="G267" i="5"/>
  <c r="G331" i="5"/>
  <c r="G622" i="5"/>
  <c r="G863" i="5"/>
  <c r="G914" i="5"/>
  <c r="F42" i="3"/>
  <c r="F64" i="3"/>
  <c r="F915" i="3"/>
  <c r="G271" i="5"/>
  <c r="G305" i="5"/>
  <c r="G313" i="5"/>
  <c r="G346" i="5"/>
  <c r="G341" i="5" s="1"/>
  <c r="G415" i="5"/>
  <c r="G461" i="5"/>
  <c r="G620" i="5"/>
  <c r="G721" i="5"/>
  <c r="G437" i="5"/>
  <c r="G488" i="5"/>
  <c r="G897" i="5"/>
  <c r="G847" i="5"/>
  <c r="G891" i="5"/>
  <c r="G878" i="5"/>
  <c r="G858" i="5"/>
  <c r="G790" i="5"/>
  <c r="G661" i="5"/>
  <c r="G61" i="5"/>
  <c r="F785" i="3"/>
  <c r="F782" i="14"/>
  <c r="F872" i="3"/>
  <c r="F709" i="3"/>
  <c r="F706" i="14"/>
  <c r="G706" i="14" s="1"/>
  <c r="F595" i="3"/>
  <c r="F367" i="3"/>
  <c r="F368" i="14"/>
  <c r="G368" i="14" s="1"/>
  <c r="F202" i="14"/>
  <c r="F201" i="3"/>
  <c r="F200" i="3"/>
  <c r="F625" i="3"/>
  <c r="F671" i="3"/>
  <c r="F670" i="14"/>
  <c r="G670" i="14" s="1"/>
  <c r="F579" i="3"/>
  <c r="F580" i="14"/>
  <c r="G580" i="14" s="1"/>
  <c r="F459" i="3"/>
  <c r="F460" i="14"/>
  <c r="G460" i="14" s="1"/>
  <c r="F144" i="3"/>
  <c r="F142" i="14"/>
  <c r="G142" i="14" s="1"/>
  <c r="F229" i="3"/>
  <c r="F230" i="14"/>
  <c r="G230" i="14" s="1"/>
  <c r="F191" i="3"/>
  <c r="F684" i="3"/>
  <c r="F680" i="14" s="1"/>
  <c r="G680" i="14" s="1"/>
  <c r="F681" i="14"/>
  <c r="G681" i="14" s="1"/>
  <c r="F641" i="3"/>
  <c r="F638" i="14"/>
  <c r="G638" i="14" s="1"/>
  <c r="F424" i="3"/>
  <c r="F425" i="14"/>
  <c r="G425" i="14" s="1"/>
  <c r="F407" i="3"/>
  <c r="F744" i="3"/>
  <c r="F901" i="3"/>
  <c r="F879" i="3"/>
  <c r="F872" i="14"/>
  <c r="G872" i="14" s="1"/>
  <c r="F568" i="3"/>
  <c r="F569" i="14"/>
  <c r="G569" i="14" s="1"/>
  <c r="F500" i="3"/>
  <c r="F500" i="14" s="1"/>
  <c r="G500" i="14" s="1"/>
  <c r="F501" i="14"/>
  <c r="G501" i="14" s="1"/>
  <c r="F574" i="3"/>
  <c r="F574" i="14" s="1"/>
  <c r="G574" i="14" s="1"/>
  <c r="F575" i="14"/>
  <c r="G575" i="14" s="1"/>
  <c r="F363" i="3"/>
  <c r="F375" i="3"/>
  <c r="F376" i="14"/>
  <c r="G376" i="14" s="1"/>
  <c r="F494" i="3"/>
  <c r="F494" i="14" s="1"/>
  <c r="G494" i="14" s="1"/>
  <c r="F495" i="14"/>
  <c r="G495" i="14" s="1"/>
  <c r="F602" i="3"/>
  <c r="F603" i="14"/>
  <c r="G603" i="14" s="1"/>
  <c r="F232" i="3"/>
  <c r="F233" i="14"/>
  <c r="F248" i="3"/>
  <c r="F249" i="14"/>
  <c r="G249" i="14" s="1"/>
  <c r="F681" i="3"/>
  <c r="F678" i="14"/>
  <c r="G678" i="14" s="1"/>
  <c r="F740" i="3"/>
  <c r="F737" i="14"/>
  <c r="G737" i="14" s="1"/>
  <c r="F996" i="3"/>
  <c r="F992" i="14"/>
  <c r="G992" i="14" s="1"/>
  <c r="F328" i="3"/>
  <c r="F328" i="14" s="1"/>
  <c r="G328" i="14" s="1"/>
  <c r="F329" i="14"/>
  <c r="G329" i="14" s="1"/>
  <c r="F687" i="3"/>
  <c r="F683" i="14" s="1"/>
  <c r="G683" i="14" s="1"/>
  <c r="F684" i="14"/>
  <c r="G684" i="14" s="1"/>
  <c r="F766" i="3"/>
  <c r="F757" i="3" s="1"/>
  <c r="F763" i="14"/>
  <c r="G267" i="14"/>
  <c r="G262" i="14" s="1"/>
  <c r="G261" i="14" s="1"/>
  <c r="F447" i="3"/>
  <c r="F69" i="3"/>
  <c r="F66" i="14" s="1"/>
  <c r="F960" i="14"/>
  <c r="G960" i="14" s="1"/>
  <c r="F883" i="3"/>
  <c r="F882" i="3" s="1"/>
  <c r="F876" i="14"/>
  <c r="G876" i="14" s="1"/>
  <c r="F531" i="3"/>
  <c r="F948" i="3"/>
  <c r="F944" i="14"/>
  <c r="G944" i="14" s="1"/>
  <c r="F851" i="3"/>
  <c r="F848" i="14"/>
  <c r="G848" i="14" s="1"/>
  <c r="F518" i="3"/>
  <c r="F519" i="14"/>
  <c r="G519" i="14" s="1"/>
  <c r="F466" i="3"/>
  <c r="F469" i="14"/>
  <c r="G469" i="14" s="1"/>
  <c r="F276" i="3"/>
  <c r="F279" i="14"/>
  <c r="G279" i="14" s="1"/>
  <c r="F205" i="3"/>
  <c r="F954" i="3"/>
  <c r="F950" i="14"/>
  <c r="G950" i="14" s="1"/>
  <c r="F869" i="3"/>
  <c r="F721" i="3"/>
  <c r="F582" i="3"/>
  <c r="F582" i="14" s="1"/>
  <c r="G582" i="14" s="1"/>
  <c r="F583" i="14"/>
  <c r="G583" i="14" s="1"/>
  <c r="F588" i="3"/>
  <c r="F588" i="14" s="1"/>
  <c r="G588" i="14" s="1"/>
  <c r="F589" i="14"/>
  <c r="G589" i="14" s="1"/>
  <c r="F258" i="3"/>
  <c r="F259" i="14"/>
  <c r="G259" i="14" s="1"/>
  <c r="F51" i="3"/>
  <c r="F51" i="14" s="1"/>
  <c r="G51" i="14" s="1"/>
  <c r="F52" i="14"/>
  <c r="G52" i="14" s="1"/>
  <c r="F441" i="3"/>
  <c r="F442" i="14"/>
  <c r="G442" i="14" s="1"/>
  <c r="F31" i="3"/>
  <c r="F32" i="14"/>
  <c r="G32" i="14" s="1"/>
  <c r="F592" i="3"/>
  <c r="F592" i="14" s="1"/>
  <c r="F593" i="14"/>
  <c r="G593" i="14" s="1"/>
  <c r="F320" i="3"/>
  <c r="F323" i="14"/>
  <c r="G323" i="14" s="1"/>
  <c r="F103" i="3"/>
  <c r="F101" i="14"/>
  <c r="G101" i="14" s="1"/>
  <c r="F838" i="3"/>
  <c r="F837" i="14"/>
  <c r="G837" i="14" s="1"/>
  <c r="F644" i="3"/>
  <c r="F640" i="14" s="1"/>
  <c r="G640" i="14" s="1"/>
  <c r="F641" i="14"/>
  <c r="G641" i="14" s="1"/>
  <c r="F325" i="3"/>
  <c r="F325" i="14" s="1"/>
  <c r="G325" i="14" s="1"/>
  <c r="F326" i="14"/>
  <c r="G326" i="14" s="1"/>
  <c r="F925" i="3"/>
  <c r="F921" i="14"/>
  <c r="F633" i="3"/>
  <c r="F630" i="14"/>
  <c r="F404" i="3"/>
  <c r="F404" i="14" s="1"/>
  <c r="F405" i="14"/>
  <c r="G405" i="14" s="1"/>
  <c r="F826" i="3"/>
  <c r="F888" i="3"/>
  <c r="F616" i="3"/>
  <c r="F975" i="3"/>
  <c r="F973" i="14"/>
  <c r="G973" i="14" s="1"/>
  <c r="F609" i="3"/>
  <c r="F610" i="14"/>
  <c r="G610" i="14" s="1"/>
  <c r="F653" i="3"/>
  <c r="F650" i="14"/>
  <c r="G650" i="14" s="1"/>
  <c r="F505" i="3"/>
  <c r="F506" i="14"/>
  <c r="G506" i="14" s="1"/>
  <c r="G553" i="5"/>
  <c r="G773" i="5"/>
  <c r="G771" i="5"/>
  <c r="G701" i="5"/>
  <c r="G699" i="5"/>
  <c r="G766" i="5"/>
  <c r="G764" i="5"/>
  <c r="G787" i="5"/>
  <c r="G785" i="5"/>
  <c r="G531" i="4"/>
  <c r="G751" i="5"/>
  <c r="G749" i="5"/>
  <c r="G496" i="5"/>
  <c r="G508" i="5"/>
  <c r="G397" i="5"/>
  <c r="G336" i="5"/>
  <c r="G338" i="5"/>
  <c r="G324" i="5"/>
  <c r="G241" i="5"/>
  <c r="G243" i="5"/>
  <c r="G228" i="5"/>
  <c r="G230" i="5"/>
  <c r="G220" i="5"/>
  <c r="G222" i="5"/>
  <c r="G199" i="5"/>
  <c r="G201" i="5"/>
  <c r="G207" i="5"/>
  <c r="G209" i="5"/>
  <c r="G85" i="5"/>
  <c r="G87" i="5"/>
  <c r="G44" i="5"/>
  <c r="G46" i="5"/>
  <c r="G20" i="5"/>
  <c r="G796" i="5"/>
  <c r="G30" i="5"/>
  <c r="F984" i="3"/>
  <c r="F162" i="3"/>
  <c r="G871" i="4"/>
  <c r="G866" i="4"/>
  <c r="I988" i="10"/>
  <c r="I989" i="10"/>
  <c r="I987" i="10"/>
  <c r="G534" i="11"/>
  <c r="C74" i="12" l="1"/>
  <c r="C73" i="12" s="1"/>
  <c r="G66" i="14"/>
  <c r="F57" i="14"/>
  <c r="H1110" i="15"/>
  <c r="G1110" i="15"/>
  <c r="H564" i="15"/>
  <c r="G564" i="15"/>
  <c r="H489" i="15"/>
  <c r="H488" i="15" s="1"/>
  <c r="G489" i="15"/>
  <c r="G488" i="15" s="1"/>
  <c r="F57" i="3"/>
  <c r="H376" i="16"/>
  <c r="G172" i="4"/>
  <c r="G171" i="4" s="1"/>
  <c r="G139" i="4"/>
  <c r="J335" i="4"/>
  <c r="G564" i="4"/>
  <c r="K1094" i="4"/>
  <c r="H682" i="16"/>
  <c r="F371" i="14"/>
  <c r="F370" i="14" s="1"/>
  <c r="F41" i="14"/>
  <c r="L301" i="4"/>
  <c r="J303" i="4"/>
  <c r="L298" i="4"/>
  <c r="J300" i="4"/>
  <c r="H768" i="15"/>
  <c r="H767" i="15" s="1"/>
  <c r="G1135" i="4"/>
  <c r="J362" i="4"/>
  <c r="G769" i="4"/>
  <c r="F132" i="3"/>
  <c r="J544" i="4"/>
  <c r="F151" i="14"/>
  <c r="F150" i="14" s="1"/>
  <c r="D144" i="12"/>
  <c r="D17" i="18" s="1"/>
  <c r="F73" i="12"/>
  <c r="G133" i="14"/>
  <c r="G129" i="14" s="1"/>
  <c r="E24" i="13"/>
  <c r="F332" i="14"/>
  <c r="G681" i="16"/>
  <c r="G192" i="16"/>
  <c r="G191" i="16" s="1"/>
  <c r="G161" i="16" s="1"/>
  <c r="F726" i="14"/>
  <c r="F725" i="14" s="1"/>
  <c r="F724" i="14" s="1"/>
  <c r="H1131" i="15"/>
  <c r="H439" i="16"/>
  <c r="H192" i="16"/>
  <c r="H191" i="16" s="1"/>
  <c r="H161" i="16" s="1"/>
  <c r="F957" i="14"/>
  <c r="F956" i="14" s="1"/>
  <c r="F955" i="14" s="1"/>
  <c r="H453" i="15"/>
  <c r="H452" i="15" s="1"/>
  <c r="G452" i="15"/>
  <c r="H508" i="15"/>
  <c r="H507" i="15" s="1"/>
  <c r="H506" i="15" s="1"/>
  <c r="G507" i="15"/>
  <c r="G506" i="15" s="1"/>
  <c r="H795" i="15"/>
  <c r="H794" i="15" s="1"/>
  <c r="G794" i="15"/>
  <c r="H741" i="15"/>
  <c r="H740" i="15" s="1"/>
  <c r="G740" i="15"/>
  <c r="G703" i="16"/>
  <c r="G704" i="16"/>
  <c r="H1016" i="15"/>
  <c r="H1015" i="15" s="1"/>
  <c r="G1015" i="15"/>
  <c r="H858" i="15"/>
  <c r="H857" i="15" s="1"/>
  <c r="H856" i="15" s="1"/>
  <c r="H855" i="15" s="1"/>
  <c r="H854" i="15" s="1"/>
  <c r="G857" i="15"/>
  <c r="G856" i="15" s="1"/>
  <c r="G855" i="15" s="1"/>
  <c r="G854" i="15" s="1"/>
  <c r="H442" i="15"/>
  <c r="G442" i="15"/>
  <c r="G332" i="14"/>
  <c r="H457" i="15"/>
  <c r="H456" i="15" s="1"/>
  <c r="G456" i="15"/>
  <c r="H516" i="15"/>
  <c r="H515" i="15" s="1"/>
  <c r="G515" i="15"/>
  <c r="H710" i="15"/>
  <c r="H709" i="15" s="1"/>
  <c r="H704" i="15" s="1"/>
  <c r="G709" i="15"/>
  <c r="G704" i="15" s="1"/>
  <c r="H1127" i="15"/>
  <c r="H329" i="15"/>
  <c r="H328" i="15" s="1"/>
  <c r="G328" i="15"/>
  <c r="H208" i="15"/>
  <c r="H1113" i="15" s="1"/>
  <c r="G208" i="15"/>
  <c r="G1113" i="15" s="1"/>
  <c r="H220" i="15"/>
  <c r="H219" i="15" s="1"/>
  <c r="H218" i="15" s="1"/>
  <c r="H217" i="15" s="1"/>
  <c r="H216" i="15" s="1"/>
  <c r="H215" i="15" s="1"/>
  <c r="G219" i="15"/>
  <c r="G218" i="15" s="1"/>
  <c r="G217" i="15" s="1"/>
  <c r="G216" i="15" s="1"/>
  <c r="G215" i="15" s="1"/>
  <c r="H322" i="15"/>
  <c r="H321" i="15" s="1"/>
  <c r="G321" i="15"/>
  <c r="G638" i="15"/>
  <c r="H328" i="16"/>
  <c r="H330" i="16"/>
  <c r="H329" i="16" s="1"/>
  <c r="G634" i="16"/>
  <c r="G636" i="16"/>
  <c r="G635" i="16" s="1"/>
  <c r="H908" i="16"/>
  <c r="H907" i="16"/>
  <c r="G908" i="16"/>
  <c r="G907" i="16"/>
  <c r="H319" i="16"/>
  <c r="H318" i="16" s="1"/>
  <c r="H317" i="16"/>
  <c r="H721" i="15"/>
  <c r="H720" i="15" s="1"/>
  <c r="H719" i="15" s="1"/>
  <c r="H718" i="15" s="1"/>
  <c r="H978" i="15"/>
  <c r="H974" i="15" s="1"/>
  <c r="H973" i="15" s="1"/>
  <c r="G974" i="15"/>
  <c r="G973" i="15" s="1"/>
  <c r="H827" i="15"/>
  <c r="H826" i="15" s="1"/>
  <c r="H825" i="15" s="1"/>
  <c r="H824" i="15" s="1"/>
  <c r="G826" i="15"/>
  <c r="G825" i="15" s="1"/>
  <c r="G824" i="15" s="1"/>
  <c r="H304" i="15"/>
  <c r="H303" i="15" s="1"/>
  <c r="G303" i="15"/>
  <c r="H1104" i="15"/>
  <c r="G74" i="16"/>
  <c r="G73" i="16"/>
  <c r="G27" i="16" s="1"/>
  <c r="H634" i="16"/>
  <c r="H596" i="16" s="1"/>
  <c r="H500" i="16" s="1"/>
  <c r="H636" i="16"/>
  <c r="H635" i="16" s="1"/>
  <c r="H435" i="15"/>
  <c r="H434" i="15" s="1"/>
  <c r="H433" i="15" s="1"/>
  <c r="H432" i="15" s="1"/>
  <c r="G434" i="15"/>
  <c r="G433" i="15" s="1"/>
  <c r="G432" i="15" s="1"/>
  <c r="H840" i="15"/>
  <c r="H836" i="15" s="1"/>
  <c r="H835" i="15" s="1"/>
  <c r="H834" i="15" s="1"/>
  <c r="H833" i="15" s="1"/>
  <c r="G836" i="15"/>
  <c r="G835" i="15" s="1"/>
  <c r="G834" i="15" s="1"/>
  <c r="G833" i="15" s="1"/>
  <c r="H791" i="15"/>
  <c r="H787" i="15" s="1"/>
  <c r="G787" i="15"/>
  <c r="H800" i="15"/>
  <c r="H799" i="15" s="1"/>
  <c r="H798" i="15" s="1"/>
  <c r="H1136" i="15" s="1"/>
  <c r="G799" i="15"/>
  <c r="G798" i="15" s="1"/>
  <c r="G1136" i="15" s="1"/>
  <c r="H555" i="15"/>
  <c r="H551" i="15" s="1"/>
  <c r="G551" i="15"/>
  <c r="H78" i="16"/>
  <c r="H77" i="16" s="1"/>
  <c r="H76" i="16" s="1"/>
  <c r="H75" i="16" s="1"/>
  <c r="H80" i="16"/>
  <c r="G330" i="16"/>
  <c r="G329" i="16" s="1"/>
  <c r="G328" i="16"/>
  <c r="G694" i="15"/>
  <c r="G317" i="16"/>
  <c r="G319" i="16"/>
  <c r="G318" i="16" s="1"/>
  <c r="H704" i="16"/>
  <c r="H703" i="16"/>
  <c r="H680" i="16" s="1"/>
  <c r="H294" i="15"/>
  <c r="H293" i="15" s="1"/>
  <c r="G293" i="15"/>
  <c r="G619" i="16"/>
  <c r="G618" i="16" s="1"/>
  <c r="G617" i="16"/>
  <c r="G1131" i="15"/>
  <c r="H638" i="15"/>
  <c r="H778" i="15"/>
  <c r="H777" i="15" s="1"/>
  <c r="G777" i="15"/>
  <c r="H928" i="15"/>
  <c r="H927" i="15" s="1"/>
  <c r="G927" i="15"/>
  <c r="H924" i="15"/>
  <c r="H923" i="15" s="1"/>
  <c r="G923" i="15"/>
  <c r="H932" i="15"/>
  <c r="H931" i="15" s="1"/>
  <c r="G931" i="15"/>
  <c r="H964" i="15"/>
  <c r="H960" i="15" s="1"/>
  <c r="H959" i="15" s="1"/>
  <c r="G960" i="15"/>
  <c r="G959" i="15" s="1"/>
  <c r="G958" i="15" s="1"/>
  <c r="G952" i="15" s="1"/>
  <c r="H613" i="15"/>
  <c r="H612" i="15" s="1"/>
  <c r="H611" i="15" s="1"/>
  <c r="G612" i="15"/>
  <c r="G611" i="15" s="1"/>
  <c r="H545" i="15"/>
  <c r="H544" i="15" s="1"/>
  <c r="G544" i="15"/>
  <c r="G921" i="14"/>
  <c r="G920" i="14" s="1"/>
  <c r="F920" i="14"/>
  <c r="G404" i="14"/>
  <c r="F490" i="14"/>
  <c r="F482" i="14" s="1"/>
  <c r="G490" i="14"/>
  <c r="G482" i="14" s="1"/>
  <c r="G978" i="14"/>
  <c r="G977" i="14" s="1"/>
  <c r="F978" i="14"/>
  <c r="F977" i="14" s="1"/>
  <c r="G592" i="14"/>
  <c r="G202" i="14"/>
  <c r="F201" i="14"/>
  <c r="F200" i="14"/>
  <c r="G630" i="14"/>
  <c r="G629" i="14" s="1"/>
  <c r="F629" i="14"/>
  <c r="H691" i="15"/>
  <c r="G690" i="15"/>
  <c r="H177" i="15"/>
  <c r="H176" i="15" s="1"/>
  <c r="H175" i="15" s="1"/>
  <c r="H174" i="15" s="1"/>
  <c r="G176" i="15"/>
  <c r="G175" i="15" s="1"/>
  <c r="G174" i="15" s="1"/>
  <c r="H163" i="15"/>
  <c r="H162" i="15" s="1"/>
  <c r="H161" i="15" s="1"/>
  <c r="G163" i="15"/>
  <c r="G162" i="15" s="1"/>
  <c r="G161" i="15" s="1"/>
  <c r="H1079" i="15"/>
  <c r="H1078" i="15" s="1"/>
  <c r="H1077" i="15" s="1"/>
  <c r="H1076" i="15" s="1"/>
  <c r="G1078" i="15"/>
  <c r="G1077" i="15" s="1"/>
  <c r="G1076" i="15" s="1"/>
  <c r="H1049" i="15"/>
  <c r="H1048" i="15" s="1"/>
  <c r="H1047" i="15" s="1"/>
  <c r="H1046" i="15" s="1"/>
  <c r="G1048" i="15"/>
  <c r="G1047" i="15" s="1"/>
  <c r="G1046" i="15" s="1"/>
  <c r="H1023" i="15"/>
  <c r="H1022" i="15" s="1"/>
  <c r="G1022" i="15"/>
  <c r="H1004" i="15"/>
  <c r="H1003" i="15" s="1"/>
  <c r="H1002" i="15" s="1"/>
  <c r="G1003" i="15"/>
  <c r="G1002" i="15" s="1"/>
  <c r="H814" i="15"/>
  <c r="H813" i="15" s="1"/>
  <c r="H812" i="15" s="1"/>
  <c r="G813" i="15"/>
  <c r="G812" i="15" s="1"/>
  <c r="H806" i="15"/>
  <c r="H805" i="15" s="1"/>
  <c r="H804" i="15" s="1"/>
  <c r="G805" i="15"/>
  <c r="G804" i="15" s="1"/>
  <c r="H745" i="15"/>
  <c r="H744" i="15" s="1"/>
  <c r="G744" i="15"/>
  <c r="H731" i="15"/>
  <c r="H730" i="15" s="1"/>
  <c r="H729" i="15" s="1"/>
  <c r="G730" i="15"/>
  <c r="G729" i="15" s="1"/>
  <c r="H422" i="15"/>
  <c r="H421" i="15" s="1"/>
  <c r="H420" i="15" s="1"/>
  <c r="G421" i="15"/>
  <c r="G420" i="15" s="1"/>
  <c r="G782" i="14"/>
  <c r="G781" i="14" s="1"/>
  <c r="G780" i="14" s="1"/>
  <c r="F781" i="14"/>
  <c r="F780" i="14" s="1"/>
  <c r="H370" i="15"/>
  <c r="H369" i="15" s="1"/>
  <c r="H368" i="15" s="1"/>
  <c r="G369" i="15"/>
  <c r="G368" i="15" s="1"/>
  <c r="G763" i="14"/>
  <c r="G762" i="14" s="1"/>
  <c r="G753" i="14" s="1"/>
  <c r="F762" i="14"/>
  <c r="F753" i="14" s="1"/>
  <c r="H351" i="15"/>
  <c r="H350" i="15" s="1"/>
  <c r="G350" i="15"/>
  <c r="H343" i="15"/>
  <c r="H342" i="15" s="1"/>
  <c r="G342" i="15"/>
  <c r="H282" i="15"/>
  <c r="H281" i="15" s="1"/>
  <c r="G281" i="15"/>
  <c r="H152" i="15"/>
  <c r="H151" i="15" s="1"/>
  <c r="H143" i="15" s="1"/>
  <c r="H142" i="15" s="1"/>
  <c r="H141" i="15" s="1"/>
  <c r="G151" i="15"/>
  <c r="G143" i="15" s="1"/>
  <c r="G142" i="15" s="1"/>
  <c r="G141" i="15" s="1"/>
  <c r="G233" i="14"/>
  <c r="G232" i="14" s="1"/>
  <c r="F232" i="14"/>
  <c r="H107" i="15"/>
  <c r="H106" i="15" s="1"/>
  <c r="H105" i="15" s="1"/>
  <c r="H104" i="15" s="1"/>
  <c r="G106" i="15"/>
  <c r="G105" i="15" s="1"/>
  <c r="G104" i="15" s="1"/>
  <c r="G41" i="14"/>
  <c r="H34" i="15"/>
  <c r="H33" i="15" s="1"/>
  <c r="H32" i="15" s="1"/>
  <c r="G34" i="15"/>
  <c r="G33" i="15" s="1"/>
  <c r="G32" i="15" s="1"/>
  <c r="G879" i="4"/>
  <c r="G878" i="4" s="1"/>
  <c r="G380" i="5"/>
  <c r="G375" i="5" s="1"/>
  <c r="G374" i="5" s="1"/>
  <c r="G808" i="4"/>
  <c r="G811" i="5"/>
  <c r="G810" i="5" s="1"/>
  <c r="G247" i="5"/>
  <c r="G552" i="5"/>
  <c r="G200" i="4"/>
  <c r="G84" i="4"/>
  <c r="G708" i="4"/>
  <c r="G188" i="4"/>
  <c r="G922" i="4"/>
  <c r="G892" i="4" s="1"/>
  <c r="G212" i="4"/>
  <c r="G414" i="4"/>
  <c r="G243" i="4"/>
  <c r="H1122" i="15"/>
  <c r="G1122" i="15"/>
  <c r="G977" i="4"/>
  <c r="G427" i="4"/>
  <c r="G1018" i="4"/>
  <c r="G11" i="4"/>
  <c r="G1081" i="4"/>
  <c r="G482" i="4"/>
  <c r="G102" i="4"/>
  <c r="G829" i="4"/>
  <c r="G500" i="4"/>
  <c r="G1042" i="4"/>
  <c r="G1129" i="4"/>
  <c r="G802" i="4"/>
  <c r="G1140" i="4" s="1"/>
  <c r="G1051" i="4"/>
  <c r="G543" i="4"/>
  <c r="G514" i="4"/>
  <c r="G1069" i="4"/>
  <c r="G1006" i="4"/>
  <c r="G508" i="4"/>
  <c r="G860" i="4"/>
  <c r="G693" i="4"/>
  <c r="G435" i="4"/>
  <c r="G1120" i="4"/>
  <c r="G963" i="4"/>
  <c r="G733" i="4"/>
  <c r="G1141" i="4"/>
  <c r="G611" i="4"/>
  <c r="G789" i="5"/>
  <c r="G788" i="5" s="1"/>
  <c r="G839" i="4"/>
  <c r="G163" i="5"/>
  <c r="F9" i="3"/>
  <c r="D11" i="2" s="1"/>
  <c r="G530" i="4"/>
  <c r="G852" i="4"/>
  <c r="F490" i="3"/>
  <c r="F482" i="3" s="1"/>
  <c r="G724" i="4"/>
  <c r="G300" i="5"/>
  <c r="G709" i="5"/>
  <c r="G708" i="5" s="1"/>
  <c r="G707" i="5" s="1"/>
  <c r="G445" i="4"/>
  <c r="J208" i="4" s="1"/>
  <c r="L1100" i="4" s="1"/>
  <c r="G795" i="5"/>
  <c r="G206" i="5"/>
  <c r="G219" i="5"/>
  <c r="G240" i="5"/>
  <c r="G495" i="5"/>
  <c r="G896" i="5"/>
  <c r="G405" i="5"/>
  <c r="G884" i="5"/>
  <c r="G319" i="5"/>
  <c r="G763" i="5"/>
  <c r="G770" i="5"/>
  <c r="G857" i="5"/>
  <c r="G102" i="5"/>
  <c r="G802" i="5"/>
  <c r="G335" i="5"/>
  <c r="G330" i="5" s="1"/>
  <c r="G507" i="5"/>
  <c r="G748" i="5"/>
  <c r="G784" i="5"/>
  <c r="G692" i="5"/>
  <c r="G913" i="5"/>
  <c r="G621" i="5"/>
  <c r="G93" i="5"/>
  <c r="G926" i="5"/>
  <c r="G927" i="5"/>
  <c r="G276" i="5"/>
  <c r="G132" i="4"/>
  <c r="G660" i="5"/>
  <c r="G653" i="5" s="1"/>
  <c r="G652" i="5" s="1"/>
  <c r="G894" i="5"/>
  <c r="G890" i="5"/>
  <c r="G436" i="5"/>
  <c r="G367" i="5"/>
  <c r="G77" i="5"/>
  <c r="G920" i="5"/>
  <c r="G19" i="5"/>
  <c r="G340" i="5"/>
  <c r="G904" i="5"/>
  <c r="G67" i="5"/>
  <c r="G84" i="5"/>
  <c r="G198" i="5"/>
  <c r="G227" i="5"/>
  <c r="G262" i="5"/>
  <c r="G446" i="5"/>
  <c r="G60" i="5"/>
  <c r="G877" i="5"/>
  <c r="G846" i="5"/>
  <c r="G487" i="5"/>
  <c r="G776" i="5"/>
  <c r="G460" i="5"/>
  <c r="G339" i="5"/>
  <c r="G151" i="5"/>
  <c r="G601" i="5"/>
  <c r="G476" i="5"/>
  <c r="F900" i="3"/>
  <c r="F896" i="14"/>
  <c r="F459" i="14"/>
  <c r="F458" i="3"/>
  <c r="F670" i="3"/>
  <c r="F667" i="14"/>
  <c r="F652" i="3"/>
  <c r="F649" i="14"/>
  <c r="F974" i="3"/>
  <c r="F970" i="14"/>
  <c r="F320" i="14"/>
  <c r="F319" i="3"/>
  <c r="F31" i="14"/>
  <c r="F30" i="3"/>
  <c r="F720" i="3"/>
  <c r="F953" i="3"/>
  <c r="F949" i="14"/>
  <c r="F275" i="3"/>
  <c r="F276" i="14"/>
  <c r="F947" i="3"/>
  <c r="F943" i="14"/>
  <c r="F875" i="14"/>
  <c r="F262" i="3"/>
  <c r="F995" i="3"/>
  <c r="F991" i="14"/>
  <c r="F677" i="14"/>
  <c r="F680" i="3"/>
  <c r="F728" i="3"/>
  <c r="F598" i="3"/>
  <c r="F602" i="14"/>
  <c r="F374" i="3"/>
  <c r="F375" i="14"/>
  <c r="F561" i="3"/>
  <c r="F568" i="14"/>
  <c r="F743" i="3"/>
  <c r="F740" i="14"/>
  <c r="F366" i="3"/>
  <c r="F367" i="14"/>
  <c r="F708" i="3"/>
  <c r="F705" i="14"/>
  <c r="F784" i="3"/>
  <c r="F403" i="3"/>
  <c r="F407" i="14"/>
  <c r="G407" i="14" s="1"/>
  <c r="F637" i="14"/>
  <c r="F637" i="3"/>
  <c r="F143" i="3"/>
  <c r="F141" i="14"/>
  <c r="F579" i="14"/>
  <c r="F578" i="3"/>
  <c r="F161" i="3"/>
  <c r="F162" i="14"/>
  <c r="F417" i="3"/>
  <c r="F424" i="14"/>
  <c r="F229" i="14"/>
  <c r="F225" i="3"/>
  <c r="F514" i="3"/>
  <c r="F518" i="14"/>
  <c r="F505" i="14"/>
  <c r="F504" i="3"/>
  <c r="F605" i="3"/>
  <c r="F609" i="14"/>
  <c r="F614" i="3"/>
  <c r="F834" i="14"/>
  <c r="F837" i="3"/>
  <c r="F102" i="3"/>
  <c r="F100" i="14"/>
  <c r="F99" i="14" s="1"/>
  <c r="F441" i="14"/>
  <c r="F440" i="3"/>
  <c r="F439" i="3"/>
  <c r="F257" i="3"/>
  <c r="F258" i="14"/>
  <c r="F868" i="3"/>
  <c r="F465" i="3"/>
  <c r="F466" i="14"/>
  <c r="F850" i="3"/>
  <c r="F847" i="14"/>
  <c r="F446" i="3"/>
  <c r="F447" i="14"/>
  <c r="F739" i="3"/>
  <c r="F736" i="14"/>
  <c r="F244" i="3"/>
  <c r="F248" i="14"/>
  <c r="F41" i="3"/>
  <c r="F362" i="3"/>
  <c r="F878" i="3"/>
  <c r="F871" i="14"/>
  <c r="F591" i="3"/>
  <c r="G1137" i="4"/>
  <c r="G29" i="5"/>
  <c r="G317" i="5"/>
  <c r="G43" i="5"/>
  <c r="G11" i="5"/>
  <c r="F983" i="3"/>
  <c r="I981" i="10"/>
  <c r="G1126" i="4"/>
  <c r="G865" i="4"/>
  <c r="E73" i="12" l="1"/>
  <c r="E75" i="12" s="1"/>
  <c r="C144" i="12"/>
  <c r="D51" i="13" s="1"/>
  <c r="H1107" i="15"/>
  <c r="G689" i="15"/>
  <c r="G1107" i="15"/>
  <c r="G341" i="15"/>
  <c r="G340" i="15" s="1"/>
  <c r="G339" i="15" s="1"/>
  <c r="G514" i="15"/>
  <c r="G505" i="15" s="1"/>
  <c r="G487" i="15" s="1"/>
  <c r="G486" i="15" s="1"/>
  <c r="G1096" i="15"/>
  <c r="H1090" i="15"/>
  <c r="J1091" i="15" s="1"/>
  <c r="H341" i="15"/>
  <c r="H514" i="15"/>
  <c r="H505" i="15" s="1"/>
  <c r="H487" i="15" s="1"/>
  <c r="H486" i="15" s="1"/>
  <c r="H1096" i="15"/>
  <c r="G1090" i="15"/>
  <c r="G57" i="14"/>
  <c r="G40" i="14" s="1"/>
  <c r="G39" i="14" s="1"/>
  <c r="E13" i="13" s="1"/>
  <c r="H441" i="15"/>
  <c r="G441" i="15"/>
  <c r="I1091" i="15"/>
  <c r="F503" i="3"/>
  <c r="G499" i="4"/>
  <c r="G371" i="14"/>
  <c r="G370" i="14" s="1"/>
  <c r="N298" i="4"/>
  <c r="D115" i="1"/>
  <c r="N301" i="4"/>
  <c r="D114" i="1"/>
  <c r="G596" i="16"/>
  <c r="G500" i="16" s="1"/>
  <c r="G334" i="4"/>
  <c r="G768" i="4"/>
  <c r="G151" i="14"/>
  <c r="G150" i="14" s="1"/>
  <c r="G207" i="15"/>
  <c r="G206" i="15" s="1"/>
  <c r="G190" i="15" s="1"/>
  <c r="H207" i="15"/>
  <c r="H206" i="15" s="1"/>
  <c r="H190" i="15" s="1"/>
  <c r="G31" i="15"/>
  <c r="H31" i="15"/>
  <c r="E51" i="13"/>
  <c r="G680" i="16"/>
  <c r="G726" i="14"/>
  <c r="G725" i="14" s="1"/>
  <c r="G724" i="14" s="1"/>
  <c r="G280" i="15"/>
  <c r="G279" i="15" s="1"/>
  <c r="G278" i="15" s="1"/>
  <c r="H766" i="15"/>
  <c r="H765" i="15" s="1"/>
  <c r="H764" i="15" s="1"/>
  <c r="G451" i="15"/>
  <c r="G1101" i="15"/>
  <c r="G766" i="15"/>
  <c r="G765" i="15" s="1"/>
  <c r="G764" i="15" s="1"/>
  <c r="G141" i="14"/>
  <c r="G140" i="14" s="1"/>
  <c r="F140" i="14"/>
  <c r="G957" i="14"/>
  <c r="G956" i="14" s="1"/>
  <c r="G955" i="14" s="1"/>
  <c r="H739" i="15"/>
  <c r="H728" i="15" s="1"/>
  <c r="G1014" i="15"/>
  <c r="G1001" i="15" s="1"/>
  <c r="H280" i="15"/>
  <c r="H279" i="15" s="1"/>
  <c r="H278" i="15" s="1"/>
  <c r="G543" i="15"/>
  <c r="G542" i="15" s="1"/>
  <c r="G541" i="15" s="1"/>
  <c r="H543" i="15"/>
  <c r="H542" i="15" s="1"/>
  <c r="H541" i="15" s="1"/>
  <c r="H320" i="15"/>
  <c r="H319" i="15" s="1"/>
  <c r="H318" i="15" s="1"/>
  <c r="H451" i="15"/>
  <c r="H440" i="15" s="1"/>
  <c r="H439" i="15" s="1"/>
  <c r="H438" i="15" s="1"/>
  <c r="H1101" i="15"/>
  <c r="H1045" i="15"/>
  <c r="H1044" i="15" s="1"/>
  <c r="H160" i="15"/>
  <c r="H958" i="15"/>
  <c r="H952" i="15" s="1"/>
  <c r="G688" i="15"/>
  <c r="G687" i="15" s="1"/>
  <c r="H409" i="15"/>
  <c r="H1014" i="15"/>
  <c r="H1001" i="15" s="1"/>
  <c r="G610" i="15"/>
  <c r="G609" i="15" s="1"/>
  <c r="H918" i="15"/>
  <c r="H888" i="15" s="1"/>
  <c r="H74" i="16"/>
  <c r="H73" i="16"/>
  <c r="H27" i="16" s="1"/>
  <c r="F40" i="14"/>
  <c r="F39" i="14" s="1"/>
  <c r="D13" i="13" s="1"/>
  <c r="G409" i="15"/>
  <c r="G803" i="15"/>
  <c r="H297" i="16"/>
  <c r="H160" i="16" s="1"/>
  <c r="H939" i="16" s="1"/>
  <c r="G739" i="15"/>
  <c r="G728" i="15" s="1"/>
  <c r="G1045" i="15"/>
  <c r="G160" i="15"/>
  <c r="G297" i="16"/>
  <c r="G160" i="16" s="1"/>
  <c r="G320" i="15"/>
  <c r="G319" i="15" s="1"/>
  <c r="G318" i="15" s="1"/>
  <c r="H610" i="15"/>
  <c r="H609" i="15" s="1"/>
  <c r="G918" i="15"/>
  <c r="G888" i="15" s="1"/>
  <c r="G752" i="14"/>
  <c r="G751" i="14" s="1"/>
  <c r="E38" i="13" s="1"/>
  <c r="F752" i="14"/>
  <c r="F751" i="14" s="1"/>
  <c r="D38" i="13" s="1"/>
  <c r="G736" i="14"/>
  <c r="G735" i="14" s="1"/>
  <c r="F735" i="14"/>
  <c r="G847" i="14"/>
  <c r="G846" i="14" s="1"/>
  <c r="G845" i="14" s="1"/>
  <c r="G844" i="14" s="1"/>
  <c r="F846" i="14"/>
  <c r="F845" i="14" s="1"/>
  <c r="F844" i="14" s="1"/>
  <c r="G860" i="14"/>
  <c r="G859" i="14" s="1"/>
  <c r="F860" i="14"/>
  <c r="F859" i="14" s="1"/>
  <c r="G609" i="14"/>
  <c r="G605" i="14" s="1"/>
  <c r="F605" i="14"/>
  <c r="G229" i="14"/>
  <c r="G225" i="14" s="1"/>
  <c r="G224" i="14" s="1"/>
  <c r="G223" i="14" s="1"/>
  <c r="F225" i="14"/>
  <c r="F224" i="14" s="1"/>
  <c r="F223" i="14" s="1"/>
  <c r="G367" i="14"/>
  <c r="G366" i="14" s="1"/>
  <c r="F366" i="14"/>
  <c r="G568" i="14"/>
  <c r="G561" i="14" s="1"/>
  <c r="G550" i="14" s="1"/>
  <c r="F561" i="14"/>
  <c r="F550" i="14" s="1"/>
  <c r="G602" i="14"/>
  <c r="G598" i="14" s="1"/>
  <c r="F598" i="14"/>
  <c r="G677" i="14"/>
  <c r="G676" i="14" s="1"/>
  <c r="F676" i="14"/>
  <c r="G875" i="14"/>
  <c r="G874" i="14" s="1"/>
  <c r="F874" i="14"/>
  <c r="G716" i="14"/>
  <c r="G715" i="14" s="1"/>
  <c r="G714" i="14" s="1"/>
  <c r="F716" i="14"/>
  <c r="F715" i="14" s="1"/>
  <c r="F714" i="14" s="1"/>
  <c r="G320" i="14"/>
  <c r="G319" i="14" s="1"/>
  <c r="G318" i="14" s="1"/>
  <c r="G317" i="14" s="1"/>
  <c r="E27" i="13" s="1"/>
  <c r="F319" i="14"/>
  <c r="F318" i="14" s="1"/>
  <c r="F317" i="14" s="1"/>
  <c r="D27" i="13" s="1"/>
  <c r="G459" i="14"/>
  <c r="G458" i="14" s="1"/>
  <c r="F458" i="14"/>
  <c r="G424" i="14"/>
  <c r="G417" i="14" s="1"/>
  <c r="G416" i="14" s="1"/>
  <c r="F417" i="14"/>
  <c r="F416" i="14" s="1"/>
  <c r="G943" i="14"/>
  <c r="G942" i="14" s="1"/>
  <c r="G941" i="14" s="1"/>
  <c r="F942" i="14"/>
  <c r="F941" i="14" s="1"/>
  <c r="G970" i="14"/>
  <c r="G969" i="14" s="1"/>
  <c r="G968" i="14" s="1"/>
  <c r="G967" i="14" s="1"/>
  <c r="F969" i="14"/>
  <c r="F968" i="14" s="1"/>
  <c r="F967" i="14" s="1"/>
  <c r="G896" i="14"/>
  <c r="G895" i="14" s="1"/>
  <c r="G894" i="14" s="1"/>
  <c r="G893" i="14" s="1"/>
  <c r="E43" i="13" s="1"/>
  <c r="F895" i="14"/>
  <c r="F894" i="14" s="1"/>
  <c r="F893" i="14" s="1"/>
  <c r="D43" i="13" s="1"/>
  <c r="G200" i="14"/>
  <c r="G201" i="14"/>
  <c r="G518" i="14"/>
  <c r="G514" i="14" s="1"/>
  <c r="F514" i="14"/>
  <c r="G991" i="14"/>
  <c r="G990" i="14" s="1"/>
  <c r="G989" i="14" s="1"/>
  <c r="G976" i="14" s="1"/>
  <c r="F990" i="14"/>
  <c r="F989" i="14" s="1"/>
  <c r="F976" i="14" s="1"/>
  <c r="G667" i="14"/>
  <c r="G666" i="14" s="1"/>
  <c r="G653" i="14" s="1"/>
  <c r="G652" i="14" s="1"/>
  <c r="F666" i="14"/>
  <c r="G258" i="14"/>
  <c r="G257" i="14" s="1"/>
  <c r="G256" i="14" s="1"/>
  <c r="G255" i="14" s="1"/>
  <c r="F257" i="14"/>
  <c r="F256" i="14" s="1"/>
  <c r="F255" i="14" s="1"/>
  <c r="D23" i="13" s="1"/>
  <c r="G441" i="14"/>
  <c r="F439" i="14"/>
  <c r="F440" i="14"/>
  <c r="G579" i="14"/>
  <c r="G578" i="14" s="1"/>
  <c r="F578" i="14"/>
  <c r="G637" i="14"/>
  <c r="G633" i="14" s="1"/>
  <c r="G628" i="14" s="1"/>
  <c r="F633" i="14"/>
  <c r="F628" i="14" s="1"/>
  <c r="G705" i="14"/>
  <c r="G704" i="14" s="1"/>
  <c r="G696" i="14" s="1"/>
  <c r="G695" i="14" s="1"/>
  <c r="F704" i="14"/>
  <c r="F696" i="14" s="1"/>
  <c r="F695" i="14" s="1"/>
  <c r="G375" i="14"/>
  <c r="G374" i="14" s="1"/>
  <c r="F374" i="14"/>
  <c r="F591" i="14"/>
  <c r="F403" i="14"/>
  <c r="F402" i="14" s="1"/>
  <c r="G871" i="14"/>
  <c r="G870" i="14" s="1"/>
  <c r="F870" i="14"/>
  <c r="G505" i="14"/>
  <c r="G504" i="14" s="1"/>
  <c r="F504" i="14"/>
  <c r="G162" i="14"/>
  <c r="G161" i="14" s="1"/>
  <c r="G160" i="14" s="1"/>
  <c r="G159" i="14" s="1"/>
  <c r="F161" i="14"/>
  <c r="F160" i="14" s="1"/>
  <c r="F159" i="14" s="1"/>
  <c r="G649" i="14"/>
  <c r="G648" i="14" s="1"/>
  <c r="G643" i="14" s="1"/>
  <c r="F648" i="14"/>
  <c r="F643" i="14" s="1"/>
  <c r="G591" i="14"/>
  <c r="G403" i="14"/>
  <c r="G402" i="14" s="1"/>
  <c r="H689" i="15"/>
  <c r="H688" i="15" s="1"/>
  <c r="H687" i="15" s="1"/>
  <c r="H690" i="15"/>
  <c r="G276" i="14"/>
  <c r="G275" i="14" s="1"/>
  <c r="G274" i="14" s="1"/>
  <c r="G273" i="14" s="1"/>
  <c r="E25" i="13" s="1"/>
  <c r="F275" i="14"/>
  <c r="F274" i="14" s="1"/>
  <c r="F273" i="14" s="1"/>
  <c r="D25" i="13" s="1"/>
  <c r="G248" i="14"/>
  <c r="G244" i="14" s="1"/>
  <c r="G243" i="14" s="1"/>
  <c r="G242" i="14" s="1"/>
  <c r="F244" i="14"/>
  <c r="F243" i="14" s="1"/>
  <c r="F242" i="14" s="1"/>
  <c r="G100" i="14"/>
  <c r="G99" i="14" s="1"/>
  <c r="G98" i="14" s="1"/>
  <c r="G97" i="14" s="1"/>
  <c r="E14" i="13" s="1"/>
  <c r="F98" i="14"/>
  <c r="F97" i="14" s="1"/>
  <c r="D14" i="13" s="1"/>
  <c r="G31" i="14"/>
  <c r="G30" i="14" s="1"/>
  <c r="G29" i="14" s="1"/>
  <c r="G28" i="14" s="1"/>
  <c r="E12" i="13" s="1"/>
  <c r="F30" i="14"/>
  <c r="F29" i="14" s="1"/>
  <c r="F28" i="14" s="1"/>
  <c r="G466" i="14"/>
  <c r="G465" i="14" s="1"/>
  <c r="F465" i="14"/>
  <c r="G1005" i="4"/>
  <c r="G447" i="14"/>
  <c r="G446" i="14" s="1"/>
  <c r="G445" i="14" s="1"/>
  <c r="F446" i="14"/>
  <c r="F445" i="14" s="1"/>
  <c r="H803" i="15"/>
  <c r="G949" i="14"/>
  <c r="G948" i="14" s="1"/>
  <c r="G947" i="14" s="1"/>
  <c r="F948" i="14"/>
  <c r="F947" i="14" s="1"/>
  <c r="G740" i="14"/>
  <c r="G739" i="14" s="1"/>
  <c r="F739" i="14"/>
  <c r="G834" i="14"/>
  <c r="G833" i="14" s="1"/>
  <c r="G832" i="14" s="1"/>
  <c r="F833" i="14"/>
  <c r="F832" i="14" s="1"/>
  <c r="J24" i="4"/>
  <c r="L1099" i="4" s="1"/>
  <c r="J480" i="4"/>
  <c r="L1101" i="4" s="1"/>
  <c r="G551" i="5"/>
  <c r="G550" i="5" s="1"/>
  <c r="G157" i="4"/>
  <c r="G81" i="5"/>
  <c r="G246" i="5"/>
  <c r="G245" i="5" s="1"/>
  <c r="G687" i="5"/>
  <c r="G686" i="5" s="1"/>
  <c r="G299" i="5"/>
  <c r="G298" i="5" s="1"/>
  <c r="G162" i="5"/>
  <c r="G692" i="4"/>
  <c r="G513" i="4"/>
  <c r="G1041" i="4"/>
  <c r="G10" i="4"/>
  <c r="G9" i="4" s="1"/>
  <c r="G426" i="4"/>
  <c r="G732" i="4"/>
  <c r="G838" i="4"/>
  <c r="G962" i="4"/>
  <c r="G211" i="4"/>
  <c r="G187" i="4"/>
  <c r="G610" i="4"/>
  <c r="G138" i="4"/>
  <c r="H1116" i="15"/>
  <c r="G1116" i="15"/>
  <c r="G1142" i="4"/>
  <c r="G1050" i="4"/>
  <c r="G1138" i="4"/>
  <c r="G101" i="4"/>
  <c r="G273" i="4"/>
  <c r="H1137" i="15"/>
  <c r="G1137" i="15"/>
  <c r="G859" i="4"/>
  <c r="H1125" i="15"/>
  <c r="G1125" i="15"/>
  <c r="G828" i="4"/>
  <c r="G1080" i="4"/>
  <c r="G542" i="4"/>
  <c r="G242" i="4"/>
  <c r="G318" i="5"/>
  <c r="G851" i="4"/>
  <c r="G723" i="4"/>
  <c r="G210" i="5"/>
  <c r="G434" i="4"/>
  <c r="G83" i="5"/>
  <c r="G82" i="5" s="1"/>
  <c r="G150" i="5"/>
  <c r="G261" i="5"/>
  <c r="G42" i="5"/>
  <c r="G845" i="5"/>
  <c r="G131" i="4"/>
  <c r="G933" i="5"/>
  <c r="G762" i="5"/>
  <c r="G883" i="5"/>
  <c r="G895" i="5"/>
  <c r="G494" i="5"/>
  <c r="G193" i="5"/>
  <c r="G486" i="5"/>
  <c r="G600" i="5"/>
  <c r="G775" i="5"/>
  <c r="G59" i="5"/>
  <c r="G903" i="5"/>
  <c r="G76" i="5"/>
  <c r="G434" i="5"/>
  <c r="G435" i="5"/>
  <c r="G275" i="5"/>
  <c r="G743" i="5"/>
  <c r="G373" i="5"/>
  <c r="G329" i="5"/>
  <c r="G475" i="5"/>
  <c r="G459" i="5"/>
  <c r="G65" i="5"/>
  <c r="G66" i="5"/>
  <c r="G18" i="5"/>
  <c r="G918" i="5"/>
  <c r="G919" i="5"/>
  <c r="G366" i="5"/>
  <c r="G912" i="5"/>
  <c r="G783" i="5"/>
  <c r="G506" i="5"/>
  <c r="G328" i="5"/>
  <c r="G101" i="5"/>
  <c r="G809" i="5"/>
  <c r="G231" i="5"/>
  <c r="G445" i="5"/>
  <c r="G889" i="5"/>
  <c r="G91" i="5"/>
  <c r="G92" i="5"/>
  <c r="G769" i="5"/>
  <c r="G404" i="5"/>
  <c r="G706" i="5"/>
  <c r="F657" i="3"/>
  <c r="F29" i="3"/>
  <c r="F361" i="3"/>
  <c r="F331" i="3" s="1"/>
  <c r="F416" i="3"/>
  <c r="F550" i="3"/>
  <c r="F261" i="3"/>
  <c r="F952" i="3"/>
  <c r="F973" i="3"/>
  <c r="F899" i="3"/>
  <c r="F982" i="3"/>
  <c r="F445" i="3"/>
  <c r="F256" i="3"/>
  <c r="F224" i="3"/>
  <c r="F719" i="3"/>
  <c r="F318" i="3"/>
  <c r="F457" i="3"/>
  <c r="F243" i="3"/>
  <c r="F849" i="3"/>
  <c r="F867" i="3"/>
  <c r="F836" i="3"/>
  <c r="F632" i="3"/>
  <c r="F946" i="3"/>
  <c r="F877" i="3"/>
  <c r="F756" i="3"/>
  <c r="F101" i="3"/>
  <c r="F613" i="3"/>
  <c r="F614" i="14"/>
  <c r="G614" i="14" s="1"/>
  <c r="F160" i="3"/>
  <c r="F131" i="3"/>
  <c r="F402" i="3"/>
  <c r="F700" i="3"/>
  <c r="F738" i="3"/>
  <c r="F994" i="3"/>
  <c r="F274" i="3"/>
  <c r="F647" i="3"/>
  <c r="F40" i="3"/>
  <c r="D74" i="1"/>
  <c r="H1133" i="15"/>
  <c r="G1133" i="15"/>
  <c r="G536" i="5"/>
  <c r="I1094" i="4"/>
  <c r="C17" i="18" l="1"/>
  <c r="F503" i="14"/>
  <c r="F481" i="14" s="1"/>
  <c r="F480" i="14" s="1"/>
  <c r="D32" i="13" s="1"/>
  <c r="G440" i="15"/>
  <c r="G439" i="15" s="1"/>
  <c r="G438" i="15" s="1"/>
  <c r="G1044" i="15"/>
  <c r="G1094" i="15"/>
  <c r="G503" i="14"/>
  <c r="G481" i="14" s="1"/>
  <c r="G480" i="14" s="1"/>
  <c r="E32" i="13" s="1"/>
  <c r="G297" i="5"/>
  <c r="G939" i="16"/>
  <c r="G30" i="15"/>
  <c r="H30" i="15"/>
  <c r="E23" i="13"/>
  <c r="G241" i="14"/>
  <c r="G277" i="15"/>
  <c r="H277" i="15"/>
  <c r="G540" i="15"/>
  <c r="G529" i="15" s="1"/>
  <c r="G338" i="15"/>
  <c r="H1094" i="15"/>
  <c r="F869" i="14"/>
  <c r="F858" i="14" s="1"/>
  <c r="F857" i="14" s="1"/>
  <c r="F694" i="14"/>
  <c r="D35" i="13" s="1"/>
  <c r="G222" i="14"/>
  <c r="E20" i="13"/>
  <c r="E19" i="13" s="1"/>
  <c r="G734" i="14"/>
  <c r="G723" i="14" s="1"/>
  <c r="E36" i="13" s="1"/>
  <c r="G694" i="14"/>
  <c r="E35" i="13" s="1"/>
  <c r="F821" i="14"/>
  <c r="D39" i="13" s="1"/>
  <c r="D37" i="13" s="1"/>
  <c r="F946" i="14"/>
  <c r="D46" i="13" s="1"/>
  <c r="H873" i="15"/>
  <c r="H832" i="15" s="1"/>
  <c r="H540" i="15"/>
  <c r="H529" i="15" s="1"/>
  <c r="G763" i="15"/>
  <c r="G755" i="15" s="1"/>
  <c r="D20" i="13"/>
  <c r="D19" i="13" s="1"/>
  <c r="F222" i="14"/>
  <c r="F734" i="14"/>
  <c r="F723" i="14" s="1"/>
  <c r="D36" i="13" s="1"/>
  <c r="H763" i="15"/>
  <c r="H755" i="15" s="1"/>
  <c r="F653" i="14"/>
  <c r="F652" i="14" s="1"/>
  <c r="H340" i="15"/>
  <c r="H339" i="15" s="1"/>
  <c r="H338" i="15" s="1"/>
  <c r="G821" i="14"/>
  <c r="E39" i="13" s="1"/>
  <c r="E37" i="13" s="1"/>
  <c r="G946" i="14"/>
  <c r="E46" i="13" s="1"/>
  <c r="G869" i="14"/>
  <c r="G858" i="14" s="1"/>
  <c r="G857" i="14" s="1"/>
  <c r="E42" i="13" s="1"/>
  <c r="E40" i="13" s="1"/>
  <c r="F627" i="14"/>
  <c r="G627" i="14"/>
  <c r="G626" i="14" s="1"/>
  <c r="E34" i="13" s="1"/>
  <c r="G457" i="14"/>
  <c r="G444" i="14" s="1"/>
  <c r="E30" i="13" s="1"/>
  <c r="G873" i="15"/>
  <c r="G832" i="15" s="1"/>
  <c r="F457" i="14"/>
  <c r="F444" i="14" s="1"/>
  <c r="D30" i="13" s="1"/>
  <c r="F975" i="14"/>
  <c r="D48" i="13"/>
  <c r="D47" i="13" s="1"/>
  <c r="G975" i="14"/>
  <c r="E48" i="13"/>
  <c r="E47" i="13" s="1"/>
  <c r="G439" i="14"/>
  <c r="G440" i="14"/>
  <c r="F361" i="14"/>
  <c r="F401" i="14"/>
  <c r="F395" i="14" s="1"/>
  <c r="D29" i="13" s="1"/>
  <c r="G361" i="14"/>
  <c r="G128" i="14"/>
  <c r="G127" i="14" s="1"/>
  <c r="G8" i="14" s="1"/>
  <c r="K8" i="14" s="1"/>
  <c r="F128" i="14"/>
  <c r="F127" i="14" s="1"/>
  <c r="G401" i="14"/>
  <c r="D22" i="13"/>
  <c r="D21" i="13" s="1"/>
  <c r="F241" i="14"/>
  <c r="E22" i="13"/>
  <c r="D12" i="13"/>
  <c r="J10" i="4"/>
  <c r="L1098" i="4" s="1"/>
  <c r="F444" i="3"/>
  <c r="L1104" i="4"/>
  <c r="J529" i="4"/>
  <c r="L1102" i="4" s="1"/>
  <c r="G685" i="5"/>
  <c r="G312" i="4"/>
  <c r="G272" i="4"/>
  <c r="G1134" i="4"/>
  <c r="H1134" i="15"/>
  <c r="G1134" i="15"/>
  <c r="G609" i="4"/>
  <c r="J101" i="4"/>
  <c r="L101" i="4" s="1"/>
  <c r="G956" i="4"/>
  <c r="G877" i="4" s="1"/>
  <c r="G1136" i="4"/>
  <c r="G837" i="4"/>
  <c r="G541" i="4"/>
  <c r="G858" i="4"/>
  <c r="L1103" i="4"/>
  <c r="G403" i="4"/>
  <c r="G1112" i="4" s="1"/>
  <c r="G1113" i="4" s="1"/>
  <c r="G691" i="4"/>
  <c r="H1138" i="15"/>
  <c r="G1138" i="15"/>
  <c r="G481" i="4"/>
  <c r="G480" i="4" s="1"/>
  <c r="G1049" i="4"/>
  <c r="G1040" i="4"/>
  <c r="G192" i="5"/>
  <c r="G684" i="5"/>
  <c r="G683" i="5" s="1"/>
  <c r="F481" i="3"/>
  <c r="G1102" i="4"/>
  <c r="G722" i="4"/>
  <c r="G1128" i="4"/>
  <c r="G433" i="4"/>
  <c r="G1127" i="4"/>
  <c r="G768" i="5"/>
  <c r="G17" i="5"/>
  <c r="G902" i="5"/>
  <c r="G485" i="5"/>
  <c r="G444" i="5"/>
  <c r="G549" i="5"/>
  <c r="G505" i="5"/>
  <c r="G504" i="5" s="1"/>
  <c r="G910" i="5"/>
  <c r="G911" i="5"/>
  <c r="G925" i="5"/>
  <c r="G742" i="5"/>
  <c r="G761" i="5"/>
  <c r="G41" i="5"/>
  <c r="G149" i="5"/>
  <c r="G396" i="5"/>
  <c r="G98" i="5"/>
  <c r="G72" i="5"/>
  <c r="G58" i="5"/>
  <c r="G856" i="5"/>
  <c r="G100" i="5"/>
  <c r="G99" i="5"/>
  <c r="G774" i="5"/>
  <c r="G782" i="5"/>
  <c r="G365" i="5"/>
  <c r="G364" i="5"/>
  <c r="G474" i="5"/>
  <c r="G372" i="5"/>
  <c r="G75" i="5"/>
  <c r="G599" i="5"/>
  <c r="G493" i="5"/>
  <c r="G1101" i="4"/>
  <c r="G260" i="5"/>
  <c r="F866" i="3"/>
  <c r="F861" i="3" s="1"/>
  <c r="F223" i="3"/>
  <c r="D24" i="2"/>
  <c r="F159" i="3"/>
  <c r="F631" i="3"/>
  <c r="F242" i="3"/>
  <c r="F317" i="3"/>
  <c r="F255" i="3"/>
  <c r="F981" i="3"/>
  <c r="F972" i="3"/>
  <c r="F951" i="3" s="1"/>
  <c r="F727" i="3"/>
  <c r="F755" i="3"/>
  <c r="F100" i="3"/>
  <c r="F401" i="3"/>
  <c r="F656" i="3"/>
  <c r="F39" i="3"/>
  <c r="F273" i="3"/>
  <c r="F699" i="3"/>
  <c r="F612" i="3"/>
  <c r="F577" i="3" s="1"/>
  <c r="F613" i="14"/>
  <c r="F944" i="3"/>
  <c r="F848" i="3"/>
  <c r="F718" i="3"/>
  <c r="F898" i="3"/>
  <c r="F28" i="3"/>
  <c r="C145" i="1"/>
  <c r="D52" i="2" s="1"/>
  <c r="I991" i="10"/>
  <c r="G214" i="15" l="1"/>
  <c r="G1087" i="15" s="1"/>
  <c r="F998" i="14" s="1"/>
  <c r="H214" i="15"/>
  <c r="H1087" i="15" s="1"/>
  <c r="D16" i="13"/>
  <c r="D10" i="13" s="1"/>
  <c r="F8" i="14"/>
  <c r="J8" i="14" s="1"/>
  <c r="E21" i="13"/>
  <c r="F331" i="14"/>
  <c r="D28" i="13" s="1"/>
  <c r="D26" i="13" s="1"/>
  <c r="G331" i="14"/>
  <c r="E28" i="13" s="1"/>
  <c r="F750" i="14"/>
  <c r="G750" i="14"/>
  <c r="F626" i="14"/>
  <c r="D34" i="13" s="1"/>
  <c r="G850" i="14"/>
  <c r="G395" i="14"/>
  <c r="E29" i="13" s="1"/>
  <c r="E16" i="13"/>
  <c r="E10" i="13" s="1"/>
  <c r="G613" i="14"/>
  <c r="G612" i="14" s="1"/>
  <c r="G577" i="14" s="1"/>
  <c r="G549" i="14" s="1"/>
  <c r="G548" i="14" s="1"/>
  <c r="F612" i="14"/>
  <c r="F577" i="14" s="1"/>
  <c r="F549" i="14" s="1"/>
  <c r="F548" i="14" s="1"/>
  <c r="F850" i="14"/>
  <c r="J850" i="14" s="1"/>
  <c r="D42" i="13"/>
  <c r="D40" i="13" s="1"/>
  <c r="F480" i="3"/>
  <c r="D32" i="2" s="1"/>
  <c r="G191" i="5"/>
  <c r="G1133" i="4"/>
  <c r="G1146" i="4" s="1"/>
  <c r="G944" i="5" s="1"/>
  <c r="G271" i="4"/>
  <c r="G1103" i="4"/>
  <c r="G1104" i="4" s="1"/>
  <c r="K956" i="4"/>
  <c r="G1132" i="15"/>
  <c r="H1132" i="15"/>
  <c r="G24" i="4"/>
  <c r="G1048" i="4"/>
  <c r="G209" i="4"/>
  <c r="G1098" i="4" s="1"/>
  <c r="K333" i="4"/>
  <c r="H1130" i="15"/>
  <c r="G1130" i="15"/>
  <c r="H1124" i="15"/>
  <c r="G1124" i="15"/>
  <c r="H1098" i="15"/>
  <c r="G1098" i="15"/>
  <c r="G432" i="4"/>
  <c r="H1123" i="15"/>
  <c r="G1123" i="15"/>
  <c r="G909" i="5"/>
  <c r="G40" i="5"/>
  <c r="F825" i="3"/>
  <c r="D39" i="2" s="1"/>
  <c r="H1097" i="15"/>
  <c r="G1097" i="15"/>
  <c r="G781" i="5"/>
  <c r="G844" i="5"/>
  <c r="G148" i="5"/>
  <c r="G760" i="5"/>
  <c r="G767" i="5"/>
  <c r="G74" i="5"/>
  <c r="G73" i="5"/>
  <c r="G57" i="5"/>
  <c r="G741" i="5"/>
  <c r="G917" i="5"/>
  <c r="G492" i="5"/>
  <c r="G106" i="5"/>
  <c r="I549" i="5"/>
  <c r="G443" i="5"/>
  <c r="G9" i="5"/>
  <c r="D43" i="2"/>
  <c r="D25" i="2"/>
  <c r="D28" i="2"/>
  <c r="D23" i="2"/>
  <c r="F241" i="3"/>
  <c r="D22" i="2"/>
  <c r="F222" i="3"/>
  <c r="D20" i="2"/>
  <c r="D30" i="2"/>
  <c r="F395" i="3"/>
  <c r="F316" i="3" s="1"/>
  <c r="D38" i="2"/>
  <c r="F130" i="3"/>
  <c r="F8" i="3" s="1"/>
  <c r="D12" i="2"/>
  <c r="F943" i="3"/>
  <c r="F939" i="14"/>
  <c r="G939" i="14" s="1"/>
  <c r="F698" i="3"/>
  <c r="D13" i="2"/>
  <c r="D14" i="2"/>
  <c r="D36" i="2"/>
  <c r="F980" i="3"/>
  <c r="D48" i="2"/>
  <c r="D27" i="2"/>
  <c r="F630" i="3"/>
  <c r="C17" i="7"/>
  <c r="E26" i="13" l="1"/>
  <c r="F316" i="14"/>
  <c r="C18" i="18"/>
  <c r="D18" i="18"/>
  <c r="G998" i="14"/>
  <c r="G316" i="14"/>
  <c r="D33" i="13"/>
  <c r="D31" i="13" s="1"/>
  <c r="F479" i="14"/>
  <c r="J479" i="14" s="1"/>
  <c r="E33" i="13"/>
  <c r="E31" i="13" s="1"/>
  <c r="G479" i="14"/>
  <c r="K479" i="14" s="1"/>
  <c r="G161" i="5"/>
  <c r="J1048" i="4"/>
  <c r="L1105" i="4" s="1"/>
  <c r="G767" i="4"/>
  <c r="G1118" i="4" s="1"/>
  <c r="G1119" i="4" s="1"/>
  <c r="G1106" i="4"/>
  <c r="G1107" i="4" s="1"/>
  <c r="G836" i="4"/>
  <c r="G1099" i="4"/>
  <c r="H1099" i="15"/>
  <c r="H1100" i="15" s="1"/>
  <c r="G1099" i="15"/>
  <c r="G1100" i="15" s="1"/>
  <c r="H1095" i="15"/>
  <c r="G1095" i="15"/>
  <c r="H1129" i="15"/>
  <c r="H1142" i="15" s="1"/>
  <c r="G1129" i="15"/>
  <c r="G1109" i="4"/>
  <c r="G1110" i="4" s="1"/>
  <c r="G740" i="5"/>
  <c r="F754" i="3"/>
  <c r="G759" i="5"/>
  <c r="I844" i="5"/>
  <c r="G28" i="5"/>
  <c r="G503" i="5"/>
  <c r="G442" i="5"/>
  <c r="G64" i="5"/>
  <c r="F942" i="3"/>
  <c r="F938" i="14"/>
  <c r="D35" i="2"/>
  <c r="D16" i="2"/>
  <c r="D10" i="2" s="1"/>
  <c r="D34" i="2"/>
  <c r="D46" i="2"/>
  <c r="F549" i="3"/>
  <c r="D42" i="2"/>
  <c r="F854" i="3"/>
  <c r="D47" i="2"/>
  <c r="D37" i="2"/>
  <c r="D29" i="2"/>
  <c r="D19" i="2"/>
  <c r="D21" i="2"/>
  <c r="H941" i="16" l="1"/>
  <c r="H943" i="16" s="1"/>
  <c r="G1142" i="15"/>
  <c r="G941" i="16" s="1"/>
  <c r="G943" i="16" s="1"/>
  <c r="G938" i="14"/>
  <c r="G937" i="14" s="1"/>
  <c r="G909" i="14" s="1"/>
  <c r="G908" i="14" s="1"/>
  <c r="G907" i="14" s="1"/>
  <c r="F937" i="14"/>
  <c r="F909" i="14" s="1"/>
  <c r="F908" i="14" s="1"/>
  <c r="F907" i="14" s="1"/>
  <c r="H1114" i="15"/>
  <c r="H1115" i="15" s="1"/>
  <c r="G1091" i="4"/>
  <c r="H1108" i="15"/>
  <c r="H1109" i="15" s="1"/>
  <c r="G1108" i="15"/>
  <c r="G1109" i="15" s="1"/>
  <c r="H1102" i="15"/>
  <c r="H1103" i="15" s="1"/>
  <c r="G1102" i="15"/>
  <c r="G1103" i="15" s="1"/>
  <c r="H1105" i="15"/>
  <c r="H1106" i="15" s="1"/>
  <c r="G1105" i="15"/>
  <c r="G1106" i="15" s="1"/>
  <c r="H1111" i="15"/>
  <c r="G1111" i="15"/>
  <c r="G1116" i="4"/>
  <c r="G1123" i="4" s="1"/>
  <c r="G1122" i="4"/>
  <c r="I503" i="5"/>
  <c r="G27" i="5"/>
  <c r="D26" i="2"/>
  <c r="D40" i="2"/>
  <c r="F548" i="3"/>
  <c r="F940" i="3"/>
  <c r="F935" i="14" s="1"/>
  <c r="G935" i="14" s="1"/>
  <c r="F914" i="3"/>
  <c r="D45" i="13" l="1"/>
  <c r="D44" i="13" s="1"/>
  <c r="D49" i="13" s="1"/>
  <c r="D53" i="13" s="1"/>
  <c r="F906" i="14"/>
  <c r="F994" i="14" s="1"/>
  <c r="F1000" i="14" s="1"/>
  <c r="E45" i="13"/>
  <c r="E44" i="13" s="1"/>
  <c r="E49" i="13" s="1"/>
  <c r="E53" i="13" s="1"/>
  <c r="G906" i="14"/>
  <c r="G994" i="14" s="1"/>
  <c r="G1000" i="14" s="1"/>
  <c r="G1114" i="15"/>
  <c r="G1115" i="15" s="1"/>
  <c r="D50" i="2"/>
  <c r="G1124" i="4"/>
  <c r="I1124" i="4" s="1"/>
  <c r="G1112" i="15"/>
  <c r="H1112" i="15"/>
  <c r="H1119" i="15" s="1"/>
  <c r="H1118" i="15"/>
  <c r="I27" i="5"/>
  <c r="D33" i="2"/>
  <c r="F479" i="3"/>
  <c r="F913" i="3"/>
  <c r="G1118" i="15" l="1"/>
  <c r="G1119" i="15"/>
  <c r="G1093" i="4"/>
  <c r="F1000" i="3"/>
  <c r="H1092" i="4"/>
  <c r="H1120" i="15"/>
  <c r="F912" i="3"/>
  <c r="D31" i="2"/>
  <c r="G1120" i="15" l="1"/>
  <c r="G1089" i="15"/>
  <c r="F995" i="14"/>
  <c r="D45" i="2"/>
  <c r="F911" i="3"/>
  <c r="H1089" i="15" l="1"/>
  <c r="G995" i="14"/>
  <c r="D44" i="2"/>
  <c r="D49" i="2" s="1"/>
  <c r="D53" i="2" s="1"/>
  <c r="F999" i="3"/>
  <c r="F1001" i="3" l="1"/>
  <c r="F996" i="14" s="1"/>
  <c r="G996" i="14" s="1"/>
  <c r="D19" i="18" l="1"/>
  <c r="D11" i="18" s="1"/>
  <c r="C19" i="18"/>
  <c r="C11" i="18" s="1"/>
  <c r="C18" i="7"/>
  <c r="C19" i="7" s="1"/>
  <c r="D51" i="2"/>
  <c r="C11" i="7" l="1"/>
  <c r="C10" i="7" s="1"/>
  <c r="C10" i="18" s="1"/>
  <c r="D10" i="18" s="1"/>
  <c r="C13" i="7" l="1"/>
  <c r="C13" i="18" l="1"/>
  <c r="C12" i="7"/>
  <c r="C14" i="7"/>
  <c r="C9" i="7" l="1"/>
  <c r="C9" i="18" s="1"/>
  <c r="D9" i="18" s="1"/>
  <c r="C12" i="18"/>
  <c r="D12" i="18" s="1"/>
  <c r="D13" i="18"/>
  <c r="C14" i="18"/>
  <c r="D14" i="18" s="1"/>
  <c r="G244" i="5"/>
  <c r="G160" i="5" s="1"/>
  <c r="I160" i="5" s="1"/>
  <c r="G942" i="5" l="1"/>
  <c r="G945" i="5" s="1"/>
</calcChain>
</file>

<file path=xl/sharedStrings.xml><?xml version="1.0" encoding="utf-8"?>
<sst xmlns="http://schemas.openxmlformats.org/spreadsheetml/2006/main" count="33822" uniqueCount="1506">
  <si>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</si>
  <si>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</si>
  <si>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</si>
  <si>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</si>
  <si>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</si>
  <si>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</si>
  <si>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</si>
  <si>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</si>
  <si>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</si>
  <si>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</si>
  <si>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</si>
  <si>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</si>
  <si>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</si>
  <si>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</si>
  <si>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</si>
  <si>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</si>
  <si>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</si>
  <si>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</si>
  <si>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</si>
  <si>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</si>
  <si>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</si>
  <si>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</si>
  <si>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</si>
  <si>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</si>
  <si>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</si>
  <si>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</si>
  <si>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</si>
  <si>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</si>
  <si>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</si>
  <si>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</si>
  <si>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</si>
  <si>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</si>
  <si>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</si>
  <si>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</si>
  <si>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</si>
  <si>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</si>
  <si>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</si>
  <si>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</si>
  <si>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</si>
  <si>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</si>
  <si>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</si>
  <si>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</si>
  <si>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</si>
  <si>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</si>
  <si>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</si>
  <si>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</si>
  <si>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</si>
  <si>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</si>
  <si>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</si>
  <si>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</si>
  <si>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</si>
  <si>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</si>
  <si>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</si>
  <si>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</si>
  <si>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</si>
  <si>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</si>
  <si>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</si>
  <si>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</si>
  <si>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</si>
  <si>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</si>
  <si>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</si>
  <si>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</si>
  <si>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</si>
  <si>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</si>
  <si>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</si>
  <si>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</si>
  <si>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</si>
  <si>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</si>
  <si>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</si>
  <si>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</si>
  <si>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</si>
  <si>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</si>
  <si>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</si>
  <si>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</si>
  <si>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</si>
  <si>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</si>
  <si>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</si>
  <si>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</si>
  <si>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</si>
  <si>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</si>
  <si>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</si>
  <si>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</si>
  <si>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</si>
  <si>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</si>
  <si>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</si>
  <si>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</si>
  <si>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</si>
  <si>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</si>
  <si>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</si>
  <si>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</si>
  <si>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</si>
  <si>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</si>
  <si>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</si>
  <si>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</si>
  <si>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</si>
  <si>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</si>
  <si>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</si>
  <si>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</si>
  <si>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</si>
  <si>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</si>
  <si>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</si>
  <si>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</si>
  <si>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</si>
  <si>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</si>
  <si>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</si>
  <si>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</si>
  <si>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</si>
  <si>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</si>
  <si>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</si>
  <si>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</si>
  <si>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</si>
  <si>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</si>
  <si>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</si>
  <si>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</si>
  <si>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</si>
  <si>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</si>
  <si>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</si>
  <si>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</si>
  <si>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</si>
  <si>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</si>
  <si>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</si>
  <si>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</si>
  <si>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</si>
  <si>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</si>
  <si>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</si>
  <si>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</si>
  <si>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</si>
  <si>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</si>
  <si>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</si>
  <si>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</si>
  <si>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</si>
  <si>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</si>
  <si>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</si>
  <si>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</si>
  <si>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</si>
  <si>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</si>
  <si>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</si>
  <si>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</si>
  <si>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</si>
  <si>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</si>
  <si>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</si>
  <si>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</si>
  <si>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</si>
  <si>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</si>
  <si>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</si>
  <si>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</si>
  <si>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</si>
  <si>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</si>
  <si>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</si>
  <si>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</si>
  <si>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</si>
  <si>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</si>
  <si>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</si>
  <si>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</si>
  <si>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</si>
  <si>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</si>
  <si>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</si>
  <si>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</si>
  <si>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</si>
  <si>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</si>
  <si>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</si>
  <si>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</si>
  <si>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</si>
  <si>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</si>
  <si>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</si>
  <si>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</si>
  <si>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</si>
  <si>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</si>
  <si>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</si>
  <si>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</si>
  <si>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</si>
  <si>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</si>
  <si>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</si>
  <si>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</si>
  <si>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</si>
  <si>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</si>
  <si>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</si>
  <si>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</si>
  <si>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</si>
  <si>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</si>
  <si>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</si>
  <si>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</si>
  <si>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</si>
  <si>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</si>
  <si>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</si>
  <si>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</si>
  <si>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</si>
  <si>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</si>
  <si>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</si>
  <si>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</si>
  <si>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</si>
  <si>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</si>
  <si>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</si>
  <si>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</si>
  <si>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</si>
  <si>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</si>
  <si>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</si>
  <si>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</si>
  <si>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</si>
  <si>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</si>
  <si>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</si>
  <si>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</si>
  <si>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</si>
  <si>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</si>
  <si>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</si>
  <si>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</si>
  <si>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</si>
  <si>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</si>
  <si>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</si>
  <si>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</si>
  <si>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</si>
  <si>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</si>
  <si>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</si>
  <si>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</si>
  <si>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</si>
  <si>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</si>
  <si>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</si>
  <si>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</si>
  <si>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</si>
  <si>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</si>
  <si>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</si>
  <si>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</si>
  <si>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</si>
  <si>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</si>
  <si>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</si>
  <si>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</si>
  <si>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</si>
  <si>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</si>
  <si>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</si>
  <si>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</si>
  <si>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</si>
  <si>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</si>
  <si>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</si>
  <si>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</si>
  <si>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</si>
  <si>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</si>
  <si>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</si>
  <si>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</si>
  <si>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</si>
  <si>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</si>
  <si>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</si>
  <si>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</si>
  <si>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</si>
  <si>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</si>
  <si>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</si>
  <si>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</si>
  <si>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</si>
  <si>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</si>
  <si>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</si>
  <si>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</si>
  <si>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</si>
  <si>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</si>
  <si>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</si>
  <si>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</si>
  <si>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</si>
  <si>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</si>
  <si>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</si>
  <si>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</si>
  <si>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</si>
  <si>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</si>
  <si>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</si>
  <si>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</si>
  <si>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</si>
  <si>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</si>
  <si>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</si>
  <si>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</si>
  <si>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</si>
  <si>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</si>
  <si>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</si>
  <si>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</si>
  <si>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</si>
  <si>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</si>
  <si>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</si>
  <si>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</si>
  <si>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</si>
  <si>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</si>
  <si>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</si>
  <si>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</si>
  <si>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</si>
  <si>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</si>
  <si>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</si>
  <si>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</si>
  <si>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</si>
  <si>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</si>
  <si>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</si>
  <si>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</si>
  <si>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</si>
  <si>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</si>
  <si>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</si>
  <si>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</si>
  <si>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</si>
  <si>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</si>
  <si>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</si>
  <si>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</si>
  <si>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</si>
  <si>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</si>
  <si>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</si>
  <si>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</si>
  <si>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</si>
  <si>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</si>
  <si>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</si>
  <si>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</si>
  <si>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</si>
  <si>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</si>
  <si>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</si>
  <si>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</si>
  <si>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</si>
  <si>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</si>
  <si>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</si>
  <si>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</si>
  <si>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</si>
  <si>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</si>
  <si>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</si>
  <si>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</si>
  <si>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</si>
  <si>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</si>
  <si>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</si>
  <si>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</si>
  <si>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</si>
  <si>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</si>
  <si>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</si>
  <si>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</si>
  <si>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</si>
  <si>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</si>
  <si>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</si>
  <si>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</si>
  <si>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</si>
  <si>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</si>
  <si>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</si>
  <si>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</si>
  <si>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</si>
  <si>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</si>
  <si>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</si>
  <si>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</si>
  <si>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</si>
  <si>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</si>
  <si>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</si>
  <si>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</si>
  <si>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</si>
  <si>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</si>
  <si>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</si>
  <si>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</si>
  <si>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</si>
  <si>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</si>
  <si>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</si>
  <si>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</si>
  <si>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</si>
  <si>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</si>
  <si>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</si>
  <si>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</si>
  <si>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</si>
  <si>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</si>
  <si>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</si>
  <si>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</si>
  <si>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</si>
  <si>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</si>
  <si>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</si>
  <si>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</si>
  <si>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</si>
  <si>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</si>
  <si>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</si>
  <si>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</si>
  <si>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</si>
  <si>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</si>
  <si>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</si>
  <si>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</si>
  <si>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</si>
  <si>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</si>
  <si>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</si>
  <si>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</si>
  <si>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</si>
  <si>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</si>
  <si>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</si>
  <si>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</si>
  <si>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</si>
  <si>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</si>
  <si>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</si>
  <si>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</si>
  <si>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</si>
  <si>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</si>
  <si>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</si>
  <si>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</si>
  <si>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</si>
  <si>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</si>
  <si>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</si>
  <si>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</si>
  <si>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</si>
  <si>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</si>
  <si>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</si>
  <si>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</si>
  <si>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</si>
  <si>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</si>
  <si>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</si>
  <si>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</si>
  <si>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</si>
  <si>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</si>
  <si>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</si>
  <si>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</si>
  <si>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</si>
  <si>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</si>
  <si>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</si>
  <si>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</si>
  <si>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</si>
  <si>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</si>
  <si>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</si>
  <si>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</si>
  <si>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</si>
  <si>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</si>
  <si>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</si>
  <si>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</si>
  <si>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</si>
  <si>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</si>
  <si>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</si>
  <si>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</si>
  <si>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</si>
  <si>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</si>
  <si>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</si>
  <si>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</si>
  <si>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</si>
  <si>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</si>
  <si>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</si>
  <si>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</si>
  <si>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</si>
  <si>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</si>
  <si>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</si>
  <si>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</si>
  <si>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</si>
  <si>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</si>
  <si>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</si>
  <si>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</si>
  <si>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</si>
  <si>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</si>
  <si>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</si>
  <si>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</si>
  <si>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</si>
  <si>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</si>
  <si>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</si>
  <si>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</si>
  <si>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</si>
  <si>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</si>
  <si>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</si>
  <si>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</si>
  <si>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</si>
  <si>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</si>
  <si>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</si>
  <si>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</si>
  <si>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</si>
  <si>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</si>
  <si>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</si>
  <si>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</si>
  <si>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</si>
  <si>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</si>
  <si>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</si>
  <si>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</si>
  <si>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</si>
  <si>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</si>
  <si>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</si>
  <si>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</si>
  <si>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</si>
  <si>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</si>
  <si>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</si>
  <si>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</si>
  <si>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</si>
  <si>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</si>
  <si>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</si>
  <si>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</si>
  <si>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</si>
  <si>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</si>
  <si>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</si>
  <si>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</si>
  <si>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</si>
  <si>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</si>
  <si>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</si>
  <si>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</si>
  <si>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</si>
  <si>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</si>
  <si>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</si>
  <si>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</si>
  <si>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</si>
  <si>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</si>
  <si>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</si>
  <si>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</si>
  <si>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</si>
  <si>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</si>
  <si>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</si>
  <si>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</si>
  <si>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</si>
  <si>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</si>
  <si>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</si>
  <si>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</si>
  <si>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</si>
  <si>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</si>
  <si>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</si>
  <si>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</si>
  <si>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</si>
  <si>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</si>
  <si>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</si>
  <si>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</si>
  <si>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</si>
  <si>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</si>
  <si>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</si>
  <si>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</si>
  <si>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</si>
  <si>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</si>
  <si>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</si>
  <si>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</si>
  <si>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</si>
  <si>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</si>
  <si>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</si>
  <si>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</si>
  <si>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</si>
  <si>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</si>
  <si>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</si>
  <si>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</si>
  <si>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</si>
  <si>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</si>
  <si>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</si>
  <si>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</si>
  <si>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</si>
  <si>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</si>
  <si>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</si>
  <si>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</si>
  <si>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</si>
  <si>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</si>
  <si>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</si>
  <si>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</si>
  <si>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</si>
  <si>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</si>
  <si>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</si>
  <si>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</si>
  <si>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</si>
  <si>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</si>
  <si>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</si>
  <si>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</si>
  <si>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</si>
  <si>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</si>
  <si>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</si>
  <si>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</si>
  <si>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</si>
  <si>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</si>
  <si>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</si>
  <si>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</si>
  <si>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</si>
  <si>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</si>
  <si>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</si>
  <si>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</si>
  <si>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</si>
  <si>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</si>
  <si>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</si>
  <si>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</si>
  <si>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</si>
  <si>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</si>
  <si>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</si>
  <si>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</si>
  <si>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</si>
  <si>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</si>
  <si>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</si>
  <si>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</si>
  <si>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</si>
  <si>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</si>
  <si>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</si>
  <si>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</si>
  <si>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</si>
  <si>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</si>
  <si>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</si>
  <si>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</si>
  <si>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</si>
  <si>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</si>
  <si>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</si>
  <si>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</si>
  <si>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</si>
  <si>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</si>
  <si>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</si>
  <si>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</si>
  <si>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</si>
  <si>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</si>
  <si>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</si>
  <si>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</si>
  <si>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</si>
  <si>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</si>
  <si>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</si>
  <si>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</si>
  <si>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</si>
  <si>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</si>
  <si>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</si>
  <si>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</si>
  <si>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</si>
  <si>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</si>
  <si>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</si>
  <si>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</si>
  <si>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</si>
  <si>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</si>
  <si>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</si>
  <si>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</si>
  <si>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</si>
  <si>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</si>
  <si>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</si>
  <si>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</si>
  <si>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</si>
  <si>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</si>
  <si>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</si>
  <si>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</si>
  <si>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</si>
  <si>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</si>
  <si>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</si>
  <si>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</si>
  <si>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</si>
  <si>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</si>
  <si>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</si>
  <si>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</si>
  <si>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</si>
  <si>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</si>
  <si>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</si>
  <si>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</si>
  <si>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</si>
  <si>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</si>
  <si>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</si>
  <si>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</si>
  <si>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</si>
  <si>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</si>
  <si>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</si>
  <si>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</si>
  <si>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</si>
  <si>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</si>
  <si>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</si>
  <si>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</si>
  <si>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</si>
  <si>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</si>
  <si>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</si>
  <si>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</si>
  <si>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</si>
  <si>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</si>
  <si>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</si>
  <si>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</si>
  <si>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</si>
  <si>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</si>
  <si>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</si>
  <si>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</si>
  <si>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</si>
  <si>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</si>
  <si>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</si>
  <si>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</si>
  <si>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</si>
  <si>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</si>
  <si>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</si>
  <si>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</si>
  <si>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</si>
  <si>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</si>
  <si>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</si>
  <si>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</si>
  <si>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</si>
  <si>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</si>
  <si>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</si>
  <si>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</si>
  <si>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</si>
  <si>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</si>
  <si>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</si>
  <si>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</si>
  <si>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</si>
  <si>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</si>
  <si>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</si>
  <si>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</si>
  <si>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</si>
  <si>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</si>
  <si>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</si>
  <si>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</si>
  <si>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</si>
  <si>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</si>
  <si>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</si>
  <si>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</si>
  <si>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</si>
  <si>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</si>
  <si>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</si>
  <si>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</si>
  <si>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</si>
  <si>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</si>
  <si>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</si>
  <si>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</si>
  <si>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</si>
  <si>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</si>
  <si>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</si>
  <si>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</si>
  <si>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</si>
  <si>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</si>
  <si>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</si>
  <si>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</si>
  <si>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</si>
  <si>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</si>
  <si>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</si>
  <si>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</si>
  <si>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</si>
  <si>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</si>
  <si>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</si>
  <si>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</si>
  <si>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</si>
  <si>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</si>
  <si>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</si>
  <si>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</si>
  <si>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</si>
  <si>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</si>
  <si>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</si>
  <si>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</si>
  <si>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</si>
  <si>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</si>
  <si>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</si>
  <si>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</si>
  <si>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</si>
  <si>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</si>
  <si>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</si>
  <si>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</si>
  <si>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</si>
  <si>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</si>
  <si>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</si>
  <si>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</si>
  <si>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</si>
  <si>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</si>
  <si>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</si>
  <si>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</si>
  <si>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</si>
  <si>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</si>
  <si>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</si>
  <si>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</si>
  <si>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</si>
  <si>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</si>
  <si>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</si>
  <si>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</si>
  <si>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</si>
  <si>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</si>
  <si>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</si>
  <si>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</si>
  <si>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</si>
  <si>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</si>
  <si>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</si>
  <si>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</si>
  <si>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</si>
  <si>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</si>
  <si>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</si>
  <si>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</si>
  <si>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</si>
  <si>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</si>
  <si>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</si>
  <si>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</si>
  <si>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</si>
  <si>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</si>
  <si>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</si>
  <si>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</si>
  <si>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</si>
  <si>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</si>
  <si>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</si>
  <si>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</si>
  <si>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</si>
  <si>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</si>
  <si>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</si>
  <si>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</si>
  <si>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</si>
  <si>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</si>
  <si>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</si>
  <si>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</si>
  <si>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</si>
  <si>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</si>
  <si>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</si>
  <si>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</si>
  <si>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</si>
  <si>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</si>
  <si>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</si>
  <si>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</si>
  <si>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</si>
  <si>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</si>
  <si>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</si>
  <si>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</si>
  <si>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</si>
  <si>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</si>
  <si>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</si>
  <si>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</si>
  <si>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</si>
  <si>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</si>
  <si>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</si>
  <si>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</si>
  <si>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</si>
  <si>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</si>
  <si>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</si>
  <si>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</si>
  <si>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</si>
  <si>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</si>
  <si>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</si>
  <si>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</si>
  <si>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</si>
  <si>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</si>
  <si>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</si>
  <si>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</si>
  <si>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</si>
  <si>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</si>
  <si>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</si>
  <si>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</si>
  <si>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</si>
  <si>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</si>
  <si>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</si>
  <si>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</si>
  <si>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</si>
  <si>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</si>
  <si>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</si>
  <si>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</si>
  <si>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</si>
  <si>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</si>
  <si>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</si>
  <si>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</si>
  <si>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</si>
  <si>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</si>
  <si>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</si>
  <si>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</si>
  <si>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</si>
  <si>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</si>
  <si>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</si>
  <si>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</si>
  <si>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</si>
  <si>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</si>
  <si>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</si>
  <si>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</si>
  <si>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</si>
  <si>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</si>
  <si>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</si>
  <si>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</si>
  <si>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</si>
  <si>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</si>
  <si>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</si>
  <si>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</si>
  <si>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</si>
  <si>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</si>
  <si>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</si>
  <si>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</si>
  <si>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</si>
  <si>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</si>
  <si>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</si>
  <si>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</si>
  <si>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</si>
  <si>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Приложение № 7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</si>
  <si>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</si>
  <si>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</si>
  <si>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</si>
  <si>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</si>
  <si>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</si>
  <si>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</si>
  <si>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</si>
  <si>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</si>
  <si>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</si>
  <si>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</si>
  <si>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</si>
  <si>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</si>
  <si>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</si>
  <si>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</si>
  <si>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</si>
  <si>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</si>
  <si>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</si>
  <si>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</si>
  <si>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</si>
  <si>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</si>
  <si>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</si>
  <si>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</si>
  <si>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</si>
  <si>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</si>
  <si>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</si>
  <si>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Проведение казенными учреждениями  мероприятий в области культуры и искусства</t>
  </si>
  <si>
    <t>67 0 00 00000</t>
  </si>
  <si>
    <t>69 0 00 00000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</si>
  <si>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</si>
  <si>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</si>
  <si>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</si>
  <si>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</si>
  <si>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</si>
  <si>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</si>
  <si>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</si>
  <si>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</si>
  <si>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</si>
  <si>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</si>
  <si>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</si>
  <si>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</si>
  <si>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</si>
  <si>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</si>
  <si>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</si>
  <si>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</si>
  <si>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</si>
  <si>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</si>
  <si>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</si>
  <si>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</si>
  <si>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</si>
  <si>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</si>
  <si>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</si>
  <si>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</si>
  <si>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без оплаты проезда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</si>
  <si>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</si>
  <si>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</si>
  <si>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</si>
  <si>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</si>
  <si>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</si>
  <si>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</si>
  <si>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</si>
  <si>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</si>
  <si>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</si>
  <si>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</si>
  <si>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</si>
  <si>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</si>
  <si>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</si>
  <si>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</si>
  <si>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</si>
  <si>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</si>
  <si>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</si>
  <si>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</si>
  <si>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</si>
  <si>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</si>
  <si>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</si>
  <si>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</si>
  <si>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</si>
  <si>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</si>
  <si>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</si>
  <si>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</si>
  <si>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</si>
  <si>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</si>
  <si>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</si>
  <si>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</si>
  <si>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</si>
  <si>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</si>
  <si>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</si>
  <si>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</si>
  <si>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</si>
  <si>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</si>
  <si>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</si>
  <si>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Организация и проведение ярмарок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</si>
  <si>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</si>
  <si>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</si>
  <si>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</si>
  <si>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</si>
  <si>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</si>
  <si>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</si>
  <si>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</si>
  <si>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</si>
  <si>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51 8 01 00000</t>
  </si>
  <si>
    <t>51 8 01 S3240</t>
  </si>
  <si>
    <t>51 8 01 73240</t>
  </si>
  <si>
    <t>Укрепление гражданского единства, гармонизация межнациональных отношений, профилактика экстремизма</t>
  </si>
  <si>
    <t>51 7 01 00000</t>
  </si>
  <si>
    <t>51 7 02 00000</t>
  </si>
  <si>
    <t>51 7 03 00000</t>
  </si>
  <si>
    <t>58 3 01 40000</t>
  </si>
  <si>
    <t>Основное мероприятие "Обеспечение деятельности подведомственных образовательных учреждений"</t>
  </si>
  <si>
    <t>58 3 01 00000</t>
  </si>
  <si>
    <t>58 3 02 01710</t>
  </si>
  <si>
    <t>58 3 02 00000</t>
  </si>
  <si>
    <t>58 3 03 00000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</si>
  <si>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</si>
  <si>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</si>
  <si>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</si>
  <si>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</si>
  <si>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</si>
  <si>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58 3 04 00000</t>
  </si>
  <si>
    <t>51 1 01 00000</t>
  </si>
  <si>
    <t>51 1 01 01730</t>
  </si>
  <si>
    <t>51 1 02 00000</t>
  </si>
  <si>
    <t>58 1 01 40000</t>
  </si>
  <si>
    <t>Основное мероприятие "Обеспечение деятельности подведомственных  учреждений культуры"</t>
  </si>
  <si>
    <t>58 1 01 00000</t>
  </si>
  <si>
    <t>58 1 02 00000</t>
  </si>
  <si>
    <t>58 1 02 01720</t>
  </si>
  <si>
    <t>58 2 01 00000</t>
  </si>
  <si>
    <t>58 2 01 40000</t>
  </si>
  <si>
    <t>58 2 02 00000</t>
  </si>
  <si>
    <t>58 2 02 01740</t>
  </si>
  <si>
    <t>58 2 03 00000</t>
  </si>
  <si>
    <t>58 2 04 00000</t>
  </si>
  <si>
    <t>51 6 01 00000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</si>
  <si>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</si>
  <si>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</si>
  <si>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</si>
  <si>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"Проведение мероприятий в области культуры и искусства"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</si>
  <si>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</si>
  <si>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</si>
  <si>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</si>
  <si>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</si>
  <si>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</si>
  <si>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</si>
  <si>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</si>
  <si>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</si>
  <si>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</si>
  <si>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Основное мероприятие "Поддержка граждан старшего поколения"</t>
  </si>
  <si>
    <t>51 4 01 00000</t>
  </si>
  <si>
    <t>51 4 01 01860</t>
  </si>
  <si>
    <t>51 4 02 00000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</si>
  <si>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</si>
  <si>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</si>
  <si>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</si>
  <si>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</si>
  <si>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</si>
  <si>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</si>
  <si>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</si>
  <si>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</si>
  <si>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с ЗАГС мб</t>
  </si>
  <si>
    <t>местная адм-ция, глава адм, ЗАГС мб, прочие работники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</si>
  <si>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</si>
  <si>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</si>
  <si>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</si>
  <si>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</si>
  <si>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</si>
  <si>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</si>
  <si>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</si>
  <si>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</si>
  <si>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</si>
  <si>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</si>
  <si>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</si>
  <si>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</si>
  <si>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</si>
  <si>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</si>
  <si>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новая формулировка</t>
  </si>
  <si>
    <t>52 1 01 00000</t>
  </si>
  <si>
    <t>Основное мероприятие "Развитие учреждений дошкольного образования"</t>
  </si>
  <si>
    <t>52 2 01 00000</t>
  </si>
  <si>
    <t>52 2 01 20030</t>
  </si>
  <si>
    <t>52 2 01 20040</t>
  </si>
  <si>
    <t>52 2 01 20050</t>
  </si>
  <si>
    <t>52 2 02 00000</t>
  </si>
  <si>
    <t>52 2 02 20070</t>
  </si>
  <si>
    <t>52 2 02 20140</t>
  </si>
  <si>
    <t>52 2 02 20150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</si>
  <si>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</si>
  <si>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52 2 03 00000</t>
  </si>
  <si>
    <t>52 2 03 S3С20</t>
  </si>
  <si>
    <t>52 2 03 73С20</t>
  </si>
  <si>
    <t>52 1 02 74060</t>
  </si>
  <si>
    <t>52 1 02 00000</t>
  </si>
  <si>
    <t>52 1 02 74120</t>
  </si>
  <si>
    <t>52 1 02 74070</t>
  </si>
  <si>
    <t>52 1 02 75010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</si>
  <si>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</si>
  <si>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</si>
  <si>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</si>
  <si>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</si>
  <si>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"Развитие учреждений основного образования"</t>
  </si>
  <si>
    <t>52 3 01 00000</t>
  </si>
  <si>
    <t>Основное мероприятие "Совершенствование питания учащихся"</t>
  </si>
  <si>
    <t>52 3 02 00000</t>
  </si>
  <si>
    <t>Основное мероприятие "Питание детей из многодетных семей"</t>
  </si>
  <si>
    <t>52 3 01 20010</t>
  </si>
  <si>
    <t>52 3 01 20030</t>
  </si>
  <si>
    <t>52 3 01 20040</t>
  </si>
  <si>
    <t>52 3 01 20060</t>
  </si>
  <si>
    <t>52 3 02 S3440</t>
  </si>
  <si>
    <t>52 3 02 73440</t>
  </si>
  <si>
    <t>52 3 03 00000</t>
  </si>
  <si>
    <t>52 3 03 S3950</t>
  </si>
  <si>
    <t>52 3 03 73950</t>
  </si>
  <si>
    <t>52 3 04 00000</t>
  </si>
  <si>
    <t>52 3 05 00000</t>
  </si>
  <si>
    <t>52 3 04 20070</t>
  </si>
  <si>
    <t>52 3 04 20140</t>
  </si>
  <si>
    <t>52 3 05 20170</t>
  </si>
  <si>
    <t>Основное мероприятие "Питание детей с ограниченными возможностями здоровья"</t>
  </si>
  <si>
    <t>52 1 02 74050</t>
  </si>
  <si>
    <t>52 1 02 74130</t>
  </si>
  <si>
    <t>52 1 01 13000</t>
  </si>
  <si>
    <t>Основное мероприятие "Развитие учреждений дополнительного образования"</t>
  </si>
  <si>
    <t>52 4 02 00000</t>
  </si>
  <si>
    <t>52 4 02 20140</t>
  </si>
  <si>
    <t xml:space="preserve">03 </t>
  </si>
  <si>
    <t>Основное мероприятие "Оздоровление детей и подростков"</t>
  </si>
  <si>
    <t>52 5 01 00000</t>
  </si>
  <si>
    <t>52 5 01 S3210</t>
  </si>
  <si>
    <t>52 5 01 73210</t>
  </si>
  <si>
    <t>02 0 02 01190</t>
  </si>
  <si>
    <t>57 1 01 00000</t>
  </si>
  <si>
    <t>52 1 01 11010</t>
  </si>
  <si>
    <t>Субсидии муниципальным учреждениям дошкольного образования на выполнение муниципального задания (МБДОУ "Детский сад п.Омсукчан")</t>
  </si>
  <si>
    <t>52 1 01 11020</t>
  </si>
  <si>
    <t>52 1 01 12010</t>
  </si>
  <si>
    <t>52 1 01 12020</t>
  </si>
  <si>
    <t>52 1 01 12030</t>
  </si>
  <si>
    <t>Субсидии муниципальным учреждениям общего образования на выполнение муниципального задания (МБОУ "СОШ п.Омсукчан"</t>
  </si>
  <si>
    <t>Субсидии муниципальным учреждениям общего образования на выполнение муниципального задания (МБОУ "СОШ п.Дукат")</t>
  </si>
  <si>
    <t>Субсидии муниципальным учреждениям общего образования на выполнение муниципального задания (МБОУ "ООШ п.Омсукчан")</t>
  </si>
  <si>
    <t>57 1 01 14010</t>
  </si>
  <si>
    <t>57 1 01 14020</t>
  </si>
  <si>
    <t>57 1 01 14030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</si>
  <si>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</si>
  <si>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</si>
  <si>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</si>
  <si>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</si>
  <si>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57 1 03 00000</t>
  </si>
  <si>
    <t>57 1 02 20030</t>
  </si>
  <si>
    <t>57 1 02 20040</t>
  </si>
  <si>
    <t>57 1 02 20060</t>
  </si>
  <si>
    <t>57 1 03 20070</t>
  </si>
  <si>
    <t>57 1 03 20140</t>
  </si>
  <si>
    <t>57 1 04 00000</t>
  </si>
  <si>
    <t>57 1 04 75010</t>
  </si>
  <si>
    <t>Основное мероприятие "Проведение физкультурно-спортивных мероприятий"</t>
  </si>
  <si>
    <t>57 3 01 00000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</si>
  <si>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</si>
  <si>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</si>
  <si>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</si>
  <si>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</si>
  <si>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</si>
  <si>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</si>
  <si>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</si>
  <si>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</si>
  <si>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</si>
  <si>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</si>
  <si>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</si>
  <si>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</si>
  <si>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</si>
  <si>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</si>
  <si>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</si>
  <si>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</si>
  <si>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</si>
  <si>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</si>
  <si>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</si>
  <si>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</si>
  <si>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</si>
  <si>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</si>
  <si>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</si>
  <si>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</si>
  <si>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</si>
  <si>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</si>
  <si>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</si>
  <si>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</si>
  <si>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</si>
  <si>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</si>
  <si>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</si>
  <si>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</si>
  <si>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60 1 01 00000</t>
  </si>
  <si>
    <t>60 1 01 01280</t>
  </si>
  <si>
    <t>Основное мероприятие "Создание комфортных условий для проживания населения"</t>
  </si>
  <si>
    <t>60 1 01 01390</t>
  </si>
  <si>
    <t>60 1 01 01400</t>
  </si>
  <si>
    <t>60 2 01 00000</t>
  </si>
  <si>
    <t>60 2 01 01400</t>
  </si>
  <si>
    <t>60 2 01 01410</t>
  </si>
  <si>
    <t>60 2 01 01420</t>
  </si>
  <si>
    <t>60 2 01 01430</t>
  </si>
  <si>
    <t>60 2 02 00000</t>
  </si>
  <si>
    <t>60 2 02 74170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</si>
  <si>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</si>
  <si>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</si>
  <si>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</si>
  <si>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</si>
  <si>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</si>
  <si>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</si>
  <si>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</si>
  <si>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</si>
  <si>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Основное мероприятие "Санитарное содержание территории"</t>
  </si>
  <si>
    <t>54 0 02 73260</t>
  </si>
  <si>
    <t>54 0 02 S3260</t>
  </si>
  <si>
    <t>Муниципальная программа "Развитие муниципальной службы Омсукчанского городского округа на 2018-2020 годы"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</si>
  <si>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</si>
  <si>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</si>
  <si>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</si>
  <si>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</si>
  <si>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Основное мероприятие "Повышение рождаемости в Омсукчанском городском округе"</t>
  </si>
  <si>
    <t>Мероприятия по поддержка граждан старшего поколения</t>
  </si>
  <si>
    <t>55 0 01 01810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</si>
  <si>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</si>
  <si>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</si>
  <si>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</si>
  <si>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</si>
  <si>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Приобретение и использование справочно-правовых систем, автоматизация кадровых процедур</t>
  </si>
  <si>
    <t>Основное мероприятие "Правовое и информационное обеспечение деятельности органов местного самоуправления Омсукчанского городского округа"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</si>
  <si>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</si>
  <si>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</si>
  <si>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</si>
  <si>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</si>
  <si>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</si>
  <si>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</si>
  <si>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</si>
  <si>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</si>
  <si>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58 1 03 00000</t>
  </si>
  <si>
    <t>58 1 03 01790</t>
  </si>
  <si>
    <t>58 1 04 00000</t>
  </si>
  <si>
    <t>58 1 04 75010</t>
  </si>
  <si>
    <t>Основное мероприятие "Культурно-массовые мероприятия в   учреждениях дополнительного образования детей"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</si>
  <si>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</si>
  <si>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</si>
  <si>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</si>
  <si>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</si>
  <si>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</si>
  <si>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</si>
  <si>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</si>
  <si>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</si>
  <si>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</si>
  <si>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Муниципальная программа "Комплексное развитие  систем коммунальной инфраструктуры Омсукчанского городского округа на 2019-2020 годы"</t>
  </si>
  <si>
    <t>Муниципальная программа "Профилактика экстеремизма и терроризма на территории Омсукчанского городского округа на 2017-2020 годы"</t>
  </si>
  <si>
    <t>уменьшен срок МП</t>
  </si>
  <si>
    <t>Муниципальная программа "Развитие транспортной инфраструктуры  Омсукчанского городского округа" на 2018-2020 годы"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</si>
  <si>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2017-2020 годы</t>
  </si>
  <si>
    <t>66 0 01 00000</t>
  </si>
  <si>
    <t>66 0 01 L5110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</si>
  <si>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2019-2020 годы"</t>
  </si>
  <si>
    <t>Муниципальная программа "Профилактика экстремизма и терроризма на территории Омсукчанского городского округа на 2017-2020 годы"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</si>
  <si>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2019-2020 годы"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</si>
  <si>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</si>
  <si>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</si>
  <si>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"Поощрение лучших учеников учреждений дополнительного образования детей"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</si>
  <si>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</si>
  <si>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</si>
  <si>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изменена формулировка</t>
  </si>
  <si>
    <t>59 0 01 01900</t>
  </si>
  <si>
    <t>увеличен срок по МП</t>
  </si>
  <si>
    <t xml:space="preserve">Ведомственная  структура расходов бюджета Омсукчанского городского округа на 2020 год </t>
  </si>
  <si>
    <t>План на 2020 год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</si>
  <si>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</si>
  <si>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</si>
  <si>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</si>
  <si>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</si>
  <si>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</si>
  <si>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</si>
  <si>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</si>
  <si>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</si>
  <si>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</si>
  <si>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</si>
  <si>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</si>
  <si>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</si>
  <si>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</si>
  <si>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</si>
  <si>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</si>
  <si>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 "Поддержка отдельных категорий граждан Омсукчанского городского округа"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</si>
  <si>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</si>
  <si>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</si>
  <si>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</si>
  <si>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51 7 01 S3310</t>
  </si>
  <si>
    <t>51 7 01 73310</t>
  </si>
  <si>
    <t>51 7 02 S3290</t>
  </si>
  <si>
    <t>51 7 02 73290</t>
  </si>
  <si>
    <t>51 7 03 S3470</t>
  </si>
  <si>
    <t>51 7 03 73470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</si>
  <si>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</si>
  <si>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</si>
  <si>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</si>
  <si>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</si>
  <si>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</si>
  <si>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51 6 01 01890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</si>
  <si>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</si>
  <si>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</si>
  <si>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</si>
  <si>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</si>
  <si>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</si>
  <si>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</si>
  <si>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</si>
  <si>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</si>
  <si>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</si>
  <si>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</si>
  <si>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</si>
  <si>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</si>
  <si>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57 3 01 01910</t>
  </si>
  <si>
    <t>Основное мероприятие "Содержание и ремонт автомобильных дорог общего пользования"</t>
  </si>
  <si>
    <t>Субсидии муниципальным учреждениям дошкольного образования на выполнение муниципального задания (МБДОУ "Детский сад п.Дукат")</t>
  </si>
  <si>
    <t>Муниципальная программа "Развитие малого и среднего предпринимательства в Омсукчанском городском округе" на 2018-2020 г.г."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</si>
  <si>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</si>
  <si>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</si>
  <si>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</si>
  <si>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</si>
  <si>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</si>
  <si>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</si>
  <si>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</si>
  <si>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</si>
  <si>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</si>
  <si>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</si>
  <si>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60 2 02 74190</t>
  </si>
  <si>
    <t>02 0 02 01750</t>
  </si>
  <si>
    <t>58 2 03 01790</t>
  </si>
  <si>
    <t>58 2 04 S3160</t>
  </si>
  <si>
    <t>58 2 04 73160</t>
  </si>
  <si>
    <t>58 2 05 00000</t>
  </si>
  <si>
    <t>58 2 05 74110</t>
  </si>
  <si>
    <t>58 2 05 75010</t>
  </si>
  <si>
    <t xml:space="preserve">01 0 03 51200 </t>
  </si>
  <si>
    <t>Создание условий для образования детей инвалидов</t>
  </si>
  <si>
    <t>63 0 01 01620</t>
  </si>
  <si>
    <t>02 0 02 01110</t>
  </si>
  <si>
    <t>67 0 01 00000</t>
  </si>
  <si>
    <t>58 3 04 01790</t>
  </si>
  <si>
    <t>58 3 05 00000</t>
  </si>
  <si>
    <t>58 3 05 74060</t>
  </si>
  <si>
    <t>58 3 05 74070</t>
  </si>
  <si>
    <t>58 3 05 75010</t>
  </si>
  <si>
    <t>Основное мероприятие "Развитие учреждений общего образования"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</si>
  <si>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</si>
  <si>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</si>
  <si>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</si>
  <si>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</si>
  <si>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</si>
  <si>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</si>
  <si>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 xml:space="preserve">План на 2020 год </t>
  </si>
  <si>
    <t>Приложение № 5.1.</t>
  </si>
  <si>
    <t xml:space="preserve">План на 2021 год </t>
  </si>
  <si>
    <t xml:space="preserve">План на 2022 год </t>
  </si>
  <si>
    <t>Приложение № 7.1.</t>
  </si>
  <si>
    <t>Расходы на обеспечение деятельности централизованной бухгалтерии</t>
  </si>
  <si>
    <t>Социальная политики</t>
  </si>
  <si>
    <t>бюджета Омсукчанского городского округа  на 2020 год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</si>
  <si>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</si>
  <si>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</si>
  <si>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Приложение № 9</t>
  </si>
  <si>
    <t>бюджета Омсукчанского городского округа  на 2021-2022 годы</t>
  </si>
  <si>
    <t>Приложение № 9.1.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</si>
  <si>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</si>
  <si>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</si>
  <si>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</si>
  <si>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60 2 01 01770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</si>
  <si>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</si>
  <si>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</si>
  <si>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</si>
  <si>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</si>
  <si>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Мероприятия по развитию библиотечного дела</t>
  </si>
  <si>
    <t>Подготовка участников резерва управленческих кадров из числа муниципальных служащих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</si>
  <si>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</si>
  <si>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</si>
  <si>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</si>
  <si>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с главой администрации, ЗАГС м/б, без оплаты проезда</t>
  </si>
  <si>
    <t>просто добавила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</si>
  <si>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</si>
  <si>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</si>
  <si>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</si>
  <si>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</si>
  <si>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</si>
  <si>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</si>
  <si>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</si>
  <si>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Управление жилищно-коммунальногохозяйства и градостроительства администрации Омсукчанского городского округа</t>
  </si>
  <si>
    <t>51 7 04 00000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</si>
  <si>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</si>
  <si>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</si>
  <si>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 xml:space="preserve"> </t>
  </si>
  <si>
    <t>1,043</t>
  </si>
  <si>
    <t>без ув-я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</si>
  <si>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</si>
  <si>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</si>
  <si>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</si>
  <si>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</si>
  <si>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</si>
  <si>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</si>
  <si>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</si>
  <si>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</si>
  <si>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</si>
  <si>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</si>
  <si>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</si>
  <si>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</si>
  <si>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</si>
  <si>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1 12 01 040 01 00000 120</t>
  </si>
  <si>
    <t>Плата за размещение отходов производства и потребления</t>
  </si>
  <si>
    <t>2 02 25497 00 0000 151</t>
  </si>
  <si>
    <t>Субсидии бюджетам на реализацию мероприятий по обеспечению жильем молодых семей</t>
  </si>
  <si>
    <t>2 02 25511 00 0000 150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</si>
  <si>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</si>
  <si>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</si>
  <si>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</si>
  <si>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>Субсидии бюджетам  городских округов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</si>
  <si>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</si>
  <si>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</si>
  <si>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</si>
  <si>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</si>
  <si>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</si>
  <si>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</si>
  <si>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</si>
  <si>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</si>
  <si>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</si>
  <si>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2 02 15002 00 0000 150</t>
  </si>
  <si>
    <t>Дотации бюджетам  на поддержку мер по обеспечению сбалансированности бюджетов</t>
  </si>
  <si>
    <t>2 02 15001 00 0000 150</t>
  </si>
  <si>
    <t>Субсидии бюджетам  на реализацию мероприятий по обеспечению жильем молодых семей</t>
  </si>
  <si>
    <t>Субсидии бюджетам городских округов на поддержку программ формирования современной городской среды</t>
  </si>
  <si>
    <t xml:space="preserve">Поступления доходов в </t>
  </si>
  <si>
    <t>бюджет Омсукчанского городского огруга в 2020 году</t>
  </si>
  <si>
    <t>бюджет Омсукчанского городского огруга</t>
  </si>
  <si>
    <t>на плановый период 2021-2022 годов</t>
  </si>
  <si>
    <t>Распределение бюджетных ассигнований</t>
  </si>
  <si>
    <t xml:space="preserve"> по разделам и подразделам классификации </t>
  </si>
  <si>
    <t xml:space="preserve"> расходов бюджетов Российской Федерации на  2020 год</t>
  </si>
  <si>
    <t xml:space="preserve"> по разделам и подразделам классификации</t>
  </si>
  <si>
    <t xml:space="preserve"> расходов бюджетов Российской Федерации на  плановый период 2021-2022 годов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</si>
  <si>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2021-2022 годов</t>
  </si>
  <si>
    <t>Ведомственная  структура расходов бюджета Омсукчанского городского округа на плановый период 2021-2022 годов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</si>
  <si>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2020 год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</si>
  <si>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2021-2022 годов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</si>
  <si>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</si>
  <si>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Резервные средства</t>
  </si>
  <si>
    <t>02 0 02 99999</t>
  </si>
  <si>
    <t>870</t>
  </si>
  <si>
    <t>51 7 04 01920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</si>
  <si>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</si>
  <si>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</si>
  <si>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Муниципальная программа "Чистая вода Омсукчанского городского округа" на 2020-2024 годы"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</si>
  <si>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</si>
  <si>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</si>
  <si>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</si>
  <si>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</si>
  <si>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</si>
  <si>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</si>
  <si>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</si>
  <si>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211/213</t>
  </si>
  <si>
    <t>511/213</t>
  </si>
  <si>
    <t>11575</t>
  </si>
  <si>
    <t>4454</t>
  </si>
  <si>
    <t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 без владельцев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</si>
  <si>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</si>
  <si>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>2 02 25519 04 0000 150</t>
  </si>
  <si>
    <t>Субсидия бюджетам городских округов на поддержку отрасли культуры</t>
  </si>
  <si>
    <t>2 02 25519 00 0000 150</t>
  </si>
  <si>
    <t>2 02 25497 04 0000 150</t>
  </si>
  <si>
    <t>2 02 25497 00 0000 150</t>
  </si>
  <si>
    <t>Субсидия бюджетам  на поддержку отрасли культуры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</si>
  <si>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в рамках государственной программы 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</si>
  <si>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</si>
  <si>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</si>
  <si>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</si>
  <si>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</si>
  <si>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</si>
  <si>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</si>
  <si>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</si>
  <si>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</si>
  <si>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</si>
  <si>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городских округов   на 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области"  государственной программы Магаданской области "Развитие образования в Магаданской области"  </t>
  </si>
  <si>
    <t>Субвенции бюджетам городских округов на проведение Всероссийской переписи населения 2020 года</t>
  </si>
  <si>
    <t>2 02 35469 00 0000 150</t>
  </si>
  <si>
    <t>2 02 35469 04 0000 150</t>
  </si>
  <si>
    <t>Субвенции бюджетам на проведение Всероссийской переписи населения 2020 года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</si>
  <si>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государственной программы Магаданской области "Развитие образования в Магаданской области"  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</si>
  <si>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</si>
  <si>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</si>
  <si>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</si>
  <si>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</si>
  <si>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52 2 04 00000</t>
  </si>
  <si>
    <t xml:space="preserve">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</si>
  <si>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</si>
  <si>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52 2 04 73420</t>
  </si>
  <si>
    <t>52 2 04 S3420</t>
  </si>
  <si>
    <t xml:space="preserve">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</si>
  <si>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Основное мероприятие "Развитие и укрепление материально-технической базы домов культуры"</t>
  </si>
  <si>
    <t>58 1 05 00000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</si>
  <si>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</si>
  <si>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58 1 05 L4670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</si>
  <si>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</si>
  <si>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</si>
  <si>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</si>
  <si>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</si>
  <si>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52 3 E1 00000</t>
  </si>
  <si>
    <t>52 3 E1 51690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</si>
  <si>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</si>
  <si>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</si>
  <si>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</si>
  <si>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</si>
  <si>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</si>
  <si>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</si>
  <si>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2021-2030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</si>
  <si>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2021-2030 годы"</t>
  </si>
  <si>
    <t>Муниципальная программа "Профилактика экстремизма и терроризма на территории Омсукчанского городского округа на 2021-2030 годы"</t>
  </si>
  <si>
    <t>Муниципальная программа "Развитие муниципальной службы в Омсукчанском городском округе на 2021-2030 годы"</t>
  </si>
  <si>
    <t>Муниципальная программа "Проведение социальной политики в Омсукчанском городском округе" на 2021-2030 г.г.</t>
  </si>
  <si>
    <t>Муниципальная программа "Формирование доступной среды в Омсукчанском городском округе" на 2021-2030 годы"</t>
  </si>
  <si>
    <t>Муниципальная программа "Профилактика экстеремизма и терроризма на территории Омсукчанского городского округа на 2021-2030 годы"</t>
  </si>
  <si>
    <t>Муниципальная программа "Развитие культуры в Омсукчанском городском округе на 2021-2030 г.г."</t>
  </si>
  <si>
    <t>Подпрограмма "Развитие народного творчества и проведение культурного досуга населения в Омсукчанском городском округе на 2021-2030 г.г."</t>
  </si>
  <si>
    <t>Подпрограмма "Развитие библиотечного дела в Омсукчанском городском округе на 2021-2030 г.г."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</si>
  <si>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</si>
  <si>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системы образования в Омсукчанском городском округе  на 2021-2030 г.г."</t>
  </si>
  <si>
    <t>Муниципальная программа "Развитие системы образования в Омсукчанском городском округе на 2021-2030 г.г."</t>
  </si>
  <si>
    <t>Подпрограмма "Развитие массовой физической культуры и спорта в Омсукчанском городском округе на 2021-2030 г.г."</t>
  </si>
  <si>
    <t>Муниципальная программа "Развитие физической культуры и спорта в Омсукчанском городском округе на 2021-2030 г.г."</t>
  </si>
  <si>
    <t>Подпрограмма "Физкультурно-спортивные мероприятия окружного и областного уровней на 2021-2030 годы"</t>
  </si>
  <si>
    <t>Муниципальная программа "Развитие транспортной инфраструктуры  Омсукчанского городского округа" на 2021-2030 годы"</t>
  </si>
  <si>
    <t>Муниципальная программа "Благоустройство территории Омсукчанского городского округа на 2021-2030 годы"</t>
  </si>
  <si>
    <t>Подпрограмма "Санитарное содержание территорий поселений Омсукчанского городского округа на 2021-2030 годы"</t>
  </si>
  <si>
    <t>Муниципальная программа "Развитие муниципальной службы Омсукчанского городского округа на 2021-2030 годы"</t>
  </si>
  <si>
    <t>Муниципальная программа "Развитие торговли на территории Омсукчанского городского округа" на 2021-2030 годы"</t>
  </si>
  <si>
    <t>Муниципальная программа "Развитие малого и среднего предпринимательства в Омсукчанском городском округе" на 2021-2030 г.г."</t>
  </si>
  <si>
    <t>58 1 A1 00000</t>
  </si>
  <si>
    <t>58 1 A1 55190</t>
  </si>
  <si>
    <t>58 1 А1 00000</t>
  </si>
  <si>
    <t>Основное мероприятие "Государственная поддержка отрасли культуры"</t>
  </si>
  <si>
    <t>Подпрограмма "Развитие дополнительного образования детей в области культуры в Омсукчанском городском округе"</t>
  </si>
  <si>
    <t>Подпрограмма "Развитие народного творчества и проведение культурного досуга населения в Омсукчанском городском округе"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</si>
  <si>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2021-2030 годах"</t>
  </si>
  <si>
    <t>Подпрограмма "Развитие массовой физической культуры и спорта в Омсукчанском городском округе"</t>
  </si>
  <si>
    <t>Подпрограмма "Физкультурно-спортивные мероприятия окружного и областного уровней"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</si>
  <si>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</si>
  <si>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Подпрограмма "Санитарное содержание территорий поселений Омсукчанского городского округа"</t>
  </si>
  <si>
    <t>Подпрограмма "Развитие библиотечного дела в Омсукчанском городском округе"</t>
  </si>
  <si>
    <t>от 16.12.2019г. № 39</t>
  </si>
  <si>
    <t>от 16.12.2019 года № 39</t>
  </si>
  <si>
    <t xml:space="preserve">                                                                                                                       к решению СПОГО</t>
  </si>
  <si>
    <t xml:space="preserve">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</si>
  <si>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от 16.12.2019г. № 39</t>
  </si>
  <si>
    <t xml:space="preserve">                от 16.12.2019г. № 39</t>
  </si>
  <si>
    <t xml:space="preserve">              к решению СПОГО</t>
  </si>
  <si>
    <t xml:space="preserve">             Приложение № 1.1</t>
  </si>
  <si>
    <t xml:space="preserve">         от 16.12.2019г. № 39</t>
  </si>
  <si>
    <t xml:space="preserve">       к решению СПОГО</t>
  </si>
  <si>
    <t xml:space="preserve">       Приложение № 4.1.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</si>
  <si>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2020 год</t>
  </si>
  <si>
    <t xml:space="preserve">                        от 16.12.2019г. № 39</t>
  </si>
  <si>
    <t xml:space="preserve">                       к решению СПОГО</t>
  </si>
  <si>
    <t xml:space="preserve">                  Приложение № 6</t>
  </si>
  <si>
    <t xml:space="preserve">               к решению СПОГО</t>
  </si>
  <si>
    <t xml:space="preserve">              Приложение № 6.1.</t>
  </si>
  <si>
    <t xml:space="preserve">           к решению СПОГО</t>
  </si>
  <si>
    <t xml:space="preserve">       Приложение № 8</t>
  </si>
  <si>
    <t>Распределение бюджетных ассигнований, направляемых на исполнение публичных нормативных обязательств на 2020 год</t>
  </si>
  <si>
    <t xml:space="preserve">               от 16.12.2019г. № 39</t>
  </si>
  <si>
    <t xml:space="preserve">       от 16.12.2019г. № 39</t>
  </si>
  <si>
    <t xml:space="preserve">      к решению СПОГО</t>
  </si>
  <si>
    <t xml:space="preserve">     Приложение № 8.1.</t>
  </si>
  <si>
    <t>Распределение бюджетных ассигнований, направляемых на исполнение публичных нормативных обязательств на плановый период 2021-2022 годов</t>
  </si>
  <si>
    <r>
      <t>_</t>
    </r>
    <r>
      <rPr>
        <b/>
        <sz val="11"/>
        <color theme="1"/>
        <rFont val="Calibri"/>
        <family val="2"/>
        <charset val="204"/>
        <scheme val="minor"/>
      </rPr>
      <t>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</si>
</sst>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#,##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Arial Cyr"/>
      <charset val="204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3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164" fontId="16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83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1" applyFont="1" applyFill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2" xfId="1" applyFont="1" applyFill="1" applyBorder="1" applyAlignment="1">
      <alignment horizontal="justify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left" vertical="center"/>
    </xf>
    <xf numFmtId="165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vertical="center" wrapText="1"/>
    </xf>
    <xf numFmtId="165" fontId="13" fillId="0" borderId="2" xfId="1" applyNumberFormat="1" applyFont="1" applyFill="1" applyBorder="1" applyAlignment="1">
      <alignment horizontal="center"/>
    </xf>
    <xf numFmtId="0" fontId="10" fillId="0" borderId="0" xfId="1" applyFill="1"/>
    <xf numFmtId="0" fontId="9" fillId="0" borderId="0" xfId="1" applyFont="1" applyFill="1"/>
    <xf numFmtId="4" fontId="14" fillId="0" borderId="0" xfId="1" applyNumberFormat="1" applyFont="1" applyFill="1" applyAlignment="1">
      <alignment horizontal="center"/>
    </xf>
    <xf numFmtId="0" fontId="9" fillId="0" borderId="0" xfId="1" applyFont="1" applyFill="1" applyAlignment="1"/>
    <xf numFmtId="1" fontId="9" fillId="0" borderId="0" xfId="1" applyNumberFormat="1" applyFont="1" applyFill="1"/>
    <xf numFmtId="2" fontId="9" fillId="0" borderId="0" xfId="1" applyNumberFormat="1" applyFont="1" applyFill="1"/>
    <xf numFmtId="0" fontId="10" fillId="0" borderId="0" xfId="0" applyFont="1" applyFill="1"/>
    <xf numFmtId="0" fontId="2" fillId="0" borderId="0" xfId="1" applyFont="1" applyFill="1"/>
    <xf numFmtId="0" fontId="3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/>
    <xf numFmtId="0" fontId="3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0" fillId="0" borderId="1" xfId="0" applyFont="1" applyBorder="1" applyAlignment="1">
      <alignment horizontal="right"/>
    </xf>
    <xf numFmtId="0" fontId="21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5" fontId="3" fillId="4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165" fontId="9" fillId="0" borderId="0" xfId="1" applyNumberFormat="1" applyFont="1" applyFill="1"/>
    <xf numFmtId="2" fontId="15" fillId="0" borderId="0" xfId="1" applyNumberFormat="1" applyFont="1" applyFill="1"/>
    <xf numFmtId="2" fontId="0" fillId="0" borderId="0" xfId="0" applyNumberFormat="1" applyFill="1"/>
    <xf numFmtId="49" fontId="2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3" fillId="0" borderId="2" xfId="1" applyNumberFormat="1" applyFont="1" applyFill="1" applyBorder="1" applyAlignment="1">
      <alignment horizontal="center" vertical="center"/>
    </xf>
    <xf numFmtId="49" fontId="22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2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0" fillId="0" borderId="0" xfId="0" applyFont="1" applyFill="1" applyBorder="1"/>
    <xf numFmtId="165" fontId="0" fillId="0" borderId="0" xfId="0" applyNumberFormat="1" applyFill="1"/>
    <xf numFmtId="0" fontId="22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15" xfId="1" applyNumberFormat="1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0" fillId="5" borderId="0" xfId="0" applyFont="1" applyFill="1" applyBorder="1"/>
    <xf numFmtId="0" fontId="26" fillId="5" borderId="0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/>
    <xf numFmtId="0" fontId="8" fillId="0" borderId="3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Alignment="1">
      <alignment horizontal="left"/>
    </xf>
    <xf numFmtId="165" fontId="2" fillId="6" borderId="2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 wrapText="1"/>
    </xf>
    <xf numFmtId="165" fontId="2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2" fillId="6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65" fontId="2" fillId="7" borderId="2" xfId="1" applyNumberFormat="1" applyFont="1" applyFill="1" applyBorder="1" applyAlignment="1">
      <alignment horizontal="center" vertical="center" wrapText="1"/>
    </xf>
    <xf numFmtId="165" fontId="2" fillId="8" borderId="2" xfId="1" applyNumberFormat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vertical="center" wrapText="1"/>
    </xf>
    <xf numFmtId="49" fontId="2" fillId="0" borderId="9" xfId="1" applyNumberFormat="1" applyFont="1" applyFill="1" applyBorder="1" applyAlignment="1">
      <alignment horizontal="left" vertical="center"/>
    </xf>
    <xf numFmtId="165" fontId="2" fillId="7" borderId="2" xfId="1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right" vertical="top" wrapText="1"/>
    </xf>
    <xf numFmtId="49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49" fontId="27" fillId="0" borderId="0" xfId="1" applyNumberFormat="1" applyFont="1" applyFill="1" applyBorder="1" applyAlignment="1">
      <alignment horizontal="center" vertical="center"/>
    </xf>
    <xf numFmtId="49" fontId="27" fillId="0" borderId="15" xfId="1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165" fontId="29" fillId="0" borderId="0" xfId="0" applyNumberFormat="1" applyFont="1" applyFill="1"/>
    <xf numFmtId="0" fontId="22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165" fontId="13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165" fontId="2" fillId="0" borderId="1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top" wrapText="1"/>
    </xf>
    <xf numFmtId="0" fontId="33" fillId="0" borderId="0" xfId="0" applyFont="1"/>
    <xf numFmtId="0" fontId="14" fillId="0" borderId="0" xfId="0" applyNumberFormat="1" applyFont="1" applyFill="1" applyAlignment="1">
      <alignment horizontal="right"/>
    </xf>
    <xf numFmtId="0" fontId="2" fillId="0" borderId="3" xfId="1" applyNumberFormat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center" wrapText="1"/>
    </xf>
    <xf numFmtId="165" fontId="13" fillId="0" borderId="11" xfId="0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left" vertical="top" wrapText="1"/>
    </xf>
    <xf numFmtId="0" fontId="10" fillId="0" borderId="0" xfId="1" applyNumberFormat="1" applyFill="1"/>
    <xf numFmtId="49" fontId="2" fillId="0" borderId="2" xfId="1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/>
    <xf numFmtId="165" fontId="33" fillId="0" borderId="0" xfId="0" applyNumberFormat="1" applyFont="1" applyFill="1"/>
    <xf numFmtId="0" fontId="34" fillId="0" borderId="0" xfId="0" applyNumberFormat="1" applyFont="1" applyFill="1"/>
    <xf numFmtId="0" fontId="0" fillId="2" borderId="0" xfId="0" applyFill="1"/>
    <xf numFmtId="0" fontId="0" fillId="0" borderId="0" xfId="0" applyFill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0" fontId="11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65" fontId="1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65" fontId="5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49" fontId="20" fillId="0" borderId="0" xfId="1" applyNumberFormat="1" applyFont="1" applyFill="1" applyBorder="1" applyAlignment="1">
      <alignment horizontal="center" vertical="center"/>
    </xf>
    <xf numFmtId="0" fontId="0" fillId="0" borderId="16" xfId="0" applyFill="1" applyBorder="1"/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3" fillId="0" borderId="0" xfId="0" applyFont="1" applyFill="1"/>
    <xf numFmtId="0" fontId="0" fillId="0" borderId="0" xfId="0" applyNumberFormat="1" applyFill="1" applyAlignment="1">
      <alignment horizontal="center" vertical="center"/>
    </xf>
    <xf numFmtId="49" fontId="20" fillId="0" borderId="0" xfId="1" applyNumberFormat="1" applyFont="1" applyFill="1" applyBorder="1" applyAlignment="1">
      <alignment horizontal="center" vertical="center" wrapText="1"/>
    </xf>
    <xf numFmtId="49" fontId="20" fillId="0" borderId="0" xfId="1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top"/>
    </xf>
    <xf numFmtId="49" fontId="20" fillId="0" borderId="0" xfId="1" applyNumberFormat="1" applyFont="1" applyFill="1" applyBorder="1" applyAlignment="1">
      <alignment horizontal="center" vertical="center"/>
    </xf>
    <xf numFmtId="49" fontId="20" fillId="2" borderId="15" xfId="1" applyNumberFormat="1" applyFont="1" applyFill="1" applyBorder="1" applyAlignment="1">
      <alignment horizontal="center" vertical="center"/>
    </xf>
    <xf numFmtId="49" fontId="20" fillId="2" borderId="15" xfId="1" applyNumberFormat="1" applyFont="1" applyFill="1" applyBorder="1" applyAlignment="1">
      <alignment horizontal="left" vertical="center"/>
    </xf>
    <xf numFmtId="165" fontId="0" fillId="2" borderId="0" xfId="0" applyNumberFormat="1" applyFill="1"/>
    <xf numFmtId="49" fontId="20" fillId="2" borderId="15" xfId="0" applyNumberFormat="1" applyFont="1" applyFill="1" applyBorder="1" applyAlignment="1">
      <alignment horizontal="center" vertical="center" wrapText="1"/>
    </xf>
    <xf numFmtId="49" fontId="20" fillId="2" borderId="15" xfId="0" applyNumberFormat="1" applyFont="1" applyFill="1" applyBorder="1" applyAlignment="1">
      <alignment horizontal="center" vertical="center"/>
    </xf>
    <xf numFmtId="165" fontId="2" fillId="2" borderId="15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/>
    </xf>
    <xf numFmtId="0" fontId="0" fillId="2" borderId="0" xfId="0" applyFont="1" applyFill="1"/>
    <xf numFmtId="49" fontId="20" fillId="2" borderId="0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1" applyFill="1"/>
    <xf numFmtId="0" fontId="9" fillId="2" borderId="0" xfId="1" applyFont="1" applyFill="1"/>
    <xf numFmtId="0" fontId="14" fillId="2" borderId="0" xfId="1" applyFont="1" applyFill="1" applyAlignment="1">
      <alignment horizontal="center"/>
    </xf>
    <xf numFmtId="4" fontId="14" fillId="2" borderId="0" xfId="1" applyNumberFormat="1" applyFont="1" applyFill="1" applyAlignment="1">
      <alignment horizontal="center"/>
    </xf>
    <xf numFmtId="2" fontId="0" fillId="2" borderId="0" xfId="0" applyNumberFormat="1" applyFill="1"/>
    <xf numFmtId="0" fontId="9" fillId="2" borderId="0" xfId="1" applyFont="1" applyFill="1" applyAlignment="1"/>
    <xf numFmtId="165" fontId="9" fillId="2" borderId="0" xfId="1" applyNumberFormat="1" applyFont="1" applyFill="1"/>
    <xf numFmtId="4" fontId="9" fillId="2" borderId="0" xfId="1" applyNumberFormat="1" applyFont="1" applyFill="1"/>
    <xf numFmtId="1" fontId="9" fillId="2" borderId="0" xfId="1" applyNumberFormat="1" applyFont="1" applyFill="1"/>
    <xf numFmtId="2" fontId="9" fillId="2" borderId="0" xfId="1" applyNumberFormat="1" applyFont="1" applyFill="1"/>
    <xf numFmtId="2" fontId="15" fillId="2" borderId="0" xfId="1" applyNumberFormat="1" applyFont="1" applyFill="1"/>
    <xf numFmtId="4" fontId="0" fillId="2" borderId="0" xfId="0" applyNumberFormat="1" applyFill="1"/>
    <xf numFmtId="49" fontId="20" fillId="2" borderId="0" xfId="1" applyNumberFormat="1" applyFont="1" applyFill="1" applyBorder="1" applyAlignment="1">
      <alignment horizontal="left" vertical="center"/>
    </xf>
    <xf numFmtId="49" fontId="20" fillId="2" borderId="0" xfId="0" applyNumberFormat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left" vertical="center"/>
    </xf>
    <xf numFmtId="49" fontId="20" fillId="0" borderId="0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top" wrapText="1"/>
    </xf>
    <xf numFmtId="165" fontId="10" fillId="2" borderId="0" xfId="1" applyNumberFormat="1" applyFill="1"/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vertical="top" wrapText="1"/>
    </xf>
    <xf numFmtId="0" fontId="35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17" fillId="0" borderId="2" xfId="0" applyFont="1" applyFill="1" applyBorder="1"/>
    <xf numFmtId="0" fontId="12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4" fontId="3" fillId="0" borderId="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 wrapText="1"/>
    </xf>
    <xf numFmtId="165" fontId="2" fillId="4" borderId="2" xfId="1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4" fillId="2" borderId="0" xfId="1" applyFont="1" applyFill="1" applyAlignment="1">
      <alignment horizontal="right"/>
    </xf>
    <xf numFmtId="1" fontId="0" fillId="0" borderId="0" xfId="0" applyNumberFormat="1" applyFill="1" applyBorder="1"/>
    <xf numFmtId="4" fontId="0" fillId="0" borderId="0" xfId="0" applyNumberFormat="1" applyFill="1"/>
    <xf numFmtId="2" fontId="20" fillId="2" borderId="0" xfId="1" applyNumberFormat="1" applyFont="1" applyFill="1" applyBorder="1" applyAlignment="1">
      <alignment horizontal="center" vertical="center"/>
    </xf>
    <xf numFmtId="165" fontId="14" fillId="10" borderId="0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4" fontId="3" fillId="0" borderId="2" xfId="2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17" fillId="0" borderId="2" xfId="0" applyNumberFormat="1" applyFont="1" applyFill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9" fontId="20" fillId="2" borderId="15" xfId="1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4" fontId="3" fillId="0" borderId="2" xfId="1" applyNumberFormat="1" applyFont="1" applyFill="1" applyBorder="1" applyAlignment="1">
      <alignment horizontal="center" vertical="center"/>
    </xf>
    <xf numFmtId="4" fontId="3" fillId="4" borderId="2" xfId="1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0" fillId="0" borderId="0" xfId="1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0" fontId="0" fillId="7" borderId="0" xfId="0" applyFill="1" applyBorder="1"/>
    <xf numFmtId="49" fontId="20" fillId="7" borderId="0" xfId="1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vertical="top"/>
    </xf>
    <xf numFmtId="0" fontId="17" fillId="0" borderId="0" xfId="0" applyFont="1" applyFill="1" applyAlignment="1">
      <alignment horizontal="center" wrapText="1"/>
    </xf>
    <xf numFmtId="0" fontId="19" fillId="0" borderId="2" xfId="0" applyFont="1" applyFill="1" applyBorder="1"/>
    <xf numFmtId="0" fontId="2" fillId="0" borderId="8" xfId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36" fillId="0" borderId="3" xfId="0" applyFont="1" applyFill="1" applyBorder="1" applyAlignment="1">
      <alignment horizontal="right" wrapText="1"/>
    </xf>
    <xf numFmtId="0" fontId="3" fillId="0" borderId="0" xfId="1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wrapText="1"/>
    </xf>
    <xf numFmtId="165" fontId="2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justify" vertical="center" wrapText="1"/>
    </xf>
    <xf numFmtId="2" fontId="20" fillId="7" borderId="0" xfId="1" applyNumberFormat="1" applyFont="1" applyFill="1" applyBorder="1" applyAlignment="1">
      <alignment horizontal="center" vertical="center"/>
    </xf>
    <xf numFmtId="2" fontId="20" fillId="7" borderId="0" xfId="1" applyNumberFormat="1" applyFont="1" applyFill="1" applyBorder="1" applyAlignment="1">
      <alignment horizontal="left" vertical="center"/>
    </xf>
    <xf numFmtId="0" fontId="0" fillId="7" borderId="0" xfId="0" applyFill="1"/>
    <xf numFmtId="4" fontId="2" fillId="7" borderId="0" xfId="1" applyNumberFormat="1" applyFont="1" applyFill="1" applyBorder="1" applyAlignment="1">
      <alignment horizontal="center" vertical="center"/>
    </xf>
    <xf numFmtId="4" fontId="0" fillId="7" borderId="0" xfId="0" applyNumberFormat="1" applyFill="1"/>
    <xf numFmtId="4" fontId="2" fillId="2" borderId="0" xfId="1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165" fontId="13" fillId="0" borderId="8" xfId="0" applyNumberFormat="1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" fontId="14" fillId="0" borderId="9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38" fillId="0" borderId="2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/>
    <xf numFmtId="2" fontId="33" fillId="0" borderId="0" xfId="0" applyNumberFormat="1" applyFont="1" applyFill="1"/>
    <xf numFmtId="2" fontId="0" fillId="0" borderId="0" xfId="0" applyNumberFormat="1" applyFill="1" applyAlignment="1">
      <alignment vertical="center"/>
    </xf>
    <xf numFmtId="2" fontId="24" fillId="0" borderId="0" xfId="0" applyNumberFormat="1" applyFont="1" applyFill="1"/>
    <xf numFmtId="2" fontId="1" fillId="0" borderId="0" xfId="0" applyNumberFormat="1" applyFont="1" applyFill="1" applyAlignment="1">
      <alignment vertical="center"/>
    </xf>
    <xf numFmtId="2" fontId="10" fillId="0" borderId="0" xfId="1" applyNumberFormat="1" applyFill="1"/>
    <xf numFmtId="2" fontId="14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wrapText="1"/>
    </xf>
    <xf numFmtId="2" fontId="14" fillId="1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/>
    <xf numFmtId="0" fontId="2" fillId="0" borderId="8" xfId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4" fontId="14" fillId="0" borderId="8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4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4" fontId="2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2" xfId="1" applyNumberFormat="1" applyFont="1" applyFill="1" applyBorder="1" applyAlignment="1">
      <alignment horizontal="center" vertical="center"/>
    </xf>
    <xf numFmtId="4" fontId="12" fillId="0" borderId="2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3" fillId="0" borderId="2" xfId="1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justify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34" fillId="0" borderId="0" xfId="0" applyFont="1"/>
    <xf numFmtId="0" fontId="34" fillId="0" borderId="0" xfId="0" applyFont="1" applyAlignment="1"/>
    <xf numFmtId="0" fontId="2" fillId="0" borderId="0" xfId="0" applyNumberFormat="1" applyFont="1" applyFill="1" applyAlignment="1">
      <alignment horizont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49" fontId="20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1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view="pageBreakPreview" zoomScaleNormal="95" zoomScaleSheetLayoutView="100" workbookViewId="0">
      <selection activeCell="B3" sqref="B3:C3"/>
    </sheetView>
  </sheetViews>
  <sheetFormatPr defaultRowHeight="15" x14ac:dyDescent="0.25"/>
  <cols>
    <col min="1" max="1" width="25.140625" style="131" customWidth="1"/>
    <col min="2" max="2" width="77.5703125" style="131" customWidth="1"/>
    <col min="3" max="3" width="16.28515625" style="131" customWidth="1"/>
    <col min="4" max="4" width="18.85546875" style="131" hidden="1" customWidth="1"/>
    <col min="5" max="5" width="12.5703125" style="131" hidden="1" customWidth="1"/>
    <col min="6" max="6" width="11.85546875" style="131" hidden="1" customWidth="1"/>
    <col min="7" max="7" width="12.5703125" style="131" hidden="1" customWidth="1"/>
    <col min="8" max="8" width="11.85546875" style="131" customWidth="1"/>
    <col min="9" max="9" width="15" style="131" customWidth="1"/>
    <col min="10" max="10" width="15.85546875" style="131" customWidth="1"/>
    <col min="11" max="11" width="9.140625" style="131"/>
    <col min="12" max="12" width="17" style="131" customWidth="1"/>
    <col min="13" max="16384" width="9.140625" style="131"/>
  </cols>
  <sheetData>
    <row r="1" spans="1:10" ht="15.75" x14ac:dyDescent="0.25">
      <c r="B1" s="456" t="s">
        <v>1483</v>
      </c>
      <c r="C1" s="456"/>
    </row>
    <row r="2" spans="1:10" ht="15.75" x14ac:dyDescent="0.25">
      <c r="B2" s="456" t="s">
        <v>1482</v>
      </c>
      <c r="C2" s="456"/>
    </row>
    <row r="3" spans="1:10" ht="15.75" x14ac:dyDescent="0.25">
      <c r="B3" s="456" t="s">
        <v>1484</v>
      </c>
      <c r="C3" s="456"/>
    </row>
    <row r="4" spans="1:10" ht="15.75" x14ac:dyDescent="0.25">
      <c r="A4" s="459" t="s">
        <v>1364</v>
      </c>
      <c r="B4" s="459"/>
      <c r="C4" s="459"/>
    </row>
    <row r="5" spans="1:10" ht="15.75" x14ac:dyDescent="0.25">
      <c r="A5" s="459" t="s">
        <v>1365</v>
      </c>
      <c r="B5" s="459"/>
      <c r="C5" s="459"/>
    </row>
    <row r="6" spans="1:10" ht="15.75" x14ac:dyDescent="0.25">
      <c r="A6" s="459"/>
      <c r="B6" s="459"/>
      <c r="C6" s="459"/>
    </row>
    <row r="7" spans="1:10" ht="15.75" x14ac:dyDescent="0.25">
      <c r="A7" s="134"/>
      <c r="B7" s="134"/>
      <c r="C7" s="297" t="s">
        <v>714</v>
      </c>
    </row>
    <row r="8" spans="1:10" ht="31.5" x14ac:dyDescent="0.25">
      <c r="A8" s="135" t="s">
        <v>2</v>
      </c>
      <c r="B8" s="136" t="s">
        <v>3</v>
      </c>
      <c r="C8" s="227" t="s">
        <v>1203</v>
      </c>
      <c r="D8" s="118">
        <f>C10+C16+C21+C31+C39</f>
        <v>249175.8</v>
      </c>
    </row>
    <row r="9" spans="1:10" ht="18.75" x14ac:dyDescent="0.25">
      <c r="A9" s="137" t="s">
        <v>5</v>
      </c>
      <c r="B9" s="138" t="s">
        <v>6</v>
      </c>
      <c r="C9" s="323">
        <f>C10+C16+C21+C31+C39+C42+C48+C55+C58+C63+C71</f>
        <v>295019.59999999998</v>
      </c>
      <c r="E9" s="118"/>
      <c r="G9" s="118"/>
      <c r="J9" s="118"/>
    </row>
    <row r="10" spans="1:10" ht="18.75" x14ac:dyDescent="0.25">
      <c r="A10" s="139" t="s">
        <v>7</v>
      </c>
      <c r="B10" s="138" t="s">
        <v>8</v>
      </c>
      <c r="C10" s="323">
        <f>C11</f>
        <v>218445.8</v>
      </c>
      <c r="D10" s="118"/>
      <c r="F10" s="118"/>
      <c r="G10" s="118"/>
      <c r="H10" s="118"/>
      <c r="I10" s="118"/>
      <c r="J10" s="118"/>
    </row>
    <row r="11" spans="1:10" ht="18.75" x14ac:dyDescent="0.25">
      <c r="A11" s="140" t="s">
        <v>9</v>
      </c>
      <c r="B11" s="141" t="s">
        <v>10</v>
      </c>
      <c r="C11" s="323">
        <f>SUM(C12:C15)</f>
        <v>218445.8</v>
      </c>
      <c r="D11" s="118"/>
      <c r="F11" s="118"/>
      <c r="G11" s="118"/>
      <c r="H11" s="118"/>
      <c r="I11" s="118"/>
      <c r="J11" s="118"/>
    </row>
    <row r="12" spans="1:10" ht="63" x14ac:dyDescent="0.25">
      <c r="A12" s="227" t="s">
        <v>11</v>
      </c>
      <c r="B12" s="142" t="s">
        <v>12</v>
      </c>
      <c r="C12" s="324">
        <v>217809</v>
      </c>
      <c r="D12" s="234"/>
    </row>
    <row r="13" spans="1:10" ht="94.5" x14ac:dyDescent="0.25">
      <c r="A13" s="227" t="s">
        <v>13</v>
      </c>
      <c r="B13" s="143" t="s">
        <v>14</v>
      </c>
      <c r="C13" s="324">
        <v>18.3</v>
      </c>
    </row>
    <row r="14" spans="1:10" ht="36.75" customHeight="1" x14ac:dyDescent="0.25">
      <c r="A14" s="227" t="s">
        <v>15</v>
      </c>
      <c r="B14" s="143" t="s">
        <v>16</v>
      </c>
      <c r="C14" s="324">
        <v>595.9</v>
      </c>
    </row>
    <row r="15" spans="1:10" ht="78.75" x14ac:dyDescent="0.25">
      <c r="A15" s="227" t="s">
        <v>17</v>
      </c>
      <c r="B15" s="143" t="s">
        <v>18</v>
      </c>
      <c r="C15" s="324">
        <v>22.6</v>
      </c>
    </row>
    <row r="16" spans="1:10" ht="31.5" x14ac:dyDescent="0.25">
      <c r="A16" s="144" t="s">
        <v>19</v>
      </c>
      <c r="B16" s="145" t="s">
        <v>20</v>
      </c>
      <c r="C16" s="323">
        <f t="shared" ref="C16" si="0">C17</f>
        <v>3446</v>
      </c>
    </row>
    <row r="17" spans="1:6" ht="31.5" x14ac:dyDescent="0.25">
      <c r="A17" s="190" t="s">
        <v>21</v>
      </c>
      <c r="B17" s="191" t="s">
        <v>22</v>
      </c>
      <c r="C17" s="323">
        <f t="shared" ref="C17" si="1">SUM(C18:C20)</f>
        <v>3446</v>
      </c>
    </row>
    <row r="18" spans="1:6" ht="63" x14ac:dyDescent="0.25">
      <c r="A18" s="146" t="s">
        <v>23</v>
      </c>
      <c r="B18" s="143" t="s">
        <v>24</v>
      </c>
      <c r="C18" s="324">
        <v>1579</v>
      </c>
    </row>
    <row r="19" spans="1:6" ht="78.75" x14ac:dyDescent="0.25">
      <c r="A19" s="400" t="s">
        <v>25</v>
      </c>
      <c r="B19" s="143" t="s">
        <v>26</v>
      </c>
      <c r="C19" s="324">
        <v>9</v>
      </c>
    </row>
    <row r="20" spans="1:6" ht="63" x14ac:dyDescent="0.25">
      <c r="A20" s="400" t="s">
        <v>27</v>
      </c>
      <c r="B20" s="143" t="s">
        <v>28</v>
      </c>
      <c r="C20" s="383">
        <v>1858</v>
      </c>
    </row>
    <row r="21" spans="1:6" ht="18.75" x14ac:dyDescent="0.25">
      <c r="A21" s="140" t="s">
        <v>29</v>
      </c>
      <c r="B21" s="141" t="s">
        <v>30</v>
      </c>
      <c r="C21" s="323">
        <f>SUM(C22+C27+C29)</f>
        <v>24666</v>
      </c>
      <c r="F21" s="218"/>
    </row>
    <row r="22" spans="1:6" ht="31.5" x14ac:dyDescent="0.25">
      <c r="A22" s="137" t="s">
        <v>31</v>
      </c>
      <c r="B22" s="141" t="s">
        <v>32</v>
      </c>
      <c r="C22" s="323">
        <f>C23+C25</f>
        <v>14478</v>
      </c>
    </row>
    <row r="23" spans="1:6" ht="31.5" x14ac:dyDescent="0.25">
      <c r="A23" s="137" t="s">
        <v>1339</v>
      </c>
      <c r="B23" s="273" t="s">
        <v>34</v>
      </c>
      <c r="C23" s="323">
        <f>C24</f>
        <v>7239</v>
      </c>
    </row>
    <row r="24" spans="1:6" ht="31.5" x14ac:dyDescent="0.25">
      <c r="A24" s="135" t="s">
        <v>33</v>
      </c>
      <c r="B24" s="101" t="s">
        <v>34</v>
      </c>
      <c r="C24" s="324">
        <f>14478/2</f>
        <v>7239</v>
      </c>
    </row>
    <row r="25" spans="1:6" ht="36.75" customHeight="1" x14ac:dyDescent="0.25">
      <c r="A25" s="137" t="s">
        <v>1338</v>
      </c>
      <c r="B25" s="343" t="s">
        <v>1337</v>
      </c>
      <c r="C25" s="323">
        <f>C26</f>
        <v>7239</v>
      </c>
    </row>
    <row r="26" spans="1:6" ht="63" x14ac:dyDescent="0.25">
      <c r="A26" s="135" t="s">
        <v>35</v>
      </c>
      <c r="B26" s="147" t="s">
        <v>36</v>
      </c>
      <c r="C26" s="324">
        <v>7239</v>
      </c>
    </row>
    <row r="27" spans="1:6" ht="18.75" x14ac:dyDescent="0.25">
      <c r="A27" s="137" t="s">
        <v>37</v>
      </c>
      <c r="B27" s="150" t="s">
        <v>38</v>
      </c>
      <c r="C27" s="323">
        <f t="shared" ref="C27" si="2">SUM(C28:C28)</f>
        <v>9841</v>
      </c>
    </row>
    <row r="28" spans="1:6" ht="18.75" x14ac:dyDescent="0.25">
      <c r="A28" s="227" t="s">
        <v>39</v>
      </c>
      <c r="B28" s="142" t="s">
        <v>38</v>
      </c>
      <c r="C28" s="324">
        <v>9841</v>
      </c>
    </row>
    <row r="29" spans="1:6" ht="31.5" x14ac:dyDescent="0.25">
      <c r="A29" s="137" t="s">
        <v>1353</v>
      </c>
      <c r="B29" s="148" t="s">
        <v>1340</v>
      </c>
      <c r="C29" s="323">
        <f>C30</f>
        <v>347</v>
      </c>
    </row>
    <row r="30" spans="1:6" ht="31.5" x14ac:dyDescent="0.25">
      <c r="A30" s="135" t="s">
        <v>40</v>
      </c>
      <c r="B30" s="317" t="s">
        <v>41</v>
      </c>
      <c r="C30" s="324">
        <v>347</v>
      </c>
    </row>
    <row r="31" spans="1:6" ht="18.75" x14ac:dyDescent="0.25">
      <c r="A31" s="140" t="s">
        <v>42</v>
      </c>
      <c r="B31" s="141" t="s">
        <v>43</v>
      </c>
      <c r="C31" s="323">
        <f t="shared" ref="C31" si="3">C32+C34</f>
        <v>1144</v>
      </c>
    </row>
    <row r="32" spans="1:6" ht="18.75" x14ac:dyDescent="0.25">
      <c r="A32" s="140" t="s">
        <v>44</v>
      </c>
      <c r="B32" s="141" t="s">
        <v>45</v>
      </c>
      <c r="C32" s="323">
        <f t="shared" ref="C32" si="4">C33</f>
        <v>811</v>
      </c>
    </row>
    <row r="33" spans="1:6" ht="38.25" customHeight="1" x14ac:dyDescent="0.25">
      <c r="A33" s="227" t="s">
        <v>46</v>
      </c>
      <c r="B33" s="147" t="s">
        <v>47</v>
      </c>
      <c r="C33" s="324">
        <v>811</v>
      </c>
    </row>
    <row r="34" spans="1:6" ht="18.75" x14ac:dyDescent="0.25">
      <c r="A34" s="140" t="s">
        <v>48</v>
      </c>
      <c r="B34" s="141" t="s">
        <v>49</v>
      </c>
      <c r="C34" s="323">
        <f>C35+C37</f>
        <v>333</v>
      </c>
    </row>
    <row r="35" spans="1:6" ht="18.75" x14ac:dyDescent="0.25">
      <c r="A35" s="140" t="s">
        <v>1355</v>
      </c>
      <c r="B35" s="141" t="s">
        <v>1354</v>
      </c>
      <c r="C35" s="323">
        <f>C36</f>
        <v>178</v>
      </c>
    </row>
    <row r="36" spans="1:6" ht="31.5" x14ac:dyDescent="0.25">
      <c r="A36" s="227" t="s">
        <v>50</v>
      </c>
      <c r="B36" s="147" t="s">
        <v>51</v>
      </c>
      <c r="C36" s="324">
        <v>178</v>
      </c>
    </row>
    <row r="37" spans="1:6" ht="18.75" x14ac:dyDescent="0.25">
      <c r="A37" s="140" t="s">
        <v>1357</v>
      </c>
      <c r="B37" s="141" t="s">
        <v>1356</v>
      </c>
      <c r="C37" s="323">
        <f>C38</f>
        <v>155</v>
      </c>
    </row>
    <row r="38" spans="1:6" ht="31.5" x14ac:dyDescent="0.25">
      <c r="A38" s="227" t="s">
        <v>52</v>
      </c>
      <c r="B38" s="147" t="s">
        <v>53</v>
      </c>
      <c r="C38" s="324">
        <v>155</v>
      </c>
    </row>
    <row r="39" spans="1:6" ht="18.75" x14ac:dyDescent="0.25">
      <c r="A39" s="140" t="s">
        <v>54</v>
      </c>
      <c r="B39" s="141" t="s">
        <v>55</v>
      </c>
      <c r="C39" s="323">
        <f t="shared" ref="C39:C40" si="5">C40</f>
        <v>1474</v>
      </c>
    </row>
    <row r="40" spans="1:6" ht="31.5" x14ac:dyDescent="0.25">
      <c r="A40" s="140" t="s">
        <v>56</v>
      </c>
      <c r="B40" s="141" t="s">
        <v>57</v>
      </c>
      <c r="C40" s="323">
        <f t="shared" si="5"/>
        <v>1474</v>
      </c>
    </row>
    <row r="41" spans="1:6" ht="47.25" x14ac:dyDescent="0.25">
      <c r="A41" s="227" t="s">
        <v>58</v>
      </c>
      <c r="B41" s="142" t="s">
        <v>59</v>
      </c>
      <c r="C41" s="324">
        <v>1474</v>
      </c>
    </row>
    <row r="42" spans="1:6" ht="31.5" x14ac:dyDescent="0.25">
      <c r="A42" s="140" t="s">
        <v>60</v>
      </c>
      <c r="B42" s="149" t="s">
        <v>61</v>
      </c>
      <c r="C42" s="323">
        <f t="shared" ref="C42" si="6">C43</f>
        <v>43000</v>
      </c>
      <c r="D42" s="118">
        <f>C42+C48+C55+C58+C63</f>
        <v>45843.8</v>
      </c>
      <c r="F42" s="118"/>
    </row>
    <row r="43" spans="1:6" ht="78.75" x14ac:dyDescent="0.25">
      <c r="A43" s="140" t="s">
        <v>62</v>
      </c>
      <c r="B43" s="149" t="s">
        <v>63</v>
      </c>
      <c r="C43" s="323">
        <f t="shared" ref="C43" si="7">C44+C46</f>
        <v>43000</v>
      </c>
    </row>
    <row r="44" spans="1:6" ht="63" x14ac:dyDescent="0.25">
      <c r="A44" s="140" t="s">
        <v>64</v>
      </c>
      <c r="B44" s="141" t="s">
        <v>65</v>
      </c>
      <c r="C44" s="323">
        <f t="shared" ref="C44" si="8">C45</f>
        <v>38000</v>
      </c>
    </row>
    <row r="45" spans="1:6" ht="63" x14ac:dyDescent="0.25">
      <c r="A45" s="227" t="s">
        <v>66</v>
      </c>
      <c r="B45" s="147" t="s">
        <v>67</v>
      </c>
      <c r="C45" s="324">
        <v>38000</v>
      </c>
    </row>
    <row r="46" spans="1:6" ht="31.5" x14ac:dyDescent="0.25">
      <c r="A46" s="140" t="s">
        <v>68</v>
      </c>
      <c r="B46" s="141" t="s">
        <v>69</v>
      </c>
      <c r="C46" s="323">
        <f t="shared" ref="C46" si="9">C47</f>
        <v>5000</v>
      </c>
    </row>
    <row r="47" spans="1:6" ht="31.5" x14ac:dyDescent="0.25">
      <c r="A47" s="227" t="s">
        <v>70</v>
      </c>
      <c r="B47" s="147" t="s">
        <v>71</v>
      </c>
      <c r="C47" s="324">
        <v>5000</v>
      </c>
    </row>
    <row r="48" spans="1:6" ht="18.75" x14ac:dyDescent="0.25">
      <c r="A48" s="140" t="s">
        <v>72</v>
      </c>
      <c r="B48" s="149" t="s">
        <v>73</v>
      </c>
      <c r="C48" s="323">
        <f t="shared" ref="C48" si="10">SUM(C49)</f>
        <v>1735.8</v>
      </c>
    </row>
    <row r="49" spans="1:4" ht="18.75" x14ac:dyDescent="0.25">
      <c r="A49" s="140" t="s">
        <v>74</v>
      </c>
      <c r="B49" s="149" t="s">
        <v>75</v>
      </c>
      <c r="C49" s="323">
        <f>C50+C51+C52</f>
        <v>1735.8</v>
      </c>
    </row>
    <row r="50" spans="1:4" ht="31.5" x14ac:dyDescent="0.25">
      <c r="A50" s="140" t="s">
        <v>76</v>
      </c>
      <c r="B50" s="149" t="s">
        <v>77</v>
      </c>
      <c r="C50" s="323">
        <v>517.9</v>
      </c>
      <c r="D50" s="221"/>
    </row>
    <row r="51" spans="1:4" ht="18.75" x14ac:dyDescent="0.25">
      <c r="A51" s="140" t="s">
        <v>78</v>
      </c>
      <c r="B51" s="149" t="s">
        <v>79</v>
      </c>
      <c r="C51" s="323">
        <v>1.1000000000000001</v>
      </c>
      <c r="D51" s="221"/>
    </row>
    <row r="52" spans="1:4" ht="31.5" x14ac:dyDescent="0.25">
      <c r="A52" s="140" t="s">
        <v>1341</v>
      </c>
      <c r="B52" s="314" t="s">
        <v>1342</v>
      </c>
      <c r="C52" s="323">
        <f>C53+C54</f>
        <v>1216.8</v>
      </c>
      <c r="D52" s="221"/>
    </row>
    <row r="53" spans="1:4" ht="18.75" x14ac:dyDescent="0.25">
      <c r="A53" s="227" t="s">
        <v>825</v>
      </c>
      <c r="B53" s="142" t="s">
        <v>826</v>
      </c>
      <c r="C53" s="324">
        <v>1060.8</v>
      </c>
      <c r="D53" s="222"/>
    </row>
    <row r="54" spans="1:4" ht="18.75" x14ac:dyDescent="0.25">
      <c r="A54" s="227" t="s">
        <v>827</v>
      </c>
      <c r="B54" s="142" t="s">
        <v>828</v>
      </c>
      <c r="C54" s="324">
        <v>156</v>
      </c>
      <c r="D54" s="221"/>
    </row>
    <row r="55" spans="1:4" ht="31.5" x14ac:dyDescent="0.25">
      <c r="A55" s="140" t="s">
        <v>80</v>
      </c>
      <c r="B55" s="149" t="s">
        <v>81</v>
      </c>
      <c r="C55" s="323">
        <f>C57</f>
        <v>842</v>
      </c>
      <c r="D55" s="221"/>
    </row>
    <row r="56" spans="1:4" ht="18.75" x14ac:dyDescent="0.25">
      <c r="A56" s="140" t="s">
        <v>82</v>
      </c>
      <c r="B56" s="149" t="s">
        <v>83</v>
      </c>
      <c r="C56" s="323">
        <f>C57</f>
        <v>842</v>
      </c>
    </row>
    <row r="57" spans="1:4" ht="31.5" x14ac:dyDescent="0.25">
      <c r="A57" s="227" t="s">
        <v>84</v>
      </c>
      <c r="B57" s="142" t="s">
        <v>85</v>
      </c>
      <c r="C57" s="324">
        <v>842</v>
      </c>
      <c r="D57" s="228"/>
    </row>
    <row r="58" spans="1:4" ht="31.5" x14ac:dyDescent="0.25">
      <c r="A58" s="140" t="s">
        <v>86</v>
      </c>
      <c r="B58" s="149" t="s">
        <v>87</v>
      </c>
      <c r="C58" s="323">
        <f t="shared" ref="C58" si="11">SUM(C59+C61)</f>
        <v>236</v>
      </c>
    </row>
    <row r="59" spans="1:4" ht="78.75" x14ac:dyDescent="0.25">
      <c r="A59" s="140" t="s">
        <v>88</v>
      </c>
      <c r="B59" s="149" t="s">
        <v>89</v>
      </c>
      <c r="C59" s="323">
        <f t="shared" ref="C59" si="12">C60</f>
        <v>235</v>
      </c>
    </row>
    <row r="60" spans="1:4" ht="78.75" x14ac:dyDescent="0.25">
      <c r="A60" s="227" t="s">
        <v>90</v>
      </c>
      <c r="B60" s="142" t="s">
        <v>715</v>
      </c>
      <c r="C60" s="324">
        <v>235</v>
      </c>
    </row>
    <row r="61" spans="1:4" ht="31.5" x14ac:dyDescent="0.25">
      <c r="A61" s="140" t="s">
        <v>91</v>
      </c>
      <c r="B61" s="149" t="s">
        <v>92</v>
      </c>
      <c r="C61" s="323">
        <f t="shared" ref="C61" si="13">SUM(C62)</f>
        <v>1</v>
      </c>
    </row>
    <row r="62" spans="1:4" ht="47.25" x14ac:dyDescent="0.25">
      <c r="A62" s="227" t="s">
        <v>93</v>
      </c>
      <c r="B62" s="142" t="s">
        <v>94</v>
      </c>
      <c r="C62" s="324">
        <v>1</v>
      </c>
    </row>
    <row r="63" spans="1:4" ht="18.75" x14ac:dyDescent="0.25">
      <c r="A63" s="140" t="s">
        <v>95</v>
      </c>
      <c r="B63" s="149" t="s">
        <v>96</v>
      </c>
      <c r="C63" s="323">
        <f>C64</f>
        <v>30</v>
      </c>
    </row>
    <row r="64" spans="1:4" ht="31.5" x14ac:dyDescent="0.25">
      <c r="A64" s="140" t="s">
        <v>1314</v>
      </c>
      <c r="B64" s="149" t="s">
        <v>97</v>
      </c>
      <c r="C64" s="323">
        <f>C65+C67+C69</f>
        <v>30</v>
      </c>
    </row>
    <row r="65" spans="1:10" ht="47.25" x14ac:dyDescent="0.25">
      <c r="A65" s="140" t="s">
        <v>1334</v>
      </c>
      <c r="B65" s="344" t="s">
        <v>1333</v>
      </c>
      <c r="C65" s="323">
        <f>C66</f>
        <v>10</v>
      </c>
    </row>
    <row r="66" spans="1:10" ht="63" x14ac:dyDescent="0.25">
      <c r="A66" s="227" t="s">
        <v>1316</v>
      </c>
      <c r="B66" s="345" t="s">
        <v>1328</v>
      </c>
      <c r="C66" s="324">
        <v>10</v>
      </c>
    </row>
    <row r="67" spans="1:10" ht="78.75" x14ac:dyDescent="0.25">
      <c r="A67" s="140" t="s">
        <v>1336</v>
      </c>
      <c r="B67" s="344" t="s">
        <v>1335</v>
      </c>
      <c r="C67" s="323">
        <f>C68</f>
        <v>10</v>
      </c>
    </row>
    <row r="68" spans="1:10" ht="94.5" x14ac:dyDescent="0.25">
      <c r="A68" s="227" t="s">
        <v>1315</v>
      </c>
      <c r="B68" s="345" t="s">
        <v>1329</v>
      </c>
      <c r="C68" s="324">
        <v>10</v>
      </c>
    </row>
    <row r="69" spans="1:10" ht="63" x14ac:dyDescent="0.25">
      <c r="A69" s="140" t="s">
        <v>1332</v>
      </c>
      <c r="B69" s="346" t="s">
        <v>1331</v>
      </c>
      <c r="C69" s="323">
        <f>C70</f>
        <v>10</v>
      </c>
    </row>
    <row r="70" spans="1:10" ht="78.75" x14ac:dyDescent="0.25">
      <c r="A70" s="227" t="s">
        <v>1319</v>
      </c>
      <c r="B70" s="347" t="s">
        <v>1330</v>
      </c>
      <c r="C70" s="324">
        <v>10</v>
      </c>
    </row>
    <row r="71" spans="1:10" ht="18.75" hidden="1" x14ac:dyDescent="0.25">
      <c r="A71" s="3" t="s">
        <v>1317</v>
      </c>
      <c r="B71" s="189" t="s">
        <v>789</v>
      </c>
      <c r="C71" s="323">
        <f>C72</f>
        <v>0</v>
      </c>
    </row>
    <row r="72" spans="1:10" ht="18.75" hidden="1" x14ac:dyDescent="0.25">
      <c r="A72" s="3" t="s">
        <v>1318</v>
      </c>
      <c r="B72" s="189" t="s">
        <v>790</v>
      </c>
      <c r="C72" s="323">
        <f t="shared" ref="C72" si="14">SUM(C73)</f>
        <v>0</v>
      </c>
    </row>
    <row r="73" spans="1:10" ht="18.75" hidden="1" x14ac:dyDescent="0.25">
      <c r="A73" s="2" t="s">
        <v>791</v>
      </c>
      <c r="B73" s="188" t="s">
        <v>792</v>
      </c>
      <c r="C73" s="324">
        <v>0</v>
      </c>
    </row>
    <row r="74" spans="1:10" ht="18.75" x14ac:dyDescent="0.25">
      <c r="A74" s="140" t="s">
        <v>98</v>
      </c>
      <c r="B74" s="141" t="s">
        <v>99</v>
      </c>
      <c r="C74" s="323">
        <f>SUM(C75+C139)</f>
        <v>422437.39999999991</v>
      </c>
      <c r="D74" s="397">
        <f>C74-C76</f>
        <v>264312.39999999991</v>
      </c>
      <c r="E74" s="118"/>
      <c r="F74" s="118"/>
      <c r="H74" s="211"/>
      <c r="J74" s="118"/>
    </row>
    <row r="75" spans="1:10" ht="31.5" x14ac:dyDescent="0.25">
      <c r="A75" s="140" t="s">
        <v>100</v>
      </c>
      <c r="B75" s="141" t="s">
        <v>101</v>
      </c>
      <c r="C75" s="323">
        <f>SUM(C76+C82+C109+C133)</f>
        <v>422437.39999999991</v>
      </c>
      <c r="D75" s="215"/>
      <c r="H75" s="211"/>
      <c r="I75" s="118"/>
    </row>
    <row r="76" spans="1:10" ht="18.75" x14ac:dyDescent="0.25">
      <c r="A76" s="140" t="s">
        <v>857</v>
      </c>
      <c r="B76" s="150" t="s">
        <v>102</v>
      </c>
      <c r="C76" s="323">
        <f>C77</f>
        <v>158125</v>
      </c>
    </row>
    <row r="77" spans="1:10" ht="18.75" x14ac:dyDescent="0.25">
      <c r="A77" s="140" t="s">
        <v>1361</v>
      </c>
      <c r="B77" s="150" t="s">
        <v>1358</v>
      </c>
      <c r="C77" s="323">
        <f>C78</f>
        <v>158125</v>
      </c>
    </row>
    <row r="78" spans="1:10" ht="31.5" x14ac:dyDescent="0.25">
      <c r="A78" s="140" t="s">
        <v>856</v>
      </c>
      <c r="B78" s="141" t="s">
        <v>1382</v>
      </c>
      <c r="C78" s="323">
        <f>C79</f>
        <v>158125</v>
      </c>
      <c r="F78" s="118"/>
    </row>
    <row r="79" spans="1:10" ht="94.5" x14ac:dyDescent="0.25">
      <c r="A79" s="135" t="s">
        <v>856</v>
      </c>
      <c r="B79" s="147" t="s">
        <v>103</v>
      </c>
      <c r="C79" s="324">
        <v>158125</v>
      </c>
      <c r="D79" s="118">
        <f>C79-134322</f>
        <v>23803</v>
      </c>
    </row>
    <row r="80" spans="1:10" ht="31.5" hidden="1" x14ac:dyDescent="0.25">
      <c r="A80" s="137" t="s">
        <v>1359</v>
      </c>
      <c r="B80" s="141" t="s">
        <v>1360</v>
      </c>
      <c r="C80" s="323">
        <f>C81</f>
        <v>0</v>
      </c>
    </row>
    <row r="81" spans="1:9" ht="31.5" hidden="1" x14ac:dyDescent="0.25">
      <c r="A81" s="135" t="s">
        <v>1294</v>
      </c>
      <c r="B81" s="147" t="s">
        <v>1295</v>
      </c>
      <c r="C81" s="324">
        <v>0</v>
      </c>
    </row>
    <row r="82" spans="1:9" ht="34.5" customHeight="1" x14ac:dyDescent="0.25">
      <c r="A82" s="140" t="s">
        <v>855</v>
      </c>
      <c r="B82" s="141" t="s">
        <v>105</v>
      </c>
      <c r="C82" s="323">
        <f>C87+C93+C96+C89+C83+C85+C91</f>
        <v>9647</v>
      </c>
      <c r="D82" s="231">
        <f>C82+C109+C133</f>
        <v>264312.39999999997</v>
      </c>
      <c r="E82" s="118"/>
      <c r="F82" s="118"/>
      <c r="G82" s="118"/>
      <c r="H82" s="211"/>
      <c r="I82" s="118"/>
    </row>
    <row r="83" spans="1:9" ht="49.5" customHeight="1" x14ac:dyDescent="0.25">
      <c r="A83" s="399" t="s">
        <v>1407</v>
      </c>
      <c r="B83" s="343" t="s">
        <v>1409</v>
      </c>
      <c r="C83" s="384">
        <f>C84</f>
        <v>1117.0999999999999</v>
      </c>
      <c r="D83" s="231"/>
      <c r="E83" s="118"/>
      <c r="F83" s="118"/>
      <c r="G83" s="118"/>
      <c r="H83" s="211"/>
      <c r="I83" s="118"/>
    </row>
    <row r="84" spans="1:9" ht="46.5" customHeight="1" x14ac:dyDescent="0.25">
      <c r="A84" s="227" t="s">
        <v>1406</v>
      </c>
      <c r="B84" s="101" t="s">
        <v>1408</v>
      </c>
      <c r="C84" s="324">
        <v>1117.0999999999999</v>
      </c>
      <c r="D84" s="231">
        <f>'Пр.6 ведом.20'!G682</f>
        <v>1117.0999999999999</v>
      </c>
      <c r="E84" s="118"/>
      <c r="F84" s="118"/>
      <c r="G84" s="118"/>
      <c r="H84" s="211"/>
      <c r="I84" s="118"/>
    </row>
    <row r="85" spans="1:9" ht="51.75" customHeight="1" x14ac:dyDescent="0.25">
      <c r="A85" s="140" t="s">
        <v>1410</v>
      </c>
      <c r="B85" s="273" t="s">
        <v>1413</v>
      </c>
      <c r="C85" s="323">
        <f>C86</f>
        <v>1253.5</v>
      </c>
      <c r="D85" s="231"/>
      <c r="E85" s="118"/>
      <c r="F85" s="118"/>
      <c r="G85" s="118"/>
      <c r="H85" s="211"/>
      <c r="I85" s="118"/>
    </row>
    <row r="86" spans="1:9" ht="62.25" customHeight="1" x14ac:dyDescent="0.25">
      <c r="A86" s="227" t="s">
        <v>1411</v>
      </c>
      <c r="B86" s="101" t="s">
        <v>1412</v>
      </c>
      <c r="C86" s="324">
        <v>1253.5</v>
      </c>
      <c r="D86" s="231">
        <f>'Пр.6 ведом.20'!G358</f>
        <v>1253.5</v>
      </c>
      <c r="E86" s="118"/>
      <c r="F86" s="118"/>
      <c r="G86" s="118"/>
      <c r="H86" s="211"/>
      <c r="I86" s="118"/>
    </row>
    <row r="87" spans="1:9" ht="36" customHeight="1" x14ac:dyDescent="0.25">
      <c r="A87" s="399" t="s">
        <v>1402</v>
      </c>
      <c r="B87" s="141" t="s">
        <v>1344</v>
      </c>
      <c r="C87" s="323">
        <f t="shared" ref="C87" si="15">SUM(C88)</f>
        <v>140.30000000000001</v>
      </c>
      <c r="D87" s="231"/>
      <c r="G87" s="151"/>
    </row>
    <row r="88" spans="1:9" s="151" customFormat="1" ht="31.5" x14ac:dyDescent="0.25">
      <c r="A88" s="400" t="s">
        <v>1401</v>
      </c>
      <c r="B88" s="147" t="s">
        <v>824</v>
      </c>
      <c r="C88" s="324">
        <v>140.30000000000001</v>
      </c>
      <c r="D88" s="387">
        <f>'Пр.6 ведом.20'!G439-28.9</f>
        <v>140.30000000000001</v>
      </c>
    </row>
    <row r="89" spans="1:9" s="151" customFormat="1" ht="26.25" hidden="1" customHeight="1" x14ac:dyDescent="0.25">
      <c r="A89" s="399" t="s">
        <v>1345</v>
      </c>
      <c r="B89" s="150" t="s">
        <v>1346</v>
      </c>
      <c r="C89" s="323">
        <f>C90</f>
        <v>0</v>
      </c>
      <c r="D89" s="388"/>
    </row>
    <row r="90" spans="1:9" s="151" customFormat="1" ht="39.75" hidden="1" customHeight="1" x14ac:dyDescent="0.25">
      <c r="A90" s="400" t="s">
        <v>871</v>
      </c>
      <c r="B90" s="374" t="s">
        <v>872</v>
      </c>
      <c r="C90" s="324">
        <v>0</v>
      </c>
      <c r="D90" s="387"/>
    </row>
    <row r="91" spans="1:9" s="151" customFormat="1" ht="24.75" hidden="1" customHeight="1" x14ac:dyDescent="0.25">
      <c r="A91" s="403" t="s">
        <v>1400</v>
      </c>
      <c r="B91" s="404" t="s">
        <v>1403</v>
      </c>
      <c r="C91" s="323">
        <f>C92</f>
        <v>0</v>
      </c>
      <c r="D91" s="387"/>
    </row>
    <row r="92" spans="1:9" s="151" customFormat="1" ht="21.75" hidden="1" customHeight="1" x14ac:dyDescent="0.25">
      <c r="A92" s="405" t="s">
        <v>1398</v>
      </c>
      <c r="B92" s="406" t="s">
        <v>1399</v>
      </c>
      <c r="C92" s="324">
        <v>0</v>
      </c>
      <c r="D92" s="387"/>
    </row>
    <row r="93" spans="1:9" ht="31.5" hidden="1" x14ac:dyDescent="0.25">
      <c r="A93" s="399" t="s">
        <v>1347</v>
      </c>
      <c r="B93" s="141" t="s">
        <v>1348</v>
      </c>
      <c r="C93" s="323">
        <f t="shared" ref="C93" si="16">SUM(C94)</f>
        <v>0</v>
      </c>
      <c r="D93" s="231"/>
      <c r="G93" s="151"/>
    </row>
    <row r="94" spans="1:9" s="151" customFormat="1" ht="35.25" hidden="1" customHeight="1" x14ac:dyDescent="0.25">
      <c r="A94" s="400" t="s">
        <v>854</v>
      </c>
      <c r="B94" s="318" t="s">
        <v>1349</v>
      </c>
      <c r="C94" s="324">
        <v>0</v>
      </c>
      <c r="D94" s="387"/>
    </row>
    <row r="95" spans="1:9" s="209" customFormat="1" ht="18.75" x14ac:dyDescent="0.3">
      <c r="A95" s="399" t="s">
        <v>1351</v>
      </c>
      <c r="B95" s="141" t="s">
        <v>1350</v>
      </c>
      <c r="C95" s="385">
        <f>C96</f>
        <v>7136.1</v>
      </c>
      <c r="D95" s="389"/>
      <c r="G95" s="211"/>
      <c r="I95" s="210"/>
    </row>
    <row r="96" spans="1:9" s="209" customFormat="1" ht="18.75" x14ac:dyDescent="0.25">
      <c r="A96" s="227" t="s">
        <v>853</v>
      </c>
      <c r="B96" s="147" t="s">
        <v>106</v>
      </c>
      <c r="C96" s="327">
        <f>SUM(C97+C98+C101+C102+C105+C106+C107+C108+C99+C100)</f>
        <v>7136.1</v>
      </c>
      <c r="D96" s="389"/>
      <c r="G96" s="211"/>
      <c r="I96" s="210"/>
    </row>
    <row r="97" spans="1:12" ht="126.75" hidden="1" customHeight="1" x14ac:dyDescent="0.25">
      <c r="A97" s="460"/>
      <c r="B97" s="147" t="s">
        <v>840</v>
      </c>
      <c r="C97" s="324">
        <v>0</v>
      </c>
      <c r="D97" s="231"/>
    </row>
    <row r="98" spans="1:12" ht="63" x14ac:dyDescent="0.25">
      <c r="A98" s="460"/>
      <c r="B98" s="142" t="s">
        <v>841</v>
      </c>
      <c r="C98" s="324">
        <v>65.2</v>
      </c>
      <c r="D98" s="231">
        <f>'Пр.6 ведом.20'!G385</f>
        <v>65.2</v>
      </c>
    </row>
    <row r="99" spans="1:12" ht="115.5" customHeight="1" x14ac:dyDescent="0.25">
      <c r="A99" s="460"/>
      <c r="B99" s="153" t="s">
        <v>1404</v>
      </c>
      <c r="C99" s="407">
        <v>1666.6</v>
      </c>
      <c r="D99" s="231">
        <f>'Пр.6 ведом.20'!G592</f>
        <v>1666.6</v>
      </c>
    </row>
    <row r="100" spans="1:12" ht="124.5" customHeight="1" x14ac:dyDescent="0.25">
      <c r="A100" s="460"/>
      <c r="B100" s="373" t="s">
        <v>1405</v>
      </c>
      <c r="C100" s="407">
        <v>500</v>
      </c>
      <c r="D100" s="231">
        <f>'Пр.6 ведом.20'!G257</f>
        <v>500</v>
      </c>
    </row>
    <row r="101" spans="1:12" ht="80.25" customHeight="1" x14ac:dyDescent="0.25">
      <c r="A101" s="460"/>
      <c r="B101" s="152" t="s">
        <v>724</v>
      </c>
      <c r="C101" s="328">
        <v>2220.9</v>
      </c>
      <c r="D101" s="390">
        <f>'Пр.6 ведом.20'!G731</f>
        <v>2220.9</v>
      </c>
      <c r="I101" s="118"/>
    </row>
    <row r="102" spans="1:12" ht="63" x14ac:dyDescent="0.25">
      <c r="A102" s="460"/>
      <c r="B102" s="153" t="s">
        <v>842</v>
      </c>
      <c r="C102" s="329">
        <f t="shared" ref="C102" si="17">SUM(C103:C104)</f>
        <v>25</v>
      </c>
      <c r="D102" s="231">
        <f>'Пр.6 ведом.20'!G1068</f>
        <v>25</v>
      </c>
      <c r="G102" s="154"/>
    </row>
    <row r="103" spans="1:12" s="154" customFormat="1" ht="94.5" customHeight="1" x14ac:dyDescent="0.25">
      <c r="A103" s="460"/>
      <c r="B103" s="348" t="s">
        <v>839</v>
      </c>
      <c r="C103" s="330">
        <v>0</v>
      </c>
      <c r="D103" s="391"/>
      <c r="L103" s="131"/>
    </row>
    <row r="104" spans="1:12" s="154" customFormat="1" ht="110.25" x14ac:dyDescent="0.25">
      <c r="A104" s="460"/>
      <c r="B104" s="170" t="s">
        <v>873</v>
      </c>
      <c r="C104" s="408">
        <v>25</v>
      </c>
      <c r="D104" s="392"/>
      <c r="L104" s="131"/>
    </row>
    <row r="105" spans="1:12" ht="78.75" x14ac:dyDescent="0.25">
      <c r="A105" s="460"/>
      <c r="B105" s="142" t="s">
        <v>108</v>
      </c>
      <c r="C105" s="324">
        <v>1740</v>
      </c>
      <c r="D105" s="390">
        <f>'Пр.6 ведом.20'!G658</f>
        <v>1740</v>
      </c>
    </row>
    <row r="106" spans="1:12" ht="78.75" x14ac:dyDescent="0.25">
      <c r="A106" s="460"/>
      <c r="B106" s="142" t="s">
        <v>843</v>
      </c>
      <c r="C106" s="324">
        <v>255</v>
      </c>
      <c r="D106" s="231">
        <f>'Пр.6 ведом.20'!G166</f>
        <v>255</v>
      </c>
    </row>
    <row r="107" spans="1:12" ht="94.5" x14ac:dyDescent="0.25">
      <c r="A107" s="460"/>
      <c r="B107" s="142" t="s">
        <v>844</v>
      </c>
      <c r="C107" s="324">
        <f>488.7+8</f>
        <v>496.7</v>
      </c>
      <c r="D107" s="390">
        <f>'Пр.6 ведом.20'!G665</f>
        <v>496.7</v>
      </c>
    </row>
    <row r="108" spans="1:12" s="207" customFormat="1" ht="163.5" customHeight="1" x14ac:dyDescent="0.2">
      <c r="A108" s="461"/>
      <c r="B108" s="203" t="s">
        <v>829</v>
      </c>
      <c r="C108" s="327">
        <v>166.7</v>
      </c>
      <c r="D108" s="393">
        <f>'Пр.6 ведом.20'!G591</f>
        <v>166.7</v>
      </c>
    </row>
    <row r="109" spans="1:12" ht="18.75" x14ac:dyDescent="0.25">
      <c r="A109" s="140" t="s">
        <v>852</v>
      </c>
      <c r="B109" s="149" t="s">
        <v>109</v>
      </c>
      <c r="C109" s="323">
        <f>C131+C110+C129+C127</f>
        <v>242488.29999999996</v>
      </c>
      <c r="D109" s="231"/>
      <c r="F109" s="118"/>
    </row>
    <row r="110" spans="1:12" ht="31.5" x14ac:dyDescent="0.25">
      <c r="A110" s="140" t="s">
        <v>851</v>
      </c>
      <c r="B110" s="149" t="s">
        <v>110</v>
      </c>
      <c r="C110" s="323">
        <f t="shared" ref="C110" si="18">C111</f>
        <v>241784.89999999997</v>
      </c>
      <c r="D110" s="231"/>
    </row>
    <row r="111" spans="1:12" ht="31.5" x14ac:dyDescent="0.25">
      <c r="A111" s="227" t="s">
        <v>850</v>
      </c>
      <c r="B111" s="142" t="s">
        <v>111</v>
      </c>
      <c r="C111" s="324">
        <f>SUM(C112+C113+C114+C115+C116+C117+C118+C121+C122+C123+C124+C126+C125)</f>
        <v>241784.89999999997</v>
      </c>
      <c r="D111" s="231"/>
    </row>
    <row r="112" spans="1:12" ht="98.25" customHeight="1" x14ac:dyDescent="0.25">
      <c r="A112" s="460"/>
      <c r="B112" s="152" t="s">
        <v>725</v>
      </c>
      <c r="C112" s="329">
        <v>143160</v>
      </c>
      <c r="D112" s="390">
        <f>'Пр.6 ведом.20'!G625</f>
        <v>143160</v>
      </c>
    </row>
    <row r="113" spans="1:9" ht="78.75" x14ac:dyDescent="0.25">
      <c r="A113" s="460"/>
      <c r="B113" s="142" t="s">
        <v>112</v>
      </c>
      <c r="C113" s="324">
        <v>80735.399999999994</v>
      </c>
      <c r="D113" s="231">
        <f>'Пр.6 ведом.20'!G560</f>
        <v>80735.399999999994</v>
      </c>
    </row>
    <row r="114" spans="1:9" ht="110.25" x14ac:dyDescent="0.25">
      <c r="A114" s="460"/>
      <c r="B114" s="142" t="s">
        <v>716</v>
      </c>
      <c r="C114" s="324">
        <v>4743.8999999999996</v>
      </c>
      <c r="D114" s="231">
        <f>'Пр.6 ведом.20'!J303+'Пр.6 ведом.20'!J557+'Пр.6 ведом.20'!J631+'Пр.6 ведом.20'!J704</f>
        <v>4743.9002640845074</v>
      </c>
    </row>
    <row r="115" spans="1:9" ht="97.5" customHeight="1" x14ac:dyDescent="0.25">
      <c r="A115" s="460"/>
      <c r="B115" s="142" t="s">
        <v>717</v>
      </c>
      <c r="C115" s="324">
        <v>2075.4</v>
      </c>
      <c r="D115" s="390">
        <f>'Пр.6 ведом.20'!J701+'Пр.6 ведом.20'!J628+'Пр.6 ведом.20'!J554+'Пр.6 ведом.20'!J300</f>
        <v>2075.4001334717486</v>
      </c>
    </row>
    <row r="116" spans="1:9" ht="97.5" customHeight="1" x14ac:dyDescent="0.25">
      <c r="A116" s="460"/>
      <c r="B116" s="142" t="s">
        <v>113</v>
      </c>
      <c r="C116" s="324">
        <v>1433.3</v>
      </c>
      <c r="D116" s="231">
        <f>'Пр.6 ведом.20'!G56</f>
        <v>1433.3</v>
      </c>
    </row>
    <row r="117" spans="1:9" ht="99" customHeight="1" x14ac:dyDescent="0.25">
      <c r="A117" s="460"/>
      <c r="B117" s="142" t="s">
        <v>114</v>
      </c>
      <c r="C117" s="324">
        <v>288.8</v>
      </c>
      <c r="D117" s="231">
        <f>'Пр.6 ведом.20'!G174</f>
        <v>288.8</v>
      </c>
    </row>
    <row r="118" spans="1:9" ht="47.25" x14ac:dyDescent="0.25">
      <c r="A118" s="460"/>
      <c r="B118" s="142" t="s">
        <v>115</v>
      </c>
      <c r="C118" s="324">
        <f t="shared" ref="C118" si="19">SUM(C119:C120)</f>
        <v>3621.3999999999996</v>
      </c>
      <c r="D118" s="231">
        <f>'Пр.6 ведом.20'!G203</f>
        <v>3621.4</v>
      </c>
    </row>
    <row r="119" spans="1:9" ht="31.5" x14ac:dyDescent="0.25">
      <c r="A119" s="460"/>
      <c r="B119" s="155" t="s">
        <v>718</v>
      </c>
      <c r="C119" s="408">
        <v>2829.1</v>
      </c>
      <c r="D119" s="231"/>
    </row>
    <row r="120" spans="1:9" ht="31.5" x14ac:dyDescent="0.25">
      <c r="A120" s="460"/>
      <c r="B120" s="155" t="s">
        <v>719</v>
      </c>
      <c r="C120" s="408">
        <v>792.3</v>
      </c>
      <c r="D120" s="231"/>
    </row>
    <row r="121" spans="1:9" ht="126" x14ac:dyDescent="0.25">
      <c r="A121" s="460"/>
      <c r="B121" s="142" t="s">
        <v>845</v>
      </c>
      <c r="C121" s="324">
        <v>319.7</v>
      </c>
      <c r="D121" s="231">
        <f>'Пр.6 ведом.20'!G389</f>
        <v>319.7</v>
      </c>
    </row>
    <row r="122" spans="1:9" ht="110.25" customHeight="1" x14ac:dyDescent="0.25">
      <c r="A122" s="460"/>
      <c r="B122" s="142" t="s">
        <v>116</v>
      </c>
      <c r="C122" s="324">
        <v>923.4</v>
      </c>
      <c r="D122" s="231">
        <f>'Пр.6 ведом.20'!G632</f>
        <v>923.4</v>
      </c>
    </row>
    <row r="123" spans="1:9" ht="47.25" x14ac:dyDescent="0.25">
      <c r="A123" s="460"/>
      <c r="B123" s="142" t="s">
        <v>117</v>
      </c>
      <c r="C123" s="324">
        <v>1115.9000000000001</v>
      </c>
      <c r="D123" s="231">
        <f>'Пр.6 ведом.20'!G61</f>
        <v>1115.9000000000001</v>
      </c>
    </row>
    <row r="124" spans="1:9" ht="147.75" customHeight="1" x14ac:dyDescent="0.25">
      <c r="A124" s="460"/>
      <c r="B124" s="29" t="s">
        <v>1414</v>
      </c>
      <c r="C124" s="329">
        <v>22</v>
      </c>
      <c r="D124" s="394">
        <f>'Пр.6 ведом.20'!G495</f>
        <v>22</v>
      </c>
      <c r="E124" s="222"/>
      <c r="F124" s="222"/>
      <c r="G124" s="222"/>
      <c r="H124" s="222"/>
      <c r="I124" s="302"/>
    </row>
    <row r="125" spans="1:9" ht="118.5" customHeight="1" x14ac:dyDescent="0.25">
      <c r="A125" s="460"/>
      <c r="B125" s="371" t="s">
        <v>1419</v>
      </c>
      <c r="C125" s="329">
        <v>1431.2</v>
      </c>
      <c r="D125" s="395">
        <f>'Пр.6 ведом.20'!G523</f>
        <v>1431.2</v>
      </c>
      <c r="E125" s="222"/>
      <c r="F125" s="222"/>
      <c r="G125" s="222"/>
      <c r="H125" s="222"/>
      <c r="I125" s="302"/>
    </row>
    <row r="126" spans="1:9" ht="54" customHeight="1" x14ac:dyDescent="0.25">
      <c r="A126" s="461"/>
      <c r="B126" s="142" t="s">
        <v>1396</v>
      </c>
      <c r="C126" s="324">
        <v>1914.5</v>
      </c>
      <c r="D126" s="396">
        <f>'Пр.6 ведом.20'!G999</f>
        <v>1914.5</v>
      </c>
      <c r="E126" s="302"/>
      <c r="F126" s="302"/>
      <c r="G126" s="302"/>
      <c r="H126" s="302"/>
      <c r="I126" s="302"/>
    </row>
    <row r="127" spans="1:9" ht="75" customHeight="1" x14ac:dyDescent="0.25">
      <c r="A127" s="140" t="s">
        <v>1421</v>
      </c>
      <c r="B127" s="273" t="s">
        <v>1423</v>
      </c>
      <c r="C127" s="381">
        <f>C128</f>
        <v>6</v>
      </c>
      <c r="D127" s="396">
        <f>'Пр.6 ведом.20'!G45</f>
        <v>6</v>
      </c>
      <c r="E127" s="302"/>
      <c r="F127" s="302"/>
      <c r="G127" s="302"/>
      <c r="H127" s="302"/>
      <c r="I127" s="302"/>
    </row>
    <row r="128" spans="1:9" ht="54" customHeight="1" x14ac:dyDescent="0.25">
      <c r="A128" s="227" t="s">
        <v>1422</v>
      </c>
      <c r="B128" s="101" t="s">
        <v>1423</v>
      </c>
      <c r="C128" s="329">
        <v>6</v>
      </c>
      <c r="D128" s="396"/>
      <c r="E128" s="302"/>
      <c r="F128" s="302"/>
      <c r="G128" s="302"/>
      <c r="H128" s="302"/>
      <c r="I128" s="302"/>
    </row>
    <row r="129" spans="1:9" ht="39.75" customHeight="1" x14ac:dyDescent="0.25">
      <c r="A129" s="140" t="s">
        <v>1416</v>
      </c>
      <c r="B129" s="273" t="s">
        <v>1418</v>
      </c>
      <c r="C129" s="323">
        <f>C130</f>
        <v>92.6</v>
      </c>
      <c r="D129" s="396">
        <f>'Пр.6 ведом.20'!G48</f>
        <v>92.6</v>
      </c>
      <c r="E129" s="302"/>
      <c r="F129" s="302"/>
      <c r="G129" s="302"/>
      <c r="H129" s="302"/>
      <c r="I129" s="302"/>
    </row>
    <row r="130" spans="1:9" ht="37.5" customHeight="1" x14ac:dyDescent="0.25">
      <c r="A130" s="227" t="s">
        <v>1417</v>
      </c>
      <c r="B130" s="101" t="s">
        <v>1415</v>
      </c>
      <c r="C130" s="324">
        <v>92.6</v>
      </c>
      <c r="D130" s="396"/>
      <c r="E130" s="302"/>
      <c r="F130" s="302"/>
      <c r="G130" s="302"/>
      <c r="H130" s="302"/>
      <c r="I130" s="302"/>
    </row>
    <row r="131" spans="1:9" ht="31.5" x14ac:dyDescent="0.25">
      <c r="A131" s="140" t="s">
        <v>849</v>
      </c>
      <c r="B131" s="149" t="s">
        <v>118</v>
      </c>
      <c r="C131" s="323">
        <f t="shared" ref="C131" si="20">C132</f>
        <v>604.79999999999995</v>
      </c>
      <c r="D131" s="231"/>
    </row>
    <row r="132" spans="1:9" ht="31.5" x14ac:dyDescent="0.25">
      <c r="A132" s="227" t="s">
        <v>848</v>
      </c>
      <c r="B132" s="142" t="s">
        <v>119</v>
      </c>
      <c r="C132" s="324">
        <v>604.79999999999995</v>
      </c>
      <c r="D132" s="231">
        <f>'Пр.6 ведом.20'!G51</f>
        <v>604.80000000000007</v>
      </c>
    </row>
    <row r="133" spans="1:9" ht="18.75" x14ac:dyDescent="0.25">
      <c r="A133" s="140" t="s">
        <v>847</v>
      </c>
      <c r="B133" s="149" t="s">
        <v>120</v>
      </c>
      <c r="C133" s="323">
        <f>C134</f>
        <v>12177.1</v>
      </c>
      <c r="D133" s="231"/>
    </row>
    <row r="134" spans="1:9" ht="18.75" x14ac:dyDescent="0.25">
      <c r="A134" s="140" t="s">
        <v>846</v>
      </c>
      <c r="B134" s="149" t="s">
        <v>121</v>
      </c>
      <c r="C134" s="323">
        <f>C135</f>
        <v>12177.1</v>
      </c>
      <c r="D134" s="231"/>
    </row>
    <row r="135" spans="1:9" ht="31.5" x14ac:dyDescent="0.25">
      <c r="A135" s="227" t="s">
        <v>858</v>
      </c>
      <c r="B135" s="142" t="s">
        <v>1352</v>
      </c>
      <c r="C135" s="386">
        <f>SUM(C136:C138)</f>
        <v>12177.1</v>
      </c>
      <c r="D135" s="231"/>
    </row>
    <row r="136" spans="1:9" ht="110.25" x14ac:dyDescent="0.25">
      <c r="A136" s="462"/>
      <c r="B136" s="156" t="s">
        <v>810</v>
      </c>
      <c r="C136" s="386">
        <v>9263</v>
      </c>
      <c r="D136" s="365">
        <f>'Пр.6 ведом.20'!G306+'Пр.6 ведом.20'!G563+'Пр.6 ведом.20'!G637+'Пр.6 ведом.20'!G707</f>
        <v>9262.9999999999982</v>
      </c>
      <c r="E136" s="366">
        <f>C136-D136</f>
        <v>0</v>
      </c>
    </row>
    <row r="137" spans="1:9" ht="126" x14ac:dyDescent="0.25">
      <c r="A137" s="463"/>
      <c r="B137" s="156" t="s">
        <v>811</v>
      </c>
      <c r="C137" s="386">
        <v>2100.6</v>
      </c>
      <c r="D137" s="365">
        <f>'Пр.6 ведом.20'!G392+'Пр.6 ведом.20'!G357</f>
        <v>2100.6</v>
      </c>
      <c r="E137" s="366">
        <f t="shared" ref="E137:E138" si="21">C137-D137</f>
        <v>0</v>
      </c>
    </row>
    <row r="138" spans="1:9" ht="110.25" x14ac:dyDescent="0.25">
      <c r="A138" s="464"/>
      <c r="B138" s="156" t="s">
        <v>876</v>
      </c>
      <c r="C138" s="386">
        <v>813.5</v>
      </c>
      <c r="D138" s="365">
        <f>'Пр.6 ведом.20'!G801</f>
        <v>813.5</v>
      </c>
      <c r="E138" s="366">
        <f t="shared" si="21"/>
        <v>0</v>
      </c>
    </row>
    <row r="139" spans="1:9" ht="18.75" hidden="1" x14ac:dyDescent="0.25">
      <c r="A139" s="19" t="s">
        <v>806</v>
      </c>
      <c r="B139" s="204" t="s">
        <v>807</v>
      </c>
      <c r="C139" s="205">
        <f>SUM(C140)</f>
        <v>0</v>
      </c>
    </row>
    <row r="140" spans="1:9" ht="18.75" hidden="1" x14ac:dyDescent="0.25">
      <c r="A140" s="19" t="s">
        <v>808</v>
      </c>
      <c r="B140" s="204" t="s">
        <v>809</v>
      </c>
      <c r="C140" s="205">
        <f>SUM(C141)</f>
        <v>0</v>
      </c>
    </row>
    <row r="141" spans="1:9" ht="18.75" hidden="1" x14ac:dyDescent="0.25">
      <c r="A141" s="457" t="s">
        <v>881</v>
      </c>
      <c r="B141" s="208" t="s">
        <v>809</v>
      </c>
      <c r="C141" s="205">
        <f>SUM(C143:C144)</f>
        <v>0</v>
      </c>
    </row>
    <row r="142" spans="1:9" ht="18.75" hidden="1" x14ac:dyDescent="0.25">
      <c r="A142" s="458"/>
      <c r="B142" s="208" t="s">
        <v>107</v>
      </c>
      <c r="C142" s="205"/>
    </row>
    <row r="143" spans="1:9" ht="84.75" hidden="1" customHeight="1" x14ac:dyDescent="0.25">
      <c r="A143" s="458"/>
      <c r="B143" s="206" t="s">
        <v>878</v>
      </c>
      <c r="C143" s="194">
        <v>0</v>
      </c>
    </row>
    <row r="144" spans="1:9" ht="78.75" hidden="1" x14ac:dyDescent="0.25">
      <c r="A144" s="458"/>
      <c r="B144" s="206" t="s">
        <v>879</v>
      </c>
      <c r="C144" s="194">
        <v>0</v>
      </c>
    </row>
    <row r="145" spans="1:12" ht="18.75" x14ac:dyDescent="0.25">
      <c r="A145" s="227"/>
      <c r="B145" s="200" t="s">
        <v>122</v>
      </c>
      <c r="C145" s="323">
        <f>SUM(C9+C74)</f>
        <v>717456.99999999988</v>
      </c>
      <c r="D145" s="151"/>
      <c r="G145" s="211"/>
      <c r="H145" s="118"/>
      <c r="L145" s="118"/>
    </row>
    <row r="147" spans="1:12" x14ac:dyDescent="0.25">
      <c r="C147" s="118"/>
    </row>
  </sheetData>
  <mergeCells count="10">
    <mergeCell ref="B1:C1"/>
    <mergeCell ref="B2:C2"/>
    <mergeCell ref="B3:C3"/>
    <mergeCell ref="A141:A144"/>
    <mergeCell ref="A4:C4"/>
    <mergeCell ref="A5:C5"/>
    <mergeCell ref="A6:C6"/>
    <mergeCell ref="A112:A126"/>
    <mergeCell ref="A97:A108"/>
    <mergeCell ref="A136:A138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82" fitToHeight="6" orientation="portrait" r:id="rId7"/>
  <ignoredErrors>
    <ignoredError sqref="C4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6"/>
  <sheetViews>
    <sheetView zoomScaleNormal="100" workbookViewId="0">
      <selection activeCell="F1" sqref="F1:G1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5.85546875" style="230" customWidth="1"/>
    <col min="8" max="8" width="13.140625" style="230" hidden="1" customWidth="1"/>
    <col min="9" max="9" width="0" hidden="1" customWidth="1"/>
  </cols>
  <sheetData>
    <row r="1" spans="1:8" ht="15.75" x14ac:dyDescent="0.25">
      <c r="A1" s="230"/>
      <c r="B1" s="230"/>
      <c r="C1" s="230"/>
      <c r="D1" s="230"/>
      <c r="E1" s="230"/>
      <c r="F1" s="477" t="s">
        <v>835</v>
      </c>
      <c r="G1" s="477"/>
    </row>
    <row r="2" spans="1:8" ht="15.75" x14ac:dyDescent="0.25">
      <c r="A2" s="230"/>
      <c r="B2" s="230"/>
      <c r="C2" s="230"/>
      <c r="D2" s="230"/>
      <c r="E2" s="230"/>
      <c r="F2" s="477" t="s">
        <v>607</v>
      </c>
      <c r="G2" s="477"/>
    </row>
    <row r="3" spans="1:8" ht="15.75" x14ac:dyDescent="0.25">
      <c r="A3" s="230"/>
      <c r="B3" s="230"/>
      <c r="C3" s="230"/>
      <c r="D3" s="230"/>
      <c r="E3" s="230"/>
      <c r="F3" s="467" t="s">
        <v>1481</v>
      </c>
      <c r="G3" s="467"/>
    </row>
    <row r="4" spans="1:8" s="229" customFormat="1" ht="15.75" x14ac:dyDescent="0.25">
      <c r="A4" s="230"/>
      <c r="B4" s="230"/>
      <c r="C4" s="230"/>
      <c r="D4" s="230"/>
      <c r="E4" s="230"/>
      <c r="F4" s="62"/>
      <c r="G4" s="132"/>
      <c r="H4" s="230"/>
    </row>
    <row r="5" spans="1:8" ht="38.25" customHeight="1" x14ac:dyDescent="0.25">
      <c r="A5" s="471" t="s">
        <v>1375</v>
      </c>
      <c r="B5" s="471"/>
      <c r="C5" s="471"/>
      <c r="D5" s="471"/>
      <c r="E5" s="471"/>
      <c r="F5" s="471"/>
      <c r="G5" s="471"/>
    </row>
    <row r="6" spans="1:8" ht="16.5" x14ac:dyDescent="0.25">
      <c r="A6" s="341"/>
      <c r="B6" s="341"/>
      <c r="C6" s="341"/>
      <c r="D6" s="341"/>
      <c r="E6" s="341"/>
      <c r="F6" s="341"/>
    </row>
    <row r="7" spans="1:8" ht="15.75" x14ac:dyDescent="0.25">
      <c r="A7" s="62"/>
      <c r="B7" s="62"/>
      <c r="C7" s="62"/>
      <c r="D7" s="62"/>
      <c r="E7" s="64"/>
      <c r="F7" s="64"/>
      <c r="G7" s="198" t="s">
        <v>1</v>
      </c>
    </row>
    <row r="8" spans="1:8" ht="31.5" x14ac:dyDescent="0.25">
      <c r="A8" s="66" t="s">
        <v>608</v>
      </c>
      <c r="B8" s="66" t="s">
        <v>633</v>
      </c>
      <c r="C8" s="66" t="s">
        <v>634</v>
      </c>
      <c r="D8" s="66" t="s">
        <v>635</v>
      </c>
      <c r="E8" s="66" t="s">
        <v>636</v>
      </c>
      <c r="F8" s="66" t="s">
        <v>637</v>
      </c>
      <c r="G8" s="182" t="s">
        <v>1203</v>
      </c>
    </row>
    <row r="9" spans="1:8" ht="47.25" x14ac:dyDescent="0.25">
      <c r="A9" s="58" t="s">
        <v>1187</v>
      </c>
      <c r="B9" s="7" t="s">
        <v>525</v>
      </c>
      <c r="C9" s="7"/>
      <c r="D9" s="7"/>
      <c r="E9" s="7"/>
      <c r="F9" s="7"/>
      <c r="G9" s="4">
        <f>G10+G17</f>
        <v>3446</v>
      </c>
      <c r="H9" s="230">
        <v>4766.6000000000004</v>
      </c>
    </row>
    <row r="10" spans="1:8" s="229" customFormat="1" ht="31.5" hidden="1" x14ac:dyDescent="0.25">
      <c r="A10" s="34" t="s">
        <v>1156</v>
      </c>
      <c r="B10" s="7" t="s">
        <v>1099</v>
      </c>
      <c r="C10" s="40"/>
      <c r="D10" s="40"/>
      <c r="E10" s="40"/>
      <c r="F10" s="40"/>
      <c r="G10" s="6">
        <f>G13</f>
        <v>0</v>
      </c>
      <c r="H10" s="230"/>
    </row>
    <row r="11" spans="1:8" ht="15.75" hidden="1" x14ac:dyDescent="0.25">
      <c r="A11" s="29" t="s">
        <v>247</v>
      </c>
      <c r="B11" s="40" t="s">
        <v>1099</v>
      </c>
      <c r="C11" s="40" t="s">
        <v>165</v>
      </c>
      <c r="D11" s="40"/>
      <c r="E11" s="40"/>
      <c r="F11" s="40"/>
      <c r="G11" s="6">
        <f t="shared" ref="G11" si="0">G12</f>
        <v>0</v>
      </c>
    </row>
    <row r="12" spans="1:8" ht="15.75" hidden="1" x14ac:dyDescent="0.25">
      <c r="A12" s="29" t="s">
        <v>523</v>
      </c>
      <c r="B12" s="40" t="s">
        <v>1099</v>
      </c>
      <c r="C12" s="40" t="s">
        <v>165</v>
      </c>
      <c r="D12" s="40" t="s">
        <v>234</v>
      </c>
      <c r="E12" s="40"/>
      <c r="F12" s="40"/>
      <c r="G12" s="6">
        <f>G13</f>
        <v>0</v>
      </c>
    </row>
    <row r="13" spans="1:8" s="229" customFormat="1" ht="15.75" hidden="1" x14ac:dyDescent="0.25">
      <c r="A13" s="29" t="s">
        <v>1158</v>
      </c>
      <c r="B13" s="40" t="s">
        <v>1157</v>
      </c>
      <c r="C13" s="40" t="s">
        <v>165</v>
      </c>
      <c r="D13" s="40" t="s">
        <v>234</v>
      </c>
      <c r="E13" s="40"/>
      <c r="F13" s="40"/>
      <c r="G13" s="6">
        <f>G14</f>
        <v>0</v>
      </c>
      <c r="H13" s="230"/>
    </row>
    <row r="14" spans="1:8" s="229" customFormat="1" ht="31.5" hidden="1" x14ac:dyDescent="0.25">
      <c r="A14" s="25" t="s">
        <v>146</v>
      </c>
      <c r="B14" s="40" t="s">
        <v>1157</v>
      </c>
      <c r="C14" s="40" t="s">
        <v>165</v>
      </c>
      <c r="D14" s="40" t="s">
        <v>234</v>
      </c>
      <c r="E14" s="40" t="s">
        <v>147</v>
      </c>
      <c r="F14" s="40"/>
      <c r="G14" s="6">
        <f>G15</f>
        <v>0</v>
      </c>
      <c r="H14" s="230"/>
    </row>
    <row r="15" spans="1:8" s="229" customFormat="1" ht="31.5" hidden="1" x14ac:dyDescent="0.25">
      <c r="A15" s="25" t="s">
        <v>148</v>
      </c>
      <c r="B15" s="40" t="s">
        <v>1157</v>
      </c>
      <c r="C15" s="40" t="s">
        <v>165</v>
      </c>
      <c r="D15" s="40" t="s">
        <v>234</v>
      </c>
      <c r="E15" s="40" t="s">
        <v>149</v>
      </c>
      <c r="F15" s="40"/>
      <c r="G15" s="6">
        <f>'Пр.6 ведом.20'!G870</f>
        <v>0</v>
      </c>
      <c r="H15" s="230"/>
    </row>
    <row r="16" spans="1:8" s="229" customFormat="1" ht="31.5" hidden="1" x14ac:dyDescent="0.25">
      <c r="A16" s="45" t="s">
        <v>639</v>
      </c>
      <c r="B16" s="40" t="s">
        <v>1157</v>
      </c>
      <c r="C16" s="40" t="s">
        <v>165</v>
      </c>
      <c r="D16" s="40" t="s">
        <v>234</v>
      </c>
      <c r="E16" s="40" t="s">
        <v>149</v>
      </c>
      <c r="F16" s="40" t="s">
        <v>640</v>
      </c>
      <c r="G16" s="6">
        <f>G15</f>
        <v>0</v>
      </c>
      <c r="H16" s="230"/>
    </row>
    <row r="17" spans="1:9" s="229" customFormat="1" ht="31.5" x14ac:dyDescent="0.25">
      <c r="A17" s="34" t="s">
        <v>1248</v>
      </c>
      <c r="B17" s="24" t="s">
        <v>1100</v>
      </c>
      <c r="C17" s="40"/>
      <c r="D17" s="40"/>
      <c r="E17" s="40"/>
      <c r="F17" s="40"/>
      <c r="G17" s="6">
        <f>G18</f>
        <v>3446</v>
      </c>
      <c r="H17" s="230"/>
    </row>
    <row r="18" spans="1:9" s="229" customFormat="1" ht="15.75" x14ac:dyDescent="0.25">
      <c r="A18" s="29" t="s">
        <v>247</v>
      </c>
      <c r="B18" s="40" t="s">
        <v>1100</v>
      </c>
      <c r="C18" s="40" t="s">
        <v>165</v>
      </c>
      <c r="D18" s="40"/>
      <c r="E18" s="40"/>
      <c r="F18" s="40"/>
      <c r="G18" s="6">
        <f>G19</f>
        <v>3446</v>
      </c>
      <c r="H18" s="230"/>
    </row>
    <row r="19" spans="1:9" s="229" customFormat="1" ht="15.75" x14ac:dyDescent="0.25">
      <c r="A19" s="29" t="s">
        <v>523</v>
      </c>
      <c r="B19" s="40" t="s">
        <v>1100</v>
      </c>
      <c r="C19" s="40" t="s">
        <v>165</v>
      </c>
      <c r="D19" s="40" t="s">
        <v>234</v>
      </c>
      <c r="E19" s="40"/>
      <c r="F19" s="40"/>
      <c r="G19" s="6">
        <f>G20</f>
        <v>3446</v>
      </c>
      <c r="H19" s="230"/>
    </row>
    <row r="20" spans="1:9" ht="15.75" x14ac:dyDescent="0.25">
      <c r="A20" s="29" t="s">
        <v>526</v>
      </c>
      <c r="B20" s="40" t="s">
        <v>1159</v>
      </c>
      <c r="C20" s="40" t="s">
        <v>165</v>
      </c>
      <c r="D20" s="40" t="s">
        <v>234</v>
      </c>
      <c r="E20" s="40"/>
      <c r="F20" s="40"/>
      <c r="G20" s="6">
        <f>G21+G24</f>
        <v>3446</v>
      </c>
    </row>
    <row r="21" spans="1:9" ht="31.5" x14ac:dyDescent="0.25">
      <c r="A21" s="29" t="s">
        <v>146</v>
      </c>
      <c r="B21" s="40" t="s">
        <v>1159</v>
      </c>
      <c r="C21" s="40" t="s">
        <v>165</v>
      </c>
      <c r="D21" s="40" t="s">
        <v>234</v>
      </c>
      <c r="E21" s="40" t="s">
        <v>147</v>
      </c>
      <c r="F21" s="40"/>
      <c r="G21" s="6">
        <f t="shared" ref="G21" si="1">G22</f>
        <v>3446</v>
      </c>
    </row>
    <row r="22" spans="1:9" ht="31.5" x14ac:dyDescent="0.25">
      <c r="A22" s="29" t="s">
        <v>148</v>
      </c>
      <c r="B22" s="40" t="s">
        <v>1159</v>
      </c>
      <c r="C22" s="40" t="s">
        <v>165</v>
      </c>
      <c r="D22" s="40" t="s">
        <v>234</v>
      </c>
      <c r="E22" s="40" t="s">
        <v>149</v>
      </c>
      <c r="F22" s="40"/>
      <c r="G22" s="6">
        <f>'Пр.6 ведом.20'!G874</f>
        <v>3446</v>
      </c>
    </row>
    <row r="23" spans="1:9" s="229" customFormat="1" ht="31.5" x14ac:dyDescent="0.25">
      <c r="A23" s="45" t="s">
        <v>639</v>
      </c>
      <c r="B23" s="40" t="s">
        <v>1159</v>
      </c>
      <c r="C23" s="40" t="s">
        <v>165</v>
      </c>
      <c r="D23" s="40" t="s">
        <v>234</v>
      </c>
      <c r="E23" s="40" t="s">
        <v>149</v>
      </c>
      <c r="F23" s="40" t="s">
        <v>640</v>
      </c>
      <c r="G23" s="6">
        <f>G22</f>
        <v>3446</v>
      </c>
      <c r="H23" s="230"/>
    </row>
    <row r="24" spans="1:9" ht="15.75" hidden="1" x14ac:dyDescent="0.25">
      <c r="A24" s="25" t="s">
        <v>150</v>
      </c>
      <c r="B24" s="40" t="s">
        <v>1159</v>
      </c>
      <c r="C24" s="40" t="s">
        <v>165</v>
      </c>
      <c r="D24" s="40" t="s">
        <v>234</v>
      </c>
      <c r="E24" s="40" t="s">
        <v>160</v>
      </c>
      <c r="F24" s="40"/>
      <c r="G24" s="6">
        <f t="shared" ref="G24" si="2">G25</f>
        <v>0</v>
      </c>
    </row>
    <row r="25" spans="1:9" ht="15.75" hidden="1" x14ac:dyDescent="0.25">
      <c r="A25" s="25" t="s">
        <v>152</v>
      </c>
      <c r="B25" s="40" t="s">
        <v>1159</v>
      </c>
      <c r="C25" s="40" t="s">
        <v>165</v>
      </c>
      <c r="D25" s="40" t="s">
        <v>234</v>
      </c>
      <c r="E25" s="40" t="s">
        <v>153</v>
      </c>
      <c r="F25" s="40"/>
      <c r="G25" s="6">
        <f>'Пр.6 ведом.20'!G876</f>
        <v>0</v>
      </c>
    </row>
    <row r="26" spans="1:9" ht="31.5" hidden="1" x14ac:dyDescent="0.25">
      <c r="A26" s="45" t="s">
        <v>639</v>
      </c>
      <c r="B26" s="40" t="s">
        <v>1159</v>
      </c>
      <c r="C26" s="40" t="s">
        <v>165</v>
      </c>
      <c r="D26" s="40" t="s">
        <v>234</v>
      </c>
      <c r="E26" s="40" t="s">
        <v>153</v>
      </c>
      <c r="F26" s="40" t="s">
        <v>640</v>
      </c>
      <c r="G26" s="6">
        <f>G25</f>
        <v>0</v>
      </c>
    </row>
    <row r="27" spans="1:9" ht="47.25" x14ac:dyDescent="0.25">
      <c r="A27" s="58" t="s">
        <v>358</v>
      </c>
      <c r="B27" s="7" t="s">
        <v>359</v>
      </c>
      <c r="C27" s="7"/>
      <c r="D27" s="7"/>
      <c r="E27" s="7"/>
      <c r="F27" s="7"/>
      <c r="G27" s="59">
        <f>G28+G57+G65+G73+G91+G99+G107+G148</f>
        <v>3599.2</v>
      </c>
      <c r="H27" s="230">
        <v>4043</v>
      </c>
      <c r="I27" s="22">
        <f>H27-G27</f>
        <v>443.80000000000018</v>
      </c>
    </row>
    <row r="28" spans="1:9" ht="31.5" x14ac:dyDescent="0.25">
      <c r="A28" s="58" t="s">
        <v>641</v>
      </c>
      <c r="B28" s="7" t="s">
        <v>361</v>
      </c>
      <c r="C28" s="7"/>
      <c r="D28" s="7"/>
      <c r="E28" s="7"/>
      <c r="F28" s="7"/>
      <c r="G28" s="59">
        <f>G30+G40+G50</f>
        <v>760</v>
      </c>
    </row>
    <row r="29" spans="1:9" s="229" customFormat="1" ht="47.25" x14ac:dyDescent="0.25">
      <c r="A29" s="273" t="s">
        <v>1207</v>
      </c>
      <c r="B29" s="24" t="s">
        <v>954</v>
      </c>
      <c r="C29" s="7"/>
      <c r="D29" s="7"/>
      <c r="E29" s="40"/>
      <c r="F29" s="40"/>
      <c r="G29" s="59">
        <f>G30</f>
        <v>280</v>
      </c>
      <c r="H29" s="230"/>
    </row>
    <row r="30" spans="1:9" ht="15.75" x14ac:dyDescent="0.25">
      <c r="A30" s="45" t="s">
        <v>278</v>
      </c>
      <c r="B30" s="40" t="s">
        <v>954</v>
      </c>
      <c r="C30" s="40" t="s">
        <v>279</v>
      </c>
      <c r="D30" s="40"/>
      <c r="E30" s="40"/>
      <c r="F30" s="40"/>
      <c r="G30" s="10">
        <f t="shared" ref="G30" si="3">G31</f>
        <v>280</v>
      </c>
    </row>
    <row r="31" spans="1:9" ht="15.75" x14ac:dyDescent="0.25">
      <c r="A31" s="45" t="s">
        <v>481</v>
      </c>
      <c r="B31" s="40" t="s">
        <v>954</v>
      </c>
      <c r="C31" s="40" t="s">
        <v>279</v>
      </c>
      <c r="D31" s="40" t="s">
        <v>279</v>
      </c>
      <c r="E31" s="40"/>
      <c r="F31" s="40"/>
      <c r="G31" s="10">
        <f>G32+G36</f>
        <v>280</v>
      </c>
    </row>
    <row r="32" spans="1:9" s="229" customFormat="1" ht="31.5" x14ac:dyDescent="0.25">
      <c r="A32" s="101" t="s">
        <v>1213</v>
      </c>
      <c r="B32" s="20" t="s">
        <v>955</v>
      </c>
      <c r="C32" s="40" t="s">
        <v>279</v>
      </c>
      <c r="D32" s="40" t="s">
        <v>279</v>
      </c>
      <c r="E32" s="40"/>
      <c r="F32" s="40"/>
      <c r="G32" s="10">
        <f>G33</f>
        <v>280</v>
      </c>
      <c r="H32" s="230"/>
    </row>
    <row r="33" spans="1:8" s="229" customFormat="1" ht="78.75" x14ac:dyDescent="0.25">
      <c r="A33" s="25" t="s">
        <v>142</v>
      </c>
      <c r="B33" s="20" t="s">
        <v>955</v>
      </c>
      <c r="C33" s="40" t="s">
        <v>279</v>
      </c>
      <c r="D33" s="40" t="s">
        <v>279</v>
      </c>
      <c r="E33" s="40" t="s">
        <v>143</v>
      </c>
      <c r="F33" s="40"/>
      <c r="G33" s="10">
        <f>G34</f>
        <v>280</v>
      </c>
      <c r="H33" s="230"/>
    </row>
    <row r="34" spans="1:8" s="229" customFormat="1" ht="15.75" x14ac:dyDescent="0.25">
      <c r="A34" s="25" t="s">
        <v>357</v>
      </c>
      <c r="B34" s="20" t="s">
        <v>955</v>
      </c>
      <c r="C34" s="40" t="s">
        <v>279</v>
      </c>
      <c r="D34" s="40" t="s">
        <v>279</v>
      </c>
      <c r="E34" s="40" t="s">
        <v>224</v>
      </c>
      <c r="F34" s="40"/>
      <c r="G34" s="10">
        <f>'Пр.5 Рд,пр, ЦС,ВР 20'!F704</f>
        <v>280</v>
      </c>
      <c r="H34" s="230"/>
    </row>
    <row r="35" spans="1:8" s="229" customFormat="1" ht="47.25" x14ac:dyDescent="0.25">
      <c r="A35" s="45" t="s">
        <v>276</v>
      </c>
      <c r="B35" s="20" t="s">
        <v>955</v>
      </c>
      <c r="C35" s="40" t="s">
        <v>279</v>
      </c>
      <c r="D35" s="40" t="s">
        <v>279</v>
      </c>
      <c r="E35" s="40" t="s">
        <v>224</v>
      </c>
      <c r="F35" s="40" t="s">
        <v>643</v>
      </c>
      <c r="G35" s="6">
        <f>G34</f>
        <v>280</v>
      </c>
      <c r="H35" s="230"/>
    </row>
    <row r="36" spans="1:8" s="229" customFormat="1" ht="15.75" hidden="1" x14ac:dyDescent="0.25">
      <c r="A36" s="25" t="s">
        <v>1208</v>
      </c>
      <c r="B36" s="20" t="s">
        <v>1232</v>
      </c>
      <c r="C36" s="40" t="s">
        <v>279</v>
      </c>
      <c r="D36" s="40" t="s">
        <v>279</v>
      </c>
      <c r="E36" s="40"/>
      <c r="F36" s="40"/>
      <c r="G36" s="10">
        <f>G37</f>
        <v>0</v>
      </c>
      <c r="H36" s="230"/>
    </row>
    <row r="37" spans="1:8" s="229" customFormat="1" ht="31.5" hidden="1" x14ac:dyDescent="0.25">
      <c r="A37" s="25" t="s">
        <v>146</v>
      </c>
      <c r="B37" s="20" t="s">
        <v>1232</v>
      </c>
      <c r="C37" s="40" t="s">
        <v>279</v>
      </c>
      <c r="D37" s="40" t="s">
        <v>279</v>
      </c>
      <c r="E37" s="40" t="s">
        <v>147</v>
      </c>
      <c r="F37" s="40"/>
      <c r="G37" s="10">
        <f>G38</f>
        <v>0</v>
      </c>
      <c r="H37" s="230"/>
    </row>
    <row r="38" spans="1:8" s="229" customFormat="1" ht="31.5" hidden="1" x14ac:dyDescent="0.25">
      <c r="A38" s="25" t="s">
        <v>148</v>
      </c>
      <c r="B38" s="20" t="s">
        <v>1232</v>
      </c>
      <c r="C38" s="40" t="s">
        <v>279</v>
      </c>
      <c r="D38" s="40" t="s">
        <v>279</v>
      </c>
      <c r="E38" s="40" t="s">
        <v>149</v>
      </c>
      <c r="F38" s="40"/>
      <c r="G38" s="10">
        <f>'Пр.5 Рд,пр, ЦС,ВР 20'!F707</f>
        <v>0</v>
      </c>
      <c r="H38" s="230"/>
    </row>
    <row r="39" spans="1:8" s="229" customFormat="1" ht="47.25" hidden="1" x14ac:dyDescent="0.25">
      <c r="A39" s="45" t="s">
        <v>276</v>
      </c>
      <c r="B39" s="20" t="s">
        <v>1232</v>
      </c>
      <c r="C39" s="40" t="s">
        <v>279</v>
      </c>
      <c r="D39" s="40" t="s">
        <v>279</v>
      </c>
      <c r="E39" s="40" t="s">
        <v>149</v>
      </c>
      <c r="F39" s="40" t="s">
        <v>643</v>
      </c>
      <c r="G39" s="6">
        <f>G38</f>
        <v>0</v>
      </c>
      <c r="H39" s="230"/>
    </row>
    <row r="40" spans="1:8" s="229" customFormat="1" ht="63" x14ac:dyDescent="0.25">
      <c r="A40" s="23" t="s">
        <v>1209</v>
      </c>
      <c r="B40" s="24" t="s">
        <v>956</v>
      </c>
      <c r="C40" s="40"/>
      <c r="D40" s="40"/>
      <c r="E40" s="40"/>
      <c r="F40" s="40"/>
      <c r="G40" s="59">
        <f>G41</f>
        <v>455</v>
      </c>
      <c r="H40" s="230"/>
    </row>
    <row r="41" spans="1:8" s="229" customFormat="1" ht="15.75" x14ac:dyDescent="0.25">
      <c r="A41" s="45" t="s">
        <v>278</v>
      </c>
      <c r="B41" s="40" t="s">
        <v>956</v>
      </c>
      <c r="C41" s="40" t="s">
        <v>279</v>
      </c>
      <c r="D41" s="40"/>
      <c r="E41" s="40"/>
      <c r="F41" s="40"/>
      <c r="G41" s="10">
        <f>G42</f>
        <v>455</v>
      </c>
      <c r="H41" s="230"/>
    </row>
    <row r="42" spans="1:8" s="229" customFormat="1" ht="15.75" x14ac:dyDescent="0.25">
      <c r="A42" s="45" t="s">
        <v>481</v>
      </c>
      <c r="B42" s="40" t="s">
        <v>956</v>
      </c>
      <c r="C42" s="40" t="s">
        <v>279</v>
      </c>
      <c r="D42" s="40" t="s">
        <v>279</v>
      </c>
      <c r="E42" s="40"/>
      <c r="F42" s="40"/>
      <c r="G42" s="10">
        <f>G43+G47</f>
        <v>455</v>
      </c>
      <c r="H42" s="230"/>
    </row>
    <row r="43" spans="1:8" ht="15.75" x14ac:dyDescent="0.25">
      <c r="A43" s="25" t="s">
        <v>1210</v>
      </c>
      <c r="B43" s="20" t="s">
        <v>974</v>
      </c>
      <c r="C43" s="40" t="s">
        <v>279</v>
      </c>
      <c r="D43" s="40" t="s">
        <v>279</v>
      </c>
      <c r="E43" s="40"/>
      <c r="F43" s="40"/>
      <c r="G43" s="10">
        <f>G44</f>
        <v>40</v>
      </c>
    </row>
    <row r="44" spans="1:8" ht="78.75" x14ac:dyDescent="0.25">
      <c r="A44" s="25" t="s">
        <v>142</v>
      </c>
      <c r="B44" s="20" t="s">
        <v>974</v>
      </c>
      <c r="C44" s="40" t="s">
        <v>279</v>
      </c>
      <c r="D44" s="40" t="s">
        <v>279</v>
      </c>
      <c r="E44" s="40" t="s">
        <v>143</v>
      </c>
      <c r="F44" s="40"/>
      <c r="G44" s="10">
        <f t="shared" ref="G44" si="4">G45</f>
        <v>40</v>
      </c>
    </row>
    <row r="45" spans="1:8" ht="15.75" x14ac:dyDescent="0.25">
      <c r="A45" s="25" t="s">
        <v>357</v>
      </c>
      <c r="B45" s="20" t="s">
        <v>974</v>
      </c>
      <c r="C45" s="40" t="s">
        <v>279</v>
      </c>
      <c r="D45" s="40" t="s">
        <v>279</v>
      </c>
      <c r="E45" s="40" t="s">
        <v>224</v>
      </c>
      <c r="F45" s="40"/>
      <c r="G45" s="10">
        <f>'Пр.5 Рд,пр, ЦС,ВР 20'!F711</f>
        <v>40</v>
      </c>
    </row>
    <row r="46" spans="1:8" s="229" customFormat="1" ht="47.25" x14ac:dyDescent="0.25">
      <c r="A46" s="45" t="s">
        <v>276</v>
      </c>
      <c r="B46" s="20" t="s">
        <v>974</v>
      </c>
      <c r="C46" s="40" t="s">
        <v>279</v>
      </c>
      <c r="D46" s="40" t="s">
        <v>279</v>
      </c>
      <c r="E46" s="40" t="s">
        <v>224</v>
      </c>
      <c r="F46" s="40" t="s">
        <v>643</v>
      </c>
      <c r="G46" s="6">
        <f>G45</f>
        <v>40</v>
      </c>
      <c r="H46" s="230"/>
    </row>
    <row r="47" spans="1:8" ht="31.5" x14ac:dyDescent="0.25">
      <c r="A47" s="25" t="s">
        <v>146</v>
      </c>
      <c r="B47" s="20" t="s">
        <v>974</v>
      </c>
      <c r="C47" s="40" t="s">
        <v>279</v>
      </c>
      <c r="D47" s="40" t="s">
        <v>279</v>
      </c>
      <c r="E47" s="40" t="s">
        <v>147</v>
      </c>
      <c r="F47" s="40"/>
      <c r="G47" s="10">
        <f t="shared" ref="G47" si="5">G48</f>
        <v>415</v>
      </c>
    </row>
    <row r="48" spans="1:8" ht="31.5" x14ac:dyDescent="0.25">
      <c r="A48" s="25" t="s">
        <v>148</v>
      </c>
      <c r="B48" s="20" t="s">
        <v>974</v>
      </c>
      <c r="C48" s="40" t="s">
        <v>279</v>
      </c>
      <c r="D48" s="40" t="s">
        <v>279</v>
      </c>
      <c r="E48" s="40" t="s">
        <v>149</v>
      </c>
      <c r="F48" s="40"/>
      <c r="G48" s="6">
        <f>'Пр.5 Рд,пр, ЦС,ВР 20'!F713</f>
        <v>415</v>
      </c>
    </row>
    <row r="49" spans="1:8" s="229" customFormat="1" ht="47.25" x14ac:dyDescent="0.25">
      <c r="A49" s="45" t="s">
        <v>276</v>
      </c>
      <c r="B49" s="20" t="s">
        <v>974</v>
      </c>
      <c r="C49" s="40" t="s">
        <v>279</v>
      </c>
      <c r="D49" s="40" t="s">
        <v>279</v>
      </c>
      <c r="E49" s="40" t="s">
        <v>149</v>
      </c>
      <c r="F49" s="40" t="s">
        <v>643</v>
      </c>
      <c r="G49" s="6">
        <f>G48</f>
        <v>415</v>
      </c>
      <c r="H49" s="230"/>
    </row>
    <row r="50" spans="1:8" ht="33" customHeight="1" x14ac:dyDescent="0.25">
      <c r="A50" s="23" t="s">
        <v>1215</v>
      </c>
      <c r="B50" s="24" t="s">
        <v>1211</v>
      </c>
      <c r="C50" s="40"/>
      <c r="D50" s="40"/>
      <c r="E50" s="40"/>
      <c r="F50" s="40"/>
      <c r="G50" s="4">
        <f>G53</f>
        <v>25</v>
      </c>
    </row>
    <row r="51" spans="1:8" s="229" customFormat="1" ht="16.5" customHeight="1" x14ac:dyDescent="0.25">
      <c r="A51" s="45" t="s">
        <v>278</v>
      </c>
      <c r="B51" s="40" t="s">
        <v>1211</v>
      </c>
      <c r="C51" s="40" t="s">
        <v>279</v>
      </c>
      <c r="D51" s="40"/>
      <c r="E51" s="40"/>
      <c r="F51" s="40"/>
      <c r="G51" s="10">
        <f>G52</f>
        <v>25</v>
      </c>
      <c r="H51" s="230"/>
    </row>
    <row r="52" spans="1:8" s="229" customFormat="1" ht="18.75" customHeight="1" x14ac:dyDescent="0.25">
      <c r="A52" s="45" t="s">
        <v>481</v>
      </c>
      <c r="B52" s="40" t="s">
        <v>1211</v>
      </c>
      <c r="C52" s="40" t="s">
        <v>279</v>
      </c>
      <c r="D52" s="40" t="s">
        <v>279</v>
      </c>
      <c r="E52" s="40"/>
      <c r="F52" s="40"/>
      <c r="G52" s="10">
        <f>G53</f>
        <v>25</v>
      </c>
      <c r="H52" s="230"/>
    </row>
    <row r="53" spans="1:8" ht="47.25" x14ac:dyDescent="0.25">
      <c r="A53" s="303" t="s">
        <v>1212</v>
      </c>
      <c r="B53" s="20" t="s">
        <v>1233</v>
      </c>
      <c r="C53" s="40" t="s">
        <v>279</v>
      </c>
      <c r="D53" s="40" t="s">
        <v>279</v>
      </c>
      <c r="E53" s="20"/>
      <c r="F53" s="40"/>
      <c r="G53" s="6">
        <f t="shared" ref="G53" si="6">G54</f>
        <v>25</v>
      </c>
    </row>
    <row r="54" spans="1:8" ht="15.75" x14ac:dyDescent="0.25">
      <c r="A54" s="25" t="s">
        <v>263</v>
      </c>
      <c r="B54" s="20" t="s">
        <v>1233</v>
      </c>
      <c r="C54" s="40" t="s">
        <v>279</v>
      </c>
      <c r="D54" s="40" t="s">
        <v>279</v>
      </c>
      <c r="E54" s="20" t="s">
        <v>264</v>
      </c>
      <c r="F54" s="40"/>
      <c r="G54" s="6">
        <f>G55</f>
        <v>25</v>
      </c>
    </row>
    <row r="55" spans="1:8" ht="31.5" x14ac:dyDescent="0.25">
      <c r="A55" s="25" t="s">
        <v>363</v>
      </c>
      <c r="B55" s="20" t="s">
        <v>1233</v>
      </c>
      <c r="C55" s="40" t="s">
        <v>279</v>
      </c>
      <c r="D55" s="40" t="s">
        <v>279</v>
      </c>
      <c r="E55" s="20" t="s">
        <v>364</v>
      </c>
      <c r="F55" s="40"/>
      <c r="G55" s="10">
        <f>'Пр.5 Рд,пр, ЦС,ВР 20'!F717</f>
        <v>25</v>
      </c>
    </row>
    <row r="56" spans="1:8" s="229" customFormat="1" ht="47.25" x14ac:dyDescent="0.25">
      <c r="A56" s="45" t="s">
        <v>276</v>
      </c>
      <c r="B56" s="20" t="s">
        <v>1233</v>
      </c>
      <c r="C56" s="40" t="s">
        <v>279</v>
      </c>
      <c r="D56" s="40" t="s">
        <v>279</v>
      </c>
      <c r="E56" s="40" t="s">
        <v>364</v>
      </c>
      <c r="F56" s="40" t="s">
        <v>643</v>
      </c>
      <c r="G56" s="6">
        <f>G55</f>
        <v>25</v>
      </c>
      <c r="H56" s="230"/>
    </row>
    <row r="57" spans="1:8" ht="31.5" x14ac:dyDescent="0.25">
      <c r="A57" s="58" t="s">
        <v>644</v>
      </c>
      <c r="B57" s="7" t="s">
        <v>368</v>
      </c>
      <c r="C57" s="7"/>
      <c r="D57" s="7"/>
      <c r="E57" s="7"/>
      <c r="F57" s="7"/>
      <c r="G57" s="59">
        <f>G58</f>
        <v>169.20000000000002</v>
      </c>
    </row>
    <row r="58" spans="1:8" s="229" customFormat="1" ht="31.5" x14ac:dyDescent="0.25">
      <c r="A58" s="23" t="s">
        <v>978</v>
      </c>
      <c r="B58" s="24" t="s">
        <v>977</v>
      </c>
      <c r="C58" s="7"/>
      <c r="D58" s="7"/>
      <c r="E58" s="7"/>
      <c r="F58" s="7"/>
      <c r="G58" s="59">
        <f>G59</f>
        <v>169.20000000000002</v>
      </c>
      <c r="H58" s="230"/>
    </row>
    <row r="59" spans="1:8" ht="15.75" x14ac:dyDescent="0.25">
      <c r="A59" s="45" t="s">
        <v>258</v>
      </c>
      <c r="B59" s="40" t="s">
        <v>977</v>
      </c>
      <c r="C59" s="40" t="s">
        <v>259</v>
      </c>
      <c r="D59" s="40"/>
      <c r="E59" s="40"/>
      <c r="F59" s="40"/>
      <c r="G59" s="10">
        <f t="shared" ref="G59:G62" si="7">G60</f>
        <v>169.20000000000002</v>
      </c>
    </row>
    <row r="60" spans="1:8" ht="15.75" x14ac:dyDescent="0.25">
      <c r="A60" s="45" t="s">
        <v>267</v>
      </c>
      <c r="B60" s="40" t="s">
        <v>977</v>
      </c>
      <c r="C60" s="40" t="s">
        <v>259</v>
      </c>
      <c r="D60" s="40" t="s">
        <v>230</v>
      </c>
      <c r="E60" s="40"/>
      <c r="F60" s="40"/>
      <c r="G60" s="10">
        <f>G61</f>
        <v>169.20000000000002</v>
      </c>
    </row>
    <row r="61" spans="1:8" ht="31.5" x14ac:dyDescent="0.25">
      <c r="A61" s="25" t="s">
        <v>870</v>
      </c>
      <c r="B61" s="20" t="s">
        <v>979</v>
      </c>
      <c r="C61" s="40" t="s">
        <v>259</v>
      </c>
      <c r="D61" s="40" t="s">
        <v>230</v>
      </c>
      <c r="E61" s="40"/>
      <c r="F61" s="40"/>
      <c r="G61" s="10">
        <f t="shared" si="7"/>
        <v>169.20000000000002</v>
      </c>
    </row>
    <row r="62" spans="1:8" ht="15.75" x14ac:dyDescent="0.25">
      <c r="A62" s="29" t="s">
        <v>263</v>
      </c>
      <c r="B62" s="20" t="s">
        <v>979</v>
      </c>
      <c r="C62" s="40" t="s">
        <v>259</v>
      </c>
      <c r="D62" s="40" t="s">
        <v>230</v>
      </c>
      <c r="E62" s="40" t="s">
        <v>264</v>
      </c>
      <c r="F62" s="40"/>
      <c r="G62" s="10">
        <f t="shared" si="7"/>
        <v>169.20000000000002</v>
      </c>
    </row>
    <row r="63" spans="1:8" ht="31.5" x14ac:dyDescent="0.25">
      <c r="A63" s="29" t="s">
        <v>265</v>
      </c>
      <c r="B63" s="20" t="s">
        <v>979</v>
      </c>
      <c r="C63" s="40" t="s">
        <v>259</v>
      </c>
      <c r="D63" s="40" t="s">
        <v>230</v>
      </c>
      <c r="E63" s="40" t="s">
        <v>266</v>
      </c>
      <c r="F63" s="40"/>
      <c r="G63" s="10">
        <f>'Пр.6 ведом.20'!G439</f>
        <v>169.20000000000002</v>
      </c>
    </row>
    <row r="64" spans="1:8" ht="47.25" x14ac:dyDescent="0.25">
      <c r="A64" s="45" t="s">
        <v>276</v>
      </c>
      <c r="B64" s="20" t="s">
        <v>979</v>
      </c>
      <c r="C64" s="40" t="s">
        <v>259</v>
      </c>
      <c r="D64" s="40" t="s">
        <v>230</v>
      </c>
      <c r="E64" s="40" t="s">
        <v>266</v>
      </c>
      <c r="F64" s="40" t="s">
        <v>643</v>
      </c>
      <c r="G64" s="10">
        <f t="shared" ref="G64" si="8">G57</f>
        <v>169.20000000000002</v>
      </c>
    </row>
    <row r="65" spans="1:8" ht="31.5" x14ac:dyDescent="0.25">
      <c r="A65" s="58" t="s">
        <v>645</v>
      </c>
      <c r="B65" s="7" t="s">
        <v>371</v>
      </c>
      <c r="C65" s="7"/>
      <c r="D65" s="7"/>
      <c r="E65" s="7"/>
      <c r="F65" s="7"/>
      <c r="G65" s="59">
        <f t="shared" ref="G65" si="9">G67</f>
        <v>420</v>
      </c>
    </row>
    <row r="66" spans="1:8" s="229" customFormat="1" ht="31.5" x14ac:dyDescent="0.25">
      <c r="A66" s="23" t="s">
        <v>1153</v>
      </c>
      <c r="B66" s="24" t="s">
        <v>980</v>
      </c>
      <c r="C66" s="40"/>
      <c r="D66" s="40"/>
      <c r="E66" s="40"/>
      <c r="F66" s="40"/>
      <c r="G66" s="10">
        <f>G67</f>
        <v>420</v>
      </c>
      <c r="H66" s="230"/>
    </row>
    <row r="67" spans="1:8" ht="15.75" x14ac:dyDescent="0.25">
      <c r="A67" s="45" t="s">
        <v>258</v>
      </c>
      <c r="B67" s="40" t="s">
        <v>980</v>
      </c>
      <c r="C67" s="40" t="s">
        <v>259</v>
      </c>
      <c r="D67" s="40"/>
      <c r="E67" s="40"/>
      <c r="F67" s="40"/>
      <c r="G67" s="10">
        <f t="shared" ref="G67:G70" si="10">G68</f>
        <v>420</v>
      </c>
    </row>
    <row r="68" spans="1:8" ht="15.75" x14ac:dyDescent="0.25">
      <c r="A68" s="45" t="s">
        <v>267</v>
      </c>
      <c r="B68" s="40" t="s">
        <v>980</v>
      </c>
      <c r="C68" s="40" t="s">
        <v>259</v>
      </c>
      <c r="D68" s="40" t="s">
        <v>230</v>
      </c>
      <c r="E68" s="40"/>
      <c r="F68" s="40"/>
      <c r="G68" s="10">
        <f>G69</f>
        <v>420</v>
      </c>
    </row>
    <row r="69" spans="1:8" ht="31.5" x14ac:dyDescent="0.25">
      <c r="A69" s="29" t="s">
        <v>172</v>
      </c>
      <c r="B69" s="20" t="s">
        <v>981</v>
      </c>
      <c r="C69" s="40" t="s">
        <v>259</v>
      </c>
      <c r="D69" s="40" t="s">
        <v>230</v>
      </c>
      <c r="E69" s="40"/>
      <c r="F69" s="40"/>
      <c r="G69" s="10">
        <f t="shared" si="10"/>
        <v>420</v>
      </c>
    </row>
    <row r="70" spans="1:8" ht="15.75" x14ac:dyDescent="0.25">
      <c r="A70" s="29" t="s">
        <v>263</v>
      </c>
      <c r="B70" s="20" t="s">
        <v>981</v>
      </c>
      <c r="C70" s="40" t="s">
        <v>259</v>
      </c>
      <c r="D70" s="40" t="s">
        <v>230</v>
      </c>
      <c r="E70" s="40" t="s">
        <v>264</v>
      </c>
      <c r="F70" s="40"/>
      <c r="G70" s="10">
        <f t="shared" si="10"/>
        <v>420</v>
      </c>
    </row>
    <row r="71" spans="1:8" ht="31.5" x14ac:dyDescent="0.25">
      <c r="A71" s="29" t="s">
        <v>363</v>
      </c>
      <c r="B71" s="20" t="s">
        <v>981</v>
      </c>
      <c r="C71" s="40" t="s">
        <v>259</v>
      </c>
      <c r="D71" s="40" t="s">
        <v>230</v>
      </c>
      <c r="E71" s="40" t="s">
        <v>364</v>
      </c>
      <c r="F71" s="40"/>
      <c r="G71" s="10">
        <f>'Пр.6 ведом.20'!G444</f>
        <v>420</v>
      </c>
    </row>
    <row r="72" spans="1:8" ht="47.25" x14ac:dyDescent="0.25">
      <c r="A72" s="45" t="s">
        <v>276</v>
      </c>
      <c r="B72" s="20" t="s">
        <v>981</v>
      </c>
      <c r="C72" s="40" t="s">
        <v>259</v>
      </c>
      <c r="D72" s="40" t="s">
        <v>230</v>
      </c>
      <c r="E72" s="40" t="s">
        <v>364</v>
      </c>
      <c r="F72" s="40" t="s">
        <v>643</v>
      </c>
      <c r="G72" s="10">
        <f t="shared" ref="G72" si="11">G65</f>
        <v>420</v>
      </c>
    </row>
    <row r="73" spans="1:8" ht="15.75" x14ac:dyDescent="0.25">
      <c r="A73" s="58" t="s">
        <v>647</v>
      </c>
      <c r="B73" s="7" t="s">
        <v>374</v>
      </c>
      <c r="C73" s="7"/>
      <c r="D73" s="7"/>
      <c r="E73" s="7"/>
      <c r="F73" s="7"/>
      <c r="G73" s="59">
        <f>G75+G81</f>
        <v>1110</v>
      </c>
    </row>
    <row r="74" spans="1:8" s="229" customFormat="1" ht="31.5" x14ac:dyDescent="0.25">
      <c r="A74" s="23" t="s">
        <v>1216</v>
      </c>
      <c r="B74" s="24" t="s">
        <v>983</v>
      </c>
      <c r="C74" s="40"/>
      <c r="D74" s="40"/>
      <c r="E74" s="40"/>
      <c r="F74" s="40"/>
      <c r="G74" s="10">
        <f>G75</f>
        <v>630</v>
      </c>
      <c r="H74" s="230"/>
    </row>
    <row r="75" spans="1:8" ht="15.75" x14ac:dyDescent="0.25">
      <c r="A75" s="45" t="s">
        <v>258</v>
      </c>
      <c r="B75" s="40" t="s">
        <v>983</v>
      </c>
      <c r="C75" s="40" t="s">
        <v>259</v>
      </c>
      <c r="D75" s="40"/>
      <c r="E75" s="40"/>
      <c r="F75" s="40"/>
      <c r="G75" s="10">
        <f t="shared" ref="G75" si="12">G76</f>
        <v>630</v>
      </c>
    </row>
    <row r="76" spans="1:8" ht="15.75" x14ac:dyDescent="0.25">
      <c r="A76" s="45" t="s">
        <v>267</v>
      </c>
      <c r="B76" s="40" t="s">
        <v>983</v>
      </c>
      <c r="C76" s="40" t="s">
        <v>259</v>
      </c>
      <c r="D76" s="40" t="s">
        <v>230</v>
      </c>
      <c r="E76" s="40"/>
      <c r="F76" s="40"/>
      <c r="G76" s="10">
        <f>G77</f>
        <v>630</v>
      </c>
    </row>
    <row r="77" spans="1:8" ht="47.25" x14ac:dyDescent="0.25">
      <c r="A77" s="101" t="s">
        <v>1217</v>
      </c>
      <c r="B77" s="20" t="s">
        <v>984</v>
      </c>
      <c r="C77" s="40" t="s">
        <v>259</v>
      </c>
      <c r="D77" s="40" t="s">
        <v>230</v>
      </c>
      <c r="E77" s="40"/>
      <c r="F77" s="40"/>
      <c r="G77" s="10">
        <f>G78</f>
        <v>630</v>
      </c>
    </row>
    <row r="78" spans="1:8" ht="15.75" x14ac:dyDescent="0.25">
      <c r="A78" s="25" t="s">
        <v>263</v>
      </c>
      <c r="B78" s="20" t="s">
        <v>984</v>
      </c>
      <c r="C78" s="40" t="s">
        <v>259</v>
      </c>
      <c r="D78" s="40" t="s">
        <v>230</v>
      </c>
      <c r="E78" s="40" t="s">
        <v>264</v>
      </c>
      <c r="F78" s="40"/>
      <c r="G78" s="10">
        <f t="shared" ref="G78" si="13">G79</f>
        <v>630</v>
      </c>
    </row>
    <row r="79" spans="1:8" ht="31.5" x14ac:dyDescent="0.25">
      <c r="A79" s="25" t="s">
        <v>363</v>
      </c>
      <c r="B79" s="20" t="s">
        <v>984</v>
      </c>
      <c r="C79" s="40" t="s">
        <v>259</v>
      </c>
      <c r="D79" s="40" t="s">
        <v>230</v>
      </c>
      <c r="E79" s="40" t="s">
        <v>364</v>
      </c>
      <c r="F79" s="40"/>
      <c r="G79" s="10">
        <f>'Пр.5 Рд,пр, ЦС,ВР 20'!F881</f>
        <v>630</v>
      </c>
    </row>
    <row r="80" spans="1:8" s="229" customFormat="1" ht="47.25" x14ac:dyDescent="0.25">
      <c r="A80" s="45" t="s">
        <v>276</v>
      </c>
      <c r="B80" s="20" t="s">
        <v>984</v>
      </c>
      <c r="C80" s="40" t="s">
        <v>259</v>
      </c>
      <c r="D80" s="40" t="s">
        <v>230</v>
      </c>
      <c r="E80" s="40" t="s">
        <v>364</v>
      </c>
      <c r="F80" s="40" t="s">
        <v>643</v>
      </c>
      <c r="G80" s="10">
        <f>G79</f>
        <v>630</v>
      </c>
      <c r="H80" s="230"/>
    </row>
    <row r="81" spans="1:8" ht="31.5" x14ac:dyDescent="0.25">
      <c r="A81" s="23" t="s">
        <v>982</v>
      </c>
      <c r="B81" s="24" t="s">
        <v>985</v>
      </c>
      <c r="C81" s="7"/>
      <c r="D81" s="7"/>
      <c r="E81" s="7"/>
      <c r="F81" s="7"/>
      <c r="G81" s="59">
        <f>G84+G88</f>
        <v>480</v>
      </c>
    </row>
    <row r="82" spans="1:8" s="229" customFormat="1" ht="15.75" x14ac:dyDescent="0.25">
      <c r="A82" s="45" t="s">
        <v>258</v>
      </c>
      <c r="B82" s="40" t="s">
        <v>985</v>
      </c>
      <c r="C82" s="40" t="s">
        <v>259</v>
      </c>
      <c r="D82" s="40"/>
      <c r="E82" s="40"/>
      <c r="F82" s="40"/>
      <c r="G82" s="10">
        <f t="shared" ref="G82" si="14">G83</f>
        <v>270</v>
      </c>
      <c r="H82" s="230"/>
    </row>
    <row r="83" spans="1:8" s="229" customFormat="1" ht="15.75" x14ac:dyDescent="0.25">
      <c r="A83" s="45" t="s">
        <v>267</v>
      </c>
      <c r="B83" s="40" t="s">
        <v>985</v>
      </c>
      <c r="C83" s="40" t="s">
        <v>259</v>
      </c>
      <c r="D83" s="40" t="s">
        <v>230</v>
      </c>
      <c r="E83" s="40"/>
      <c r="F83" s="40"/>
      <c r="G83" s="10">
        <f>G84</f>
        <v>270</v>
      </c>
      <c r="H83" s="230"/>
    </row>
    <row r="84" spans="1:8" ht="31.5" x14ac:dyDescent="0.25">
      <c r="A84" s="25" t="s">
        <v>1154</v>
      </c>
      <c r="B84" s="20" t="s">
        <v>986</v>
      </c>
      <c r="C84" s="40" t="s">
        <v>259</v>
      </c>
      <c r="D84" s="40" t="s">
        <v>230</v>
      </c>
      <c r="E84" s="40"/>
      <c r="F84" s="40"/>
      <c r="G84" s="10">
        <f>G85</f>
        <v>270</v>
      </c>
    </row>
    <row r="85" spans="1:8" s="229" customFormat="1" ht="31.5" x14ac:dyDescent="0.25">
      <c r="A85" s="25" t="s">
        <v>146</v>
      </c>
      <c r="B85" s="20" t="s">
        <v>986</v>
      </c>
      <c r="C85" s="40" t="s">
        <v>259</v>
      </c>
      <c r="D85" s="40" t="s">
        <v>230</v>
      </c>
      <c r="E85" s="40" t="s">
        <v>147</v>
      </c>
      <c r="F85" s="40"/>
      <c r="G85" s="10">
        <f>G86</f>
        <v>270</v>
      </c>
      <c r="H85" s="230"/>
    </row>
    <row r="86" spans="1:8" s="229" customFormat="1" ht="31.5" x14ac:dyDescent="0.25">
      <c r="A86" s="25" t="s">
        <v>148</v>
      </c>
      <c r="B86" s="20" t="s">
        <v>986</v>
      </c>
      <c r="C86" s="40" t="s">
        <v>259</v>
      </c>
      <c r="D86" s="40" t="s">
        <v>230</v>
      </c>
      <c r="E86" s="40" t="s">
        <v>149</v>
      </c>
      <c r="F86" s="40"/>
      <c r="G86" s="10">
        <f>'Пр.5 Рд,пр, ЦС,ВР 20'!F885</f>
        <v>270</v>
      </c>
      <c r="H86" s="230"/>
    </row>
    <row r="87" spans="1:8" ht="47.25" x14ac:dyDescent="0.25">
      <c r="A87" s="45" t="s">
        <v>276</v>
      </c>
      <c r="B87" s="20" t="s">
        <v>986</v>
      </c>
      <c r="C87" s="40" t="s">
        <v>259</v>
      </c>
      <c r="D87" s="40" t="s">
        <v>230</v>
      </c>
      <c r="E87" s="40" t="s">
        <v>149</v>
      </c>
      <c r="F87" s="40" t="s">
        <v>643</v>
      </c>
      <c r="G87" s="10">
        <f>G86</f>
        <v>270</v>
      </c>
    </row>
    <row r="88" spans="1:8" s="229" customFormat="1" ht="15.75" x14ac:dyDescent="0.25">
      <c r="A88" s="25" t="s">
        <v>263</v>
      </c>
      <c r="B88" s="20" t="s">
        <v>986</v>
      </c>
      <c r="C88" s="40" t="s">
        <v>259</v>
      </c>
      <c r="D88" s="40" t="s">
        <v>230</v>
      </c>
      <c r="E88" s="40" t="s">
        <v>264</v>
      </c>
      <c r="F88" s="40"/>
      <c r="G88" s="10">
        <f>G89</f>
        <v>210</v>
      </c>
      <c r="H88" s="230"/>
    </row>
    <row r="89" spans="1:8" s="229" customFormat="1" ht="31.5" x14ac:dyDescent="0.25">
      <c r="A89" s="25" t="s">
        <v>363</v>
      </c>
      <c r="B89" s="20" t="s">
        <v>986</v>
      </c>
      <c r="C89" s="40" t="s">
        <v>259</v>
      </c>
      <c r="D89" s="40" t="s">
        <v>230</v>
      </c>
      <c r="E89" s="40" t="s">
        <v>364</v>
      </c>
      <c r="F89" s="40"/>
      <c r="G89" s="10">
        <f>G90</f>
        <v>210</v>
      </c>
      <c r="H89" s="230"/>
    </row>
    <row r="90" spans="1:8" s="229" customFormat="1" ht="47.25" x14ac:dyDescent="0.25">
      <c r="A90" s="45" t="s">
        <v>276</v>
      </c>
      <c r="B90" s="20" t="s">
        <v>986</v>
      </c>
      <c r="C90" s="40" t="s">
        <v>259</v>
      </c>
      <c r="D90" s="40" t="s">
        <v>230</v>
      </c>
      <c r="E90" s="40" t="s">
        <v>364</v>
      </c>
      <c r="F90" s="40" t="s">
        <v>643</v>
      </c>
      <c r="G90" s="10">
        <f>'Пр.6 ведом.20'!G455</f>
        <v>210</v>
      </c>
      <c r="H90" s="230"/>
    </row>
    <row r="91" spans="1:8" ht="31.5" x14ac:dyDescent="0.25">
      <c r="A91" s="58" t="s">
        <v>649</v>
      </c>
      <c r="B91" s="7" t="s">
        <v>377</v>
      </c>
      <c r="C91" s="7"/>
      <c r="D91" s="7"/>
      <c r="E91" s="7"/>
      <c r="F91" s="7"/>
      <c r="G91" s="59">
        <f t="shared" ref="G91" si="15">G93</f>
        <v>250</v>
      </c>
    </row>
    <row r="92" spans="1:8" s="229" customFormat="1" ht="47.25" x14ac:dyDescent="0.25">
      <c r="A92" s="23" t="s">
        <v>1219</v>
      </c>
      <c r="B92" s="24" t="s">
        <v>988</v>
      </c>
      <c r="C92" s="7"/>
      <c r="D92" s="7"/>
      <c r="E92" s="7"/>
      <c r="F92" s="7"/>
      <c r="G92" s="59">
        <f>G93</f>
        <v>250</v>
      </c>
      <c r="H92" s="230"/>
    </row>
    <row r="93" spans="1:8" ht="15.75" x14ac:dyDescent="0.25">
      <c r="A93" s="45" t="s">
        <v>258</v>
      </c>
      <c r="B93" s="40" t="s">
        <v>988</v>
      </c>
      <c r="C93" s="40" t="s">
        <v>259</v>
      </c>
      <c r="D93" s="40"/>
      <c r="E93" s="40"/>
      <c r="F93" s="40"/>
      <c r="G93" s="10">
        <f t="shared" ref="G93:G96" si="16">G94</f>
        <v>250</v>
      </c>
    </row>
    <row r="94" spans="1:8" ht="21.75" customHeight="1" x14ac:dyDescent="0.25">
      <c r="A94" s="45" t="s">
        <v>267</v>
      </c>
      <c r="B94" s="40" t="s">
        <v>988</v>
      </c>
      <c r="C94" s="40" t="s">
        <v>259</v>
      </c>
      <c r="D94" s="40" t="s">
        <v>230</v>
      </c>
      <c r="E94" s="40"/>
      <c r="F94" s="40"/>
      <c r="G94" s="10">
        <f>G95</f>
        <v>250</v>
      </c>
    </row>
    <row r="95" spans="1:8" ht="47.25" x14ac:dyDescent="0.25">
      <c r="A95" s="25" t="s">
        <v>1218</v>
      </c>
      <c r="B95" s="20" t="s">
        <v>987</v>
      </c>
      <c r="C95" s="40" t="s">
        <v>259</v>
      </c>
      <c r="D95" s="40" t="s">
        <v>230</v>
      </c>
      <c r="E95" s="40"/>
      <c r="F95" s="40"/>
      <c r="G95" s="10">
        <f t="shared" si="16"/>
        <v>250</v>
      </c>
    </row>
    <row r="96" spans="1:8" ht="15.75" x14ac:dyDescent="0.25">
      <c r="A96" s="25" t="s">
        <v>263</v>
      </c>
      <c r="B96" s="20" t="s">
        <v>987</v>
      </c>
      <c r="C96" s="40" t="s">
        <v>259</v>
      </c>
      <c r="D96" s="40" t="s">
        <v>230</v>
      </c>
      <c r="E96" s="40" t="s">
        <v>264</v>
      </c>
      <c r="F96" s="40"/>
      <c r="G96" s="10">
        <f t="shared" si="16"/>
        <v>250</v>
      </c>
    </row>
    <row r="97" spans="1:8" ht="31.5" x14ac:dyDescent="0.25">
      <c r="A97" s="25" t="s">
        <v>363</v>
      </c>
      <c r="B97" s="20" t="s">
        <v>987</v>
      </c>
      <c r="C97" s="40" t="s">
        <v>259</v>
      </c>
      <c r="D97" s="40" t="s">
        <v>230</v>
      </c>
      <c r="E97" s="40" t="s">
        <v>364</v>
      </c>
      <c r="F97" s="40"/>
      <c r="G97" s="10">
        <f>'Пр.6 ведом.20'!G460</f>
        <v>250</v>
      </c>
    </row>
    <row r="98" spans="1:8" ht="47.25" x14ac:dyDescent="0.25">
      <c r="A98" s="45" t="s">
        <v>276</v>
      </c>
      <c r="B98" s="20" t="s">
        <v>987</v>
      </c>
      <c r="C98" s="40" t="s">
        <v>259</v>
      </c>
      <c r="D98" s="40" t="s">
        <v>230</v>
      </c>
      <c r="E98" s="40" t="s">
        <v>364</v>
      </c>
      <c r="F98" s="40" t="s">
        <v>643</v>
      </c>
      <c r="G98" s="10">
        <f t="shared" ref="G98" si="17">G91</f>
        <v>250</v>
      </c>
    </row>
    <row r="99" spans="1:8" ht="47.25" x14ac:dyDescent="0.25">
      <c r="A99" s="58" t="s">
        <v>379</v>
      </c>
      <c r="B99" s="7" t="s">
        <v>380</v>
      </c>
      <c r="C99" s="7"/>
      <c r="D99" s="7"/>
      <c r="E99" s="7"/>
      <c r="F99" s="7"/>
      <c r="G99" s="59">
        <f t="shared" ref="G99" si="18">G101</f>
        <v>260</v>
      </c>
    </row>
    <row r="100" spans="1:8" s="229" customFormat="1" ht="31.5" x14ac:dyDescent="0.25">
      <c r="A100" s="23" t="s">
        <v>1152</v>
      </c>
      <c r="B100" s="24" t="s">
        <v>968</v>
      </c>
      <c r="C100" s="7"/>
      <c r="D100" s="7"/>
      <c r="E100" s="7"/>
      <c r="F100" s="7"/>
      <c r="G100" s="59">
        <f>G101</f>
        <v>260</v>
      </c>
      <c r="H100" s="230"/>
    </row>
    <row r="101" spans="1:8" ht="15.75" x14ac:dyDescent="0.25">
      <c r="A101" s="45" t="s">
        <v>313</v>
      </c>
      <c r="B101" s="40" t="s">
        <v>968</v>
      </c>
      <c r="C101" s="40" t="s">
        <v>314</v>
      </c>
      <c r="D101" s="40"/>
      <c r="E101" s="40"/>
      <c r="F101" s="40"/>
      <c r="G101" s="10">
        <f>G102</f>
        <v>260</v>
      </c>
    </row>
    <row r="102" spans="1:8" ht="15.75" x14ac:dyDescent="0.25">
      <c r="A102" s="45" t="s">
        <v>348</v>
      </c>
      <c r="B102" s="40" t="s">
        <v>968</v>
      </c>
      <c r="C102" s="40" t="s">
        <v>314</v>
      </c>
      <c r="D102" s="40" t="s">
        <v>165</v>
      </c>
      <c r="E102" s="40"/>
      <c r="F102" s="40"/>
      <c r="G102" s="10">
        <f>G103</f>
        <v>260</v>
      </c>
    </row>
    <row r="103" spans="1:8" ht="37.5" customHeight="1" x14ac:dyDescent="0.25">
      <c r="A103" s="29" t="s">
        <v>172</v>
      </c>
      <c r="B103" s="20" t="s">
        <v>1234</v>
      </c>
      <c r="C103" s="40" t="s">
        <v>314</v>
      </c>
      <c r="D103" s="40" t="s">
        <v>165</v>
      </c>
      <c r="E103" s="40"/>
      <c r="F103" s="40"/>
      <c r="G103" s="10">
        <f t="shared" ref="G103:G104" si="19">G104</f>
        <v>260</v>
      </c>
    </row>
    <row r="104" spans="1:8" ht="31.5" x14ac:dyDescent="0.25">
      <c r="A104" s="29" t="s">
        <v>146</v>
      </c>
      <c r="B104" s="20" t="s">
        <v>1234</v>
      </c>
      <c r="C104" s="40" t="s">
        <v>314</v>
      </c>
      <c r="D104" s="40" t="s">
        <v>165</v>
      </c>
      <c r="E104" s="40" t="s">
        <v>147</v>
      </c>
      <c r="F104" s="40"/>
      <c r="G104" s="10">
        <f t="shared" si="19"/>
        <v>260</v>
      </c>
    </row>
    <row r="105" spans="1:8" ht="31.5" x14ac:dyDescent="0.25">
      <c r="A105" s="29" t="s">
        <v>148</v>
      </c>
      <c r="B105" s="20" t="s">
        <v>1234</v>
      </c>
      <c r="C105" s="40" t="s">
        <v>314</v>
      </c>
      <c r="D105" s="40" t="s">
        <v>165</v>
      </c>
      <c r="E105" s="40" t="s">
        <v>149</v>
      </c>
      <c r="F105" s="40"/>
      <c r="G105" s="10">
        <f>'Пр.6 ведом.20'!G431</f>
        <v>260</v>
      </c>
    </row>
    <row r="106" spans="1:8" ht="47.25" x14ac:dyDescent="0.25">
      <c r="A106" s="45" t="s">
        <v>276</v>
      </c>
      <c r="B106" s="20" t="s">
        <v>1234</v>
      </c>
      <c r="C106" s="40" t="s">
        <v>314</v>
      </c>
      <c r="D106" s="40" t="s">
        <v>165</v>
      </c>
      <c r="E106" s="40" t="s">
        <v>149</v>
      </c>
      <c r="F106" s="40" t="s">
        <v>643</v>
      </c>
      <c r="G106" s="10">
        <f t="shared" ref="G106" si="20">G99</f>
        <v>260</v>
      </c>
    </row>
    <row r="107" spans="1:8" ht="47.25" x14ac:dyDescent="0.25">
      <c r="A107" s="41" t="s">
        <v>382</v>
      </c>
      <c r="B107" s="7" t="s">
        <v>383</v>
      </c>
      <c r="C107" s="7"/>
      <c r="D107" s="7"/>
      <c r="E107" s="7"/>
      <c r="F107" s="7"/>
      <c r="G107" s="59">
        <f>G108+G119+G130+G141</f>
        <v>570</v>
      </c>
    </row>
    <row r="108" spans="1:8" s="229" customFormat="1" ht="47.25" hidden="1" x14ac:dyDescent="0.25">
      <c r="A108" s="277" t="s">
        <v>1222</v>
      </c>
      <c r="B108" s="24" t="s">
        <v>939</v>
      </c>
      <c r="C108" s="7"/>
      <c r="D108" s="7"/>
      <c r="E108" s="7"/>
      <c r="F108" s="7"/>
      <c r="G108" s="59">
        <f>G109</f>
        <v>0</v>
      </c>
      <c r="H108" s="230"/>
    </row>
    <row r="109" spans="1:8" ht="15.75" hidden="1" x14ac:dyDescent="0.25">
      <c r="A109" s="45" t="s">
        <v>247</v>
      </c>
      <c r="B109" s="40" t="s">
        <v>939</v>
      </c>
      <c r="C109" s="40" t="s">
        <v>165</v>
      </c>
      <c r="D109" s="40"/>
      <c r="E109" s="40"/>
      <c r="F109" s="40"/>
      <c r="G109" s="10">
        <f t="shared" ref="G109" si="21">G110</f>
        <v>0</v>
      </c>
    </row>
    <row r="110" spans="1:8" ht="18" hidden="1" customHeight="1" x14ac:dyDescent="0.25">
      <c r="A110" s="45" t="s">
        <v>252</v>
      </c>
      <c r="B110" s="40" t="s">
        <v>939</v>
      </c>
      <c r="C110" s="40" t="s">
        <v>165</v>
      </c>
      <c r="D110" s="40" t="s">
        <v>253</v>
      </c>
      <c r="E110" s="40"/>
      <c r="F110" s="40"/>
      <c r="G110" s="10">
        <f>G111+G115</f>
        <v>0</v>
      </c>
    </row>
    <row r="111" spans="1:8" ht="31.5" hidden="1" customHeight="1" x14ac:dyDescent="0.25">
      <c r="A111" s="25" t="s">
        <v>390</v>
      </c>
      <c r="B111" s="20" t="s">
        <v>1223</v>
      </c>
      <c r="C111" s="40" t="s">
        <v>165</v>
      </c>
      <c r="D111" s="40" t="s">
        <v>253</v>
      </c>
      <c r="E111" s="40"/>
      <c r="F111" s="40"/>
      <c r="G111" s="10">
        <f t="shared" ref="G111" si="22">G112</f>
        <v>0</v>
      </c>
    </row>
    <row r="112" spans="1:8" ht="22.5" hidden="1" customHeight="1" x14ac:dyDescent="0.25">
      <c r="A112" s="25" t="s">
        <v>263</v>
      </c>
      <c r="B112" s="20" t="s">
        <v>1223</v>
      </c>
      <c r="C112" s="40" t="s">
        <v>165</v>
      </c>
      <c r="D112" s="40" t="s">
        <v>253</v>
      </c>
      <c r="E112" s="40" t="s">
        <v>264</v>
      </c>
      <c r="F112" s="40"/>
      <c r="G112" s="10">
        <f>G113</f>
        <v>0</v>
      </c>
    </row>
    <row r="113" spans="1:8" ht="31.5" hidden="1" x14ac:dyDescent="0.25">
      <c r="A113" s="25" t="s">
        <v>265</v>
      </c>
      <c r="B113" s="20" t="s">
        <v>1223</v>
      </c>
      <c r="C113" s="40" t="s">
        <v>165</v>
      </c>
      <c r="D113" s="40" t="s">
        <v>253</v>
      </c>
      <c r="E113" s="40" t="s">
        <v>266</v>
      </c>
      <c r="F113" s="40"/>
      <c r="G113" s="10">
        <f>'Пр.5 Рд,пр, ЦС,ВР 20'!F286</f>
        <v>0</v>
      </c>
    </row>
    <row r="114" spans="1:8" s="229" customFormat="1" ht="47.25" hidden="1" x14ac:dyDescent="0.25">
      <c r="A114" s="45" t="s">
        <v>276</v>
      </c>
      <c r="B114" s="20" t="s">
        <v>1223</v>
      </c>
      <c r="C114" s="40" t="s">
        <v>165</v>
      </c>
      <c r="D114" s="40" t="s">
        <v>253</v>
      </c>
      <c r="E114" s="40" t="s">
        <v>266</v>
      </c>
      <c r="F114" s="40" t="s">
        <v>643</v>
      </c>
      <c r="G114" s="10">
        <f>G113</f>
        <v>0</v>
      </c>
      <c r="H114" s="230"/>
    </row>
    <row r="115" spans="1:8" ht="54.75" hidden="1" customHeight="1" x14ac:dyDescent="0.25">
      <c r="A115" s="25" t="s">
        <v>390</v>
      </c>
      <c r="B115" s="20" t="s">
        <v>1224</v>
      </c>
      <c r="C115" s="40" t="s">
        <v>165</v>
      </c>
      <c r="D115" s="40" t="s">
        <v>253</v>
      </c>
      <c r="E115" s="40"/>
      <c r="F115" s="40"/>
      <c r="G115" s="10">
        <f>G116</f>
        <v>0</v>
      </c>
    </row>
    <row r="116" spans="1:8" ht="15.75" hidden="1" x14ac:dyDescent="0.25">
      <c r="A116" s="25" t="s">
        <v>263</v>
      </c>
      <c r="B116" s="20" t="s">
        <v>1224</v>
      </c>
      <c r="C116" s="40" t="s">
        <v>165</v>
      </c>
      <c r="D116" s="40" t="s">
        <v>253</v>
      </c>
      <c r="E116" s="40" t="s">
        <v>264</v>
      </c>
      <c r="F116" s="40"/>
      <c r="G116" s="10">
        <f>G117</f>
        <v>0</v>
      </c>
    </row>
    <row r="117" spans="1:8" ht="31.5" hidden="1" x14ac:dyDescent="0.25">
      <c r="A117" s="25" t="s">
        <v>265</v>
      </c>
      <c r="B117" s="20" t="s">
        <v>1224</v>
      </c>
      <c r="C117" s="40" t="s">
        <v>165</v>
      </c>
      <c r="D117" s="40" t="s">
        <v>253</v>
      </c>
      <c r="E117" s="40" t="s">
        <v>266</v>
      </c>
      <c r="F117" s="40"/>
      <c r="G117" s="10">
        <f>'Пр.5 Рд,пр, ЦС,ВР 20'!F289</f>
        <v>0</v>
      </c>
    </row>
    <row r="118" spans="1:8" s="229" customFormat="1" ht="47.25" hidden="1" x14ac:dyDescent="0.25">
      <c r="A118" s="45" t="s">
        <v>276</v>
      </c>
      <c r="B118" s="20" t="s">
        <v>1224</v>
      </c>
      <c r="C118" s="40" t="s">
        <v>165</v>
      </c>
      <c r="D118" s="40" t="s">
        <v>253</v>
      </c>
      <c r="E118" s="40" t="s">
        <v>266</v>
      </c>
      <c r="F118" s="40" t="s">
        <v>643</v>
      </c>
      <c r="G118" s="10">
        <f>G117</f>
        <v>0</v>
      </c>
      <c r="H118" s="230"/>
    </row>
    <row r="119" spans="1:8" ht="31.5" x14ac:dyDescent="0.25">
      <c r="A119" s="23" t="s">
        <v>1220</v>
      </c>
      <c r="B119" s="24" t="s">
        <v>940</v>
      </c>
      <c r="C119" s="7"/>
      <c r="D119" s="7"/>
      <c r="E119" s="7"/>
      <c r="F119" s="7"/>
      <c r="G119" s="59">
        <f>G122+G126</f>
        <v>560</v>
      </c>
    </row>
    <row r="120" spans="1:8" s="229" customFormat="1" ht="15.75" x14ac:dyDescent="0.25">
      <c r="A120" s="45" t="s">
        <v>247</v>
      </c>
      <c r="B120" s="40" t="s">
        <v>940</v>
      </c>
      <c r="C120" s="40" t="s">
        <v>165</v>
      </c>
      <c r="D120" s="40"/>
      <c r="E120" s="40"/>
      <c r="F120" s="40"/>
      <c r="G120" s="10">
        <f t="shared" ref="G120" si="23">G121</f>
        <v>560</v>
      </c>
      <c r="H120" s="230"/>
    </row>
    <row r="121" spans="1:8" s="229" customFormat="1" ht="15.75" x14ac:dyDescent="0.25">
      <c r="A121" s="45" t="s">
        <v>252</v>
      </c>
      <c r="B121" s="40" t="s">
        <v>940</v>
      </c>
      <c r="C121" s="40" t="s">
        <v>165</v>
      </c>
      <c r="D121" s="40" t="s">
        <v>253</v>
      </c>
      <c r="E121" s="40"/>
      <c r="F121" s="40"/>
      <c r="G121" s="10">
        <f>G122+G126</f>
        <v>560</v>
      </c>
      <c r="H121" s="230"/>
    </row>
    <row r="122" spans="1:8" s="229" customFormat="1" ht="31.5" x14ac:dyDescent="0.25">
      <c r="A122" s="25" t="s">
        <v>1221</v>
      </c>
      <c r="B122" s="20" t="s">
        <v>1225</v>
      </c>
      <c r="C122" s="40" t="s">
        <v>165</v>
      </c>
      <c r="D122" s="40" t="s">
        <v>253</v>
      </c>
      <c r="E122" s="40"/>
      <c r="F122" s="40"/>
      <c r="G122" s="10">
        <f>G123</f>
        <v>60</v>
      </c>
      <c r="H122" s="230"/>
    </row>
    <row r="123" spans="1:8" s="229" customFormat="1" ht="31.5" x14ac:dyDescent="0.25">
      <c r="A123" s="25" t="s">
        <v>287</v>
      </c>
      <c r="B123" s="20" t="s">
        <v>1225</v>
      </c>
      <c r="C123" s="40" t="s">
        <v>165</v>
      </c>
      <c r="D123" s="40" t="s">
        <v>253</v>
      </c>
      <c r="E123" s="40" t="s">
        <v>288</v>
      </c>
      <c r="F123" s="40"/>
      <c r="G123" s="10">
        <f>G124</f>
        <v>60</v>
      </c>
      <c r="H123" s="230"/>
    </row>
    <row r="124" spans="1:8" s="229" customFormat="1" ht="63" x14ac:dyDescent="0.25">
      <c r="A124" s="25" t="s">
        <v>1303</v>
      </c>
      <c r="B124" s="20" t="s">
        <v>1225</v>
      </c>
      <c r="C124" s="40" t="s">
        <v>165</v>
      </c>
      <c r="D124" s="40" t="s">
        <v>253</v>
      </c>
      <c r="E124" s="40" t="s">
        <v>387</v>
      </c>
      <c r="F124" s="40"/>
      <c r="G124" s="10">
        <f>'Пр.5 Рд,пр, ЦС,ВР 20'!F293</f>
        <v>60</v>
      </c>
      <c r="H124" s="230"/>
    </row>
    <row r="125" spans="1:8" s="229" customFormat="1" ht="47.25" x14ac:dyDescent="0.25">
      <c r="A125" s="45" t="s">
        <v>276</v>
      </c>
      <c r="B125" s="20" t="s">
        <v>1225</v>
      </c>
      <c r="C125" s="40" t="s">
        <v>165</v>
      </c>
      <c r="D125" s="40" t="s">
        <v>253</v>
      </c>
      <c r="E125" s="40" t="s">
        <v>387</v>
      </c>
      <c r="F125" s="40" t="s">
        <v>643</v>
      </c>
      <c r="G125" s="10">
        <f>G124</f>
        <v>60</v>
      </c>
      <c r="H125" s="230"/>
    </row>
    <row r="126" spans="1:8" s="229" customFormat="1" ht="110.25" x14ac:dyDescent="0.25">
      <c r="A126" s="25" t="s">
        <v>388</v>
      </c>
      <c r="B126" s="20" t="s">
        <v>1226</v>
      </c>
      <c r="C126" s="40" t="s">
        <v>165</v>
      </c>
      <c r="D126" s="40" t="s">
        <v>253</v>
      </c>
      <c r="E126" s="40"/>
      <c r="F126" s="40"/>
      <c r="G126" s="10">
        <f>G127</f>
        <v>500</v>
      </c>
      <c r="H126" s="230"/>
    </row>
    <row r="127" spans="1:8" s="229" customFormat="1" ht="31.5" x14ac:dyDescent="0.25">
      <c r="A127" s="25" t="s">
        <v>287</v>
      </c>
      <c r="B127" s="20" t="s">
        <v>1226</v>
      </c>
      <c r="C127" s="40" t="s">
        <v>165</v>
      </c>
      <c r="D127" s="40" t="s">
        <v>253</v>
      </c>
      <c r="E127" s="40" t="s">
        <v>288</v>
      </c>
      <c r="F127" s="40"/>
      <c r="G127" s="10">
        <f>G128</f>
        <v>500</v>
      </c>
      <c r="H127" s="230"/>
    </row>
    <row r="128" spans="1:8" s="229" customFormat="1" ht="63" x14ac:dyDescent="0.25">
      <c r="A128" s="25" t="s">
        <v>1303</v>
      </c>
      <c r="B128" s="20" t="s">
        <v>1226</v>
      </c>
      <c r="C128" s="40" t="s">
        <v>165</v>
      </c>
      <c r="D128" s="40" t="s">
        <v>253</v>
      </c>
      <c r="E128" s="40" t="s">
        <v>387</v>
      </c>
      <c r="F128" s="40"/>
      <c r="G128" s="10">
        <f>'Пр.5 Рд,пр, ЦС,ВР 20'!F296</f>
        <v>500</v>
      </c>
      <c r="H128" s="230"/>
    </row>
    <row r="129" spans="1:8" s="229" customFormat="1" ht="47.25" x14ac:dyDescent="0.25">
      <c r="A129" s="45" t="s">
        <v>276</v>
      </c>
      <c r="B129" s="20" t="s">
        <v>1226</v>
      </c>
      <c r="C129" s="40" t="s">
        <v>165</v>
      </c>
      <c r="D129" s="40" t="s">
        <v>253</v>
      </c>
      <c r="E129" s="40" t="s">
        <v>387</v>
      </c>
      <c r="F129" s="40" t="s">
        <v>643</v>
      </c>
      <c r="G129" s="10">
        <f>G128</f>
        <v>500</v>
      </c>
      <c r="H129" s="230"/>
    </row>
    <row r="130" spans="1:8" s="229" customFormat="1" ht="31.5" hidden="1" x14ac:dyDescent="0.25">
      <c r="A130" s="23" t="s">
        <v>1150</v>
      </c>
      <c r="B130" s="24" t="s">
        <v>941</v>
      </c>
      <c r="C130" s="7"/>
      <c r="D130" s="7"/>
      <c r="E130" s="7"/>
      <c r="F130" s="7"/>
      <c r="G130" s="59">
        <f>G133+G137</f>
        <v>0</v>
      </c>
      <c r="H130" s="230"/>
    </row>
    <row r="131" spans="1:8" s="229" customFormat="1" ht="15.75" hidden="1" x14ac:dyDescent="0.25">
      <c r="A131" s="45" t="s">
        <v>247</v>
      </c>
      <c r="B131" s="40" t="s">
        <v>941</v>
      </c>
      <c r="C131" s="40" t="s">
        <v>165</v>
      </c>
      <c r="D131" s="40"/>
      <c r="E131" s="40"/>
      <c r="F131" s="40"/>
      <c r="G131" s="10">
        <f t="shared" ref="G131" si="24">G132</f>
        <v>0</v>
      </c>
      <c r="H131" s="230"/>
    </row>
    <row r="132" spans="1:8" s="229" customFormat="1" ht="15.75" hidden="1" x14ac:dyDescent="0.25">
      <c r="A132" s="45" t="s">
        <v>252</v>
      </c>
      <c r="B132" s="40" t="s">
        <v>941</v>
      </c>
      <c r="C132" s="40" t="s">
        <v>165</v>
      </c>
      <c r="D132" s="40" t="s">
        <v>253</v>
      </c>
      <c r="E132" s="40"/>
      <c r="F132" s="40"/>
      <c r="G132" s="10">
        <f>G133+G137</f>
        <v>0</v>
      </c>
      <c r="H132" s="230"/>
    </row>
    <row r="133" spans="1:8" s="229" customFormat="1" ht="31.5" hidden="1" x14ac:dyDescent="0.25">
      <c r="A133" s="351" t="s">
        <v>1229</v>
      </c>
      <c r="B133" s="20" t="s">
        <v>1227</v>
      </c>
      <c r="C133" s="40" t="s">
        <v>165</v>
      </c>
      <c r="D133" s="40" t="s">
        <v>253</v>
      </c>
      <c r="E133" s="40"/>
      <c r="F133" s="40"/>
      <c r="G133" s="10">
        <f>G134</f>
        <v>0</v>
      </c>
      <c r="H133" s="230"/>
    </row>
    <row r="134" spans="1:8" s="229" customFormat="1" ht="31.5" hidden="1" x14ac:dyDescent="0.25">
      <c r="A134" s="25" t="s">
        <v>146</v>
      </c>
      <c r="B134" s="20" t="s">
        <v>1227</v>
      </c>
      <c r="C134" s="40" t="s">
        <v>165</v>
      </c>
      <c r="D134" s="40" t="s">
        <v>253</v>
      </c>
      <c r="E134" s="40" t="s">
        <v>147</v>
      </c>
      <c r="F134" s="40"/>
      <c r="G134" s="10">
        <f>G135</f>
        <v>0</v>
      </c>
      <c r="H134" s="230"/>
    </row>
    <row r="135" spans="1:8" s="229" customFormat="1" ht="31.5" hidden="1" x14ac:dyDescent="0.25">
      <c r="A135" s="25" t="s">
        <v>148</v>
      </c>
      <c r="B135" s="20" t="s">
        <v>1227</v>
      </c>
      <c r="C135" s="40" t="s">
        <v>165</v>
      </c>
      <c r="D135" s="40" t="s">
        <v>253</v>
      </c>
      <c r="E135" s="40" t="s">
        <v>149</v>
      </c>
      <c r="F135" s="40"/>
      <c r="G135" s="10">
        <f>'Пр.5 Рд,пр, ЦС,ВР 20'!F300</f>
        <v>0</v>
      </c>
      <c r="H135" s="230"/>
    </row>
    <row r="136" spans="1:8" s="229" customFormat="1" ht="47.25" hidden="1" x14ac:dyDescent="0.25">
      <c r="A136" s="45" t="s">
        <v>276</v>
      </c>
      <c r="B136" s="20" t="s">
        <v>1227</v>
      </c>
      <c r="C136" s="40" t="s">
        <v>165</v>
      </c>
      <c r="D136" s="40" t="s">
        <v>253</v>
      </c>
      <c r="E136" s="40" t="s">
        <v>149</v>
      </c>
      <c r="F136" s="9" t="s">
        <v>643</v>
      </c>
      <c r="G136" s="10">
        <f>G135</f>
        <v>0</v>
      </c>
      <c r="H136" s="230"/>
    </row>
    <row r="137" spans="1:8" s="229" customFormat="1" ht="31.5" hidden="1" x14ac:dyDescent="0.25">
      <c r="A137" s="25" t="s">
        <v>392</v>
      </c>
      <c r="B137" s="20" t="s">
        <v>1228</v>
      </c>
      <c r="C137" s="40" t="s">
        <v>165</v>
      </c>
      <c r="D137" s="40" t="s">
        <v>253</v>
      </c>
      <c r="E137" s="40"/>
      <c r="F137" s="40"/>
      <c r="G137" s="10">
        <f>G138</f>
        <v>0</v>
      </c>
      <c r="H137" s="230"/>
    </row>
    <row r="138" spans="1:8" s="229" customFormat="1" ht="31.5" hidden="1" x14ac:dyDescent="0.25">
      <c r="A138" s="25" t="s">
        <v>146</v>
      </c>
      <c r="B138" s="20" t="s">
        <v>1228</v>
      </c>
      <c r="C138" s="40" t="s">
        <v>165</v>
      </c>
      <c r="D138" s="40" t="s">
        <v>253</v>
      </c>
      <c r="E138" s="40" t="s">
        <v>147</v>
      </c>
      <c r="F138" s="40"/>
      <c r="G138" s="10">
        <f>G139</f>
        <v>0</v>
      </c>
      <c r="H138" s="230"/>
    </row>
    <row r="139" spans="1:8" s="229" customFormat="1" ht="31.5" hidden="1" x14ac:dyDescent="0.25">
      <c r="A139" s="25" t="s">
        <v>148</v>
      </c>
      <c r="B139" s="20" t="s">
        <v>1228</v>
      </c>
      <c r="C139" s="40" t="s">
        <v>165</v>
      </c>
      <c r="D139" s="40" t="s">
        <v>253</v>
      </c>
      <c r="E139" s="40" t="s">
        <v>149</v>
      </c>
      <c r="F139" s="40"/>
      <c r="G139" s="10">
        <f>'Пр.5 Рд,пр, ЦС,ВР 20'!F303</f>
        <v>0</v>
      </c>
      <c r="H139" s="230"/>
    </row>
    <row r="140" spans="1:8" ht="47.25" hidden="1" x14ac:dyDescent="0.25">
      <c r="A140" s="45" t="s">
        <v>276</v>
      </c>
      <c r="B140" s="20" t="s">
        <v>1228</v>
      </c>
      <c r="C140" s="40" t="s">
        <v>165</v>
      </c>
      <c r="D140" s="40" t="s">
        <v>253</v>
      </c>
      <c r="E140" s="40" t="s">
        <v>149</v>
      </c>
      <c r="F140" s="9" t="s">
        <v>643</v>
      </c>
      <c r="G140" s="10">
        <f>G139</f>
        <v>0</v>
      </c>
    </row>
    <row r="141" spans="1:8" s="229" customFormat="1" ht="31.5" x14ac:dyDescent="0.25">
      <c r="A141" s="274" t="s">
        <v>1323</v>
      </c>
      <c r="B141" s="24" t="s">
        <v>1322</v>
      </c>
      <c r="C141" s="7"/>
      <c r="D141" s="7"/>
      <c r="E141" s="7"/>
      <c r="F141" s="7"/>
      <c r="G141" s="59">
        <f>G142</f>
        <v>10</v>
      </c>
      <c r="H141" s="230"/>
    </row>
    <row r="142" spans="1:8" s="229" customFormat="1" ht="15.75" x14ac:dyDescent="0.25">
      <c r="A142" s="45" t="s">
        <v>247</v>
      </c>
      <c r="B142" s="40" t="s">
        <v>1322</v>
      </c>
      <c r="C142" s="40" t="s">
        <v>165</v>
      </c>
      <c r="D142" s="40"/>
      <c r="E142" s="40"/>
      <c r="F142" s="40"/>
      <c r="G142" s="10">
        <f t="shared" ref="G142" si="25">G143</f>
        <v>10</v>
      </c>
      <c r="H142" s="230"/>
    </row>
    <row r="143" spans="1:8" s="229" customFormat="1" ht="15.75" x14ac:dyDescent="0.25">
      <c r="A143" s="45" t="s">
        <v>252</v>
      </c>
      <c r="B143" s="40" t="s">
        <v>1322</v>
      </c>
      <c r="C143" s="40" t="s">
        <v>165</v>
      </c>
      <c r="D143" s="40" t="s">
        <v>253</v>
      </c>
      <c r="E143" s="40"/>
      <c r="F143" s="40"/>
      <c r="G143" s="10">
        <f>G144</f>
        <v>10</v>
      </c>
      <c r="H143" s="230"/>
    </row>
    <row r="144" spans="1:8" s="229" customFormat="1" ht="31.5" x14ac:dyDescent="0.25">
      <c r="A144" s="303" t="s">
        <v>1324</v>
      </c>
      <c r="B144" s="20" t="s">
        <v>1381</v>
      </c>
      <c r="C144" s="40" t="s">
        <v>165</v>
      </c>
      <c r="D144" s="40" t="s">
        <v>253</v>
      </c>
      <c r="E144" s="40"/>
      <c r="F144" s="40"/>
      <c r="G144" s="10">
        <f>G145</f>
        <v>10</v>
      </c>
      <c r="H144" s="230"/>
    </row>
    <row r="145" spans="1:9" s="229" customFormat="1" ht="31.5" x14ac:dyDescent="0.25">
      <c r="A145" s="25" t="s">
        <v>146</v>
      </c>
      <c r="B145" s="20" t="s">
        <v>1381</v>
      </c>
      <c r="C145" s="40" t="s">
        <v>165</v>
      </c>
      <c r="D145" s="40" t="s">
        <v>253</v>
      </c>
      <c r="E145" s="40" t="s">
        <v>147</v>
      </c>
      <c r="F145" s="40"/>
      <c r="G145" s="10">
        <f>G146</f>
        <v>10</v>
      </c>
      <c r="H145" s="230"/>
    </row>
    <row r="146" spans="1:9" s="229" customFormat="1" ht="31.5" x14ac:dyDescent="0.25">
      <c r="A146" s="25" t="s">
        <v>148</v>
      </c>
      <c r="B146" s="20" t="s">
        <v>1381</v>
      </c>
      <c r="C146" s="40" t="s">
        <v>165</v>
      </c>
      <c r="D146" s="40" t="s">
        <v>253</v>
      </c>
      <c r="E146" s="40" t="s">
        <v>149</v>
      </c>
      <c r="F146" s="40"/>
      <c r="G146" s="10">
        <f>'Пр.6 ведом.20'!G270</f>
        <v>10</v>
      </c>
      <c r="H146" s="230"/>
    </row>
    <row r="147" spans="1:9" s="229" customFormat="1" ht="47.25" x14ac:dyDescent="0.25">
      <c r="A147" s="45" t="s">
        <v>276</v>
      </c>
      <c r="B147" s="20" t="s">
        <v>1381</v>
      </c>
      <c r="C147" s="40" t="s">
        <v>165</v>
      </c>
      <c r="D147" s="40" t="s">
        <v>253</v>
      </c>
      <c r="E147" s="40" t="s">
        <v>149</v>
      </c>
      <c r="F147" s="9" t="s">
        <v>643</v>
      </c>
      <c r="G147" s="10">
        <f>G146</f>
        <v>10</v>
      </c>
      <c r="H147" s="230"/>
    </row>
    <row r="148" spans="1:9" ht="80.25" customHeight="1" x14ac:dyDescent="0.25">
      <c r="A148" s="41" t="s">
        <v>395</v>
      </c>
      <c r="B148" s="7" t="s">
        <v>396</v>
      </c>
      <c r="C148" s="7"/>
      <c r="D148" s="7"/>
      <c r="E148" s="7"/>
      <c r="F148" s="8"/>
      <c r="G148" s="59">
        <f>G149</f>
        <v>60</v>
      </c>
    </row>
    <row r="149" spans="1:9" s="229" customFormat="1" ht="59.25" customHeight="1" x14ac:dyDescent="0.25">
      <c r="A149" s="349" t="s">
        <v>1230</v>
      </c>
      <c r="B149" s="7" t="s">
        <v>935</v>
      </c>
      <c r="C149" s="7"/>
      <c r="D149" s="7"/>
      <c r="E149" s="7"/>
      <c r="F149" s="8"/>
      <c r="G149" s="59">
        <f>G150</f>
        <v>60</v>
      </c>
      <c r="H149" s="230"/>
    </row>
    <row r="150" spans="1:9" ht="15.75" x14ac:dyDescent="0.25">
      <c r="A150" s="45" t="s">
        <v>132</v>
      </c>
      <c r="B150" s="40" t="s">
        <v>935</v>
      </c>
      <c r="C150" s="40" t="s">
        <v>133</v>
      </c>
      <c r="D150" s="40"/>
      <c r="E150" s="40"/>
      <c r="F150" s="9"/>
      <c r="G150" s="10">
        <f t="shared" ref="G150:G153" si="26">G151</f>
        <v>60</v>
      </c>
    </row>
    <row r="151" spans="1:9" ht="21" customHeight="1" x14ac:dyDescent="0.25">
      <c r="A151" s="45" t="s">
        <v>154</v>
      </c>
      <c r="B151" s="40" t="s">
        <v>935</v>
      </c>
      <c r="C151" s="40" t="s">
        <v>133</v>
      </c>
      <c r="D151" s="40" t="s">
        <v>155</v>
      </c>
      <c r="E151" s="40"/>
      <c r="F151" s="9"/>
      <c r="G151" s="10">
        <f>G152+G156</f>
        <v>60</v>
      </c>
    </row>
    <row r="152" spans="1:9" ht="31.5" x14ac:dyDescent="0.25">
      <c r="A152" s="101" t="s">
        <v>1231</v>
      </c>
      <c r="B152" s="40" t="s">
        <v>936</v>
      </c>
      <c r="C152" s="40" t="s">
        <v>133</v>
      </c>
      <c r="D152" s="40" t="s">
        <v>155</v>
      </c>
      <c r="E152" s="40"/>
      <c r="F152" s="9"/>
      <c r="G152" s="10">
        <f t="shared" si="26"/>
        <v>60</v>
      </c>
    </row>
    <row r="153" spans="1:9" ht="31.5" x14ac:dyDescent="0.25">
      <c r="A153" s="29" t="s">
        <v>146</v>
      </c>
      <c r="B153" s="40" t="s">
        <v>936</v>
      </c>
      <c r="C153" s="40" t="s">
        <v>133</v>
      </c>
      <c r="D153" s="40" t="s">
        <v>155</v>
      </c>
      <c r="E153" s="40" t="s">
        <v>147</v>
      </c>
      <c r="F153" s="9"/>
      <c r="G153" s="10">
        <f t="shared" si="26"/>
        <v>60</v>
      </c>
    </row>
    <row r="154" spans="1:9" ht="31.5" x14ac:dyDescent="0.25">
      <c r="A154" s="29" t="s">
        <v>148</v>
      </c>
      <c r="B154" s="40" t="s">
        <v>936</v>
      </c>
      <c r="C154" s="40" t="s">
        <v>133</v>
      </c>
      <c r="D154" s="40" t="s">
        <v>155</v>
      </c>
      <c r="E154" s="40" t="s">
        <v>149</v>
      </c>
      <c r="F154" s="9"/>
      <c r="G154" s="10">
        <f>'Пр.5 Рд,пр, ЦС,ВР 20'!F164</f>
        <v>60</v>
      </c>
    </row>
    <row r="155" spans="1:9" s="229" customFormat="1" ht="47.25" x14ac:dyDescent="0.25">
      <c r="A155" s="45" t="s">
        <v>276</v>
      </c>
      <c r="B155" s="40" t="s">
        <v>936</v>
      </c>
      <c r="C155" s="40" t="s">
        <v>133</v>
      </c>
      <c r="D155" s="40" t="s">
        <v>155</v>
      </c>
      <c r="E155" s="40" t="s">
        <v>149</v>
      </c>
      <c r="F155" s="9" t="s">
        <v>643</v>
      </c>
      <c r="G155" s="10">
        <f>G154</f>
        <v>60</v>
      </c>
      <c r="H155" s="230"/>
    </row>
    <row r="156" spans="1:9" s="229" customFormat="1" ht="47.25" hidden="1" x14ac:dyDescent="0.25">
      <c r="A156" s="35" t="s">
        <v>938</v>
      </c>
      <c r="B156" s="20" t="s">
        <v>937</v>
      </c>
      <c r="C156" s="40" t="s">
        <v>133</v>
      </c>
      <c r="D156" s="40" t="s">
        <v>155</v>
      </c>
      <c r="E156" s="40"/>
      <c r="F156" s="9"/>
      <c r="G156" s="10">
        <f>G157</f>
        <v>0</v>
      </c>
      <c r="H156" s="230"/>
    </row>
    <row r="157" spans="1:9" s="229" customFormat="1" ht="31.5" hidden="1" x14ac:dyDescent="0.25">
      <c r="A157" s="25" t="s">
        <v>146</v>
      </c>
      <c r="B157" s="20" t="s">
        <v>937</v>
      </c>
      <c r="C157" s="40" t="s">
        <v>133</v>
      </c>
      <c r="D157" s="40" t="s">
        <v>155</v>
      </c>
      <c r="E157" s="40" t="s">
        <v>147</v>
      </c>
      <c r="F157" s="9"/>
      <c r="G157" s="10">
        <f>G158</f>
        <v>0</v>
      </c>
      <c r="H157" s="230"/>
    </row>
    <row r="158" spans="1:9" s="229" customFormat="1" ht="31.5" hidden="1" x14ac:dyDescent="0.25">
      <c r="A158" s="25" t="s">
        <v>148</v>
      </c>
      <c r="B158" s="20" t="s">
        <v>937</v>
      </c>
      <c r="C158" s="40" t="s">
        <v>133</v>
      </c>
      <c r="D158" s="40" t="s">
        <v>155</v>
      </c>
      <c r="E158" s="40" t="s">
        <v>149</v>
      </c>
      <c r="F158" s="9"/>
      <c r="G158" s="10">
        <f>'Пр.5 Рд,пр, ЦС,ВР 20'!F167</f>
        <v>0</v>
      </c>
      <c r="H158" s="230"/>
    </row>
    <row r="159" spans="1:9" ht="47.25" hidden="1" x14ac:dyDescent="0.25">
      <c r="A159" s="45" t="s">
        <v>276</v>
      </c>
      <c r="B159" s="20" t="s">
        <v>937</v>
      </c>
      <c r="C159" s="40" t="s">
        <v>133</v>
      </c>
      <c r="D159" s="40" t="s">
        <v>155</v>
      </c>
      <c r="E159" s="40" t="s">
        <v>149</v>
      </c>
      <c r="F159" s="9" t="s">
        <v>643</v>
      </c>
      <c r="G159" s="10">
        <f>G158</f>
        <v>0</v>
      </c>
    </row>
    <row r="160" spans="1:9" ht="47.25" x14ac:dyDescent="0.25">
      <c r="A160" s="58" t="s">
        <v>441</v>
      </c>
      <c r="B160" s="7" t="s">
        <v>421</v>
      </c>
      <c r="C160" s="7"/>
      <c r="D160" s="7"/>
      <c r="E160" s="7"/>
      <c r="F160" s="7"/>
      <c r="G160" s="59">
        <f>G161+G244+G297+G364+G372</f>
        <v>340793.87</v>
      </c>
      <c r="H160" s="230">
        <v>269740.2</v>
      </c>
      <c r="I160" s="22">
        <f>H160-G160</f>
        <v>-71053.669999999984</v>
      </c>
    </row>
    <row r="161" spans="1:8" ht="31.5" x14ac:dyDescent="0.25">
      <c r="A161" s="41" t="s">
        <v>422</v>
      </c>
      <c r="B161" s="7" t="s">
        <v>423</v>
      </c>
      <c r="C161" s="7"/>
      <c r="D161" s="7"/>
      <c r="E161" s="7"/>
      <c r="F161" s="7"/>
      <c r="G161" s="59">
        <f>G162+G191</f>
        <v>313344.46999999997</v>
      </c>
    </row>
    <row r="162" spans="1:8" s="229" customFormat="1" ht="31.5" x14ac:dyDescent="0.25">
      <c r="A162" s="23" t="s">
        <v>1033</v>
      </c>
      <c r="B162" s="24" t="s">
        <v>1011</v>
      </c>
      <c r="C162" s="7"/>
      <c r="D162" s="7"/>
      <c r="E162" s="7"/>
      <c r="F162" s="7"/>
      <c r="G162" s="59">
        <f>G163</f>
        <v>73445</v>
      </c>
      <c r="H162" s="230"/>
    </row>
    <row r="163" spans="1:8" ht="15.75" x14ac:dyDescent="0.25">
      <c r="A163" s="29" t="s">
        <v>278</v>
      </c>
      <c r="B163" s="40" t="s">
        <v>1011</v>
      </c>
      <c r="C163" s="40" t="s">
        <v>279</v>
      </c>
      <c r="D163" s="40"/>
      <c r="E163" s="40"/>
      <c r="F163" s="40"/>
      <c r="G163" s="10">
        <f>G164+G173+G186</f>
        <v>73445</v>
      </c>
    </row>
    <row r="164" spans="1:8" ht="15.75" x14ac:dyDescent="0.25">
      <c r="A164" s="45" t="s">
        <v>419</v>
      </c>
      <c r="B164" s="40" t="s">
        <v>1011</v>
      </c>
      <c r="C164" s="40" t="s">
        <v>279</v>
      </c>
      <c r="D164" s="40" t="s">
        <v>133</v>
      </c>
      <c r="E164" s="40"/>
      <c r="F164" s="40"/>
      <c r="G164" s="10">
        <f>G165+G169</f>
        <v>12027</v>
      </c>
    </row>
    <row r="165" spans="1:8" ht="47.25" x14ac:dyDescent="0.25">
      <c r="A165" s="25" t="s">
        <v>1068</v>
      </c>
      <c r="B165" s="20" t="s">
        <v>1067</v>
      </c>
      <c r="C165" s="40" t="s">
        <v>279</v>
      </c>
      <c r="D165" s="40" t="s">
        <v>133</v>
      </c>
      <c r="E165" s="40"/>
      <c r="F165" s="40"/>
      <c r="G165" s="10">
        <f t="shared" ref="G165:G166" si="27">G166</f>
        <v>7224.2999999999993</v>
      </c>
    </row>
    <row r="166" spans="1:8" ht="31.5" x14ac:dyDescent="0.25">
      <c r="A166" s="25" t="s">
        <v>287</v>
      </c>
      <c r="B166" s="20" t="s">
        <v>1067</v>
      </c>
      <c r="C166" s="40" t="s">
        <v>279</v>
      </c>
      <c r="D166" s="40" t="s">
        <v>133</v>
      </c>
      <c r="E166" s="40" t="s">
        <v>288</v>
      </c>
      <c r="F166" s="40"/>
      <c r="G166" s="10">
        <f t="shared" si="27"/>
        <v>7224.2999999999993</v>
      </c>
    </row>
    <row r="167" spans="1:8" ht="15.75" x14ac:dyDescent="0.25">
      <c r="A167" s="25" t="s">
        <v>289</v>
      </c>
      <c r="B167" s="20" t="s">
        <v>1067</v>
      </c>
      <c r="C167" s="40" t="s">
        <v>279</v>
      </c>
      <c r="D167" s="40" t="s">
        <v>133</v>
      </c>
      <c r="E167" s="40" t="s">
        <v>290</v>
      </c>
      <c r="F167" s="40"/>
      <c r="G167" s="6">
        <f>'Пр.5 Рд,пр, ЦС,ВР 20'!F486</f>
        <v>7224.2999999999993</v>
      </c>
    </row>
    <row r="168" spans="1:8" s="229" customFormat="1" ht="31.5" x14ac:dyDescent="0.25">
      <c r="A168" s="29" t="s">
        <v>418</v>
      </c>
      <c r="B168" s="20" t="s">
        <v>1067</v>
      </c>
      <c r="C168" s="40" t="s">
        <v>279</v>
      </c>
      <c r="D168" s="40" t="s">
        <v>133</v>
      </c>
      <c r="E168" s="40" t="s">
        <v>290</v>
      </c>
      <c r="F168" s="40" t="s">
        <v>652</v>
      </c>
      <c r="G168" s="10">
        <f>G167</f>
        <v>7224.2999999999993</v>
      </c>
      <c r="H168" s="230"/>
    </row>
    <row r="169" spans="1:8" s="229" customFormat="1" ht="47.25" x14ac:dyDescent="0.25">
      <c r="A169" s="25" t="s">
        <v>1249</v>
      </c>
      <c r="B169" s="20" t="s">
        <v>1069</v>
      </c>
      <c r="C169" s="40" t="s">
        <v>279</v>
      </c>
      <c r="D169" s="40" t="s">
        <v>133</v>
      </c>
      <c r="E169" s="40"/>
      <c r="F169" s="40"/>
      <c r="G169" s="6">
        <f>G170</f>
        <v>4802.7</v>
      </c>
      <c r="H169" s="230"/>
    </row>
    <row r="170" spans="1:8" s="229" customFormat="1" ht="31.5" x14ac:dyDescent="0.25">
      <c r="A170" s="25" t="s">
        <v>287</v>
      </c>
      <c r="B170" s="20" t="s">
        <v>1069</v>
      </c>
      <c r="C170" s="40" t="s">
        <v>279</v>
      </c>
      <c r="D170" s="40" t="s">
        <v>133</v>
      </c>
      <c r="E170" s="40" t="s">
        <v>288</v>
      </c>
      <c r="F170" s="40"/>
      <c r="G170" s="6">
        <f>G171</f>
        <v>4802.7</v>
      </c>
      <c r="H170" s="230"/>
    </row>
    <row r="171" spans="1:8" s="229" customFormat="1" ht="15.75" x14ac:dyDescent="0.25">
      <c r="A171" s="25" t="s">
        <v>289</v>
      </c>
      <c r="B171" s="20" t="s">
        <v>1069</v>
      </c>
      <c r="C171" s="40" t="s">
        <v>279</v>
      </c>
      <c r="D171" s="40" t="s">
        <v>133</v>
      </c>
      <c r="E171" s="40" t="s">
        <v>290</v>
      </c>
      <c r="F171" s="40"/>
      <c r="G171" s="6">
        <f>'Пр.5 Рд,пр, ЦС,ВР 20'!F489</f>
        <v>4802.7</v>
      </c>
      <c r="H171" s="230"/>
    </row>
    <row r="172" spans="1:8" s="229" customFormat="1" ht="31.5" x14ac:dyDescent="0.25">
      <c r="A172" s="29" t="s">
        <v>418</v>
      </c>
      <c r="B172" s="20" t="s">
        <v>1069</v>
      </c>
      <c r="C172" s="40" t="s">
        <v>279</v>
      </c>
      <c r="D172" s="40" t="s">
        <v>133</v>
      </c>
      <c r="E172" s="40" t="s">
        <v>290</v>
      </c>
      <c r="F172" s="40" t="s">
        <v>652</v>
      </c>
      <c r="G172" s="10">
        <f>G171</f>
        <v>4802.7</v>
      </c>
      <c r="H172" s="230"/>
    </row>
    <row r="173" spans="1:8" s="229" customFormat="1" ht="15.75" x14ac:dyDescent="0.25">
      <c r="A173" s="29" t="s">
        <v>440</v>
      </c>
      <c r="B173" s="40" t="s">
        <v>1011</v>
      </c>
      <c r="C173" s="40" t="s">
        <v>279</v>
      </c>
      <c r="D173" s="40" t="s">
        <v>228</v>
      </c>
      <c r="E173" s="40"/>
      <c r="F173" s="40"/>
      <c r="G173" s="10">
        <f>G174+G178+G182</f>
        <v>28803</v>
      </c>
      <c r="H173" s="230"/>
    </row>
    <row r="174" spans="1:8" s="229" customFormat="1" ht="47.25" x14ac:dyDescent="0.25">
      <c r="A174" s="25" t="s">
        <v>1073</v>
      </c>
      <c r="B174" s="20" t="s">
        <v>1070</v>
      </c>
      <c r="C174" s="40" t="s">
        <v>279</v>
      </c>
      <c r="D174" s="40" t="s">
        <v>228</v>
      </c>
      <c r="E174" s="40"/>
      <c r="F174" s="40"/>
      <c r="G174" s="10">
        <f t="shared" ref="G174:G175" si="28">G175</f>
        <v>9775.4000000000015</v>
      </c>
      <c r="H174" s="230"/>
    </row>
    <row r="175" spans="1:8" s="229" customFormat="1" ht="31.5" x14ac:dyDescent="0.25">
      <c r="A175" s="25" t="s">
        <v>287</v>
      </c>
      <c r="B175" s="20" t="s">
        <v>1070</v>
      </c>
      <c r="C175" s="40" t="s">
        <v>279</v>
      </c>
      <c r="D175" s="40" t="s">
        <v>228</v>
      </c>
      <c r="E175" s="40" t="s">
        <v>288</v>
      </c>
      <c r="F175" s="40"/>
      <c r="G175" s="10">
        <f t="shared" si="28"/>
        <v>9775.4000000000015</v>
      </c>
      <c r="H175" s="230"/>
    </row>
    <row r="176" spans="1:8" s="229" customFormat="1" ht="15.75" x14ac:dyDescent="0.25">
      <c r="A176" s="25" t="s">
        <v>289</v>
      </c>
      <c r="B176" s="20" t="s">
        <v>1070</v>
      </c>
      <c r="C176" s="40" t="s">
        <v>279</v>
      </c>
      <c r="D176" s="40" t="s">
        <v>228</v>
      </c>
      <c r="E176" s="40" t="s">
        <v>290</v>
      </c>
      <c r="F176" s="40"/>
      <c r="G176" s="6">
        <f>'Пр.5 Рд,пр, ЦС,ВР 20'!F554</f>
        <v>9775.4000000000015</v>
      </c>
      <c r="H176" s="230"/>
    </row>
    <row r="177" spans="1:8" s="229" customFormat="1" ht="31.5" x14ac:dyDescent="0.25">
      <c r="A177" s="29" t="s">
        <v>418</v>
      </c>
      <c r="B177" s="20" t="s">
        <v>1070</v>
      </c>
      <c r="C177" s="40" t="s">
        <v>279</v>
      </c>
      <c r="D177" s="40" t="s">
        <v>228</v>
      </c>
      <c r="E177" s="40" t="s">
        <v>290</v>
      </c>
      <c r="F177" s="40" t="s">
        <v>652</v>
      </c>
      <c r="G177" s="10">
        <f>G176</f>
        <v>9775.4000000000015</v>
      </c>
      <c r="H177" s="230"/>
    </row>
    <row r="178" spans="1:8" s="229" customFormat="1" ht="47.25" x14ac:dyDescent="0.25">
      <c r="A178" s="25" t="s">
        <v>1074</v>
      </c>
      <c r="B178" s="20" t="s">
        <v>1071</v>
      </c>
      <c r="C178" s="40" t="s">
        <v>279</v>
      </c>
      <c r="D178" s="40" t="s">
        <v>228</v>
      </c>
      <c r="E178" s="40"/>
      <c r="F178" s="40"/>
      <c r="G178" s="6">
        <f>G179</f>
        <v>12351.7</v>
      </c>
      <c r="H178" s="230"/>
    </row>
    <row r="179" spans="1:8" s="229" customFormat="1" ht="31.5" x14ac:dyDescent="0.25">
      <c r="A179" s="25" t="s">
        <v>287</v>
      </c>
      <c r="B179" s="20" t="s">
        <v>1071</v>
      </c>
      <c r="C179" s="40" t="s">
        <v>279</v>
      </c>
      <c r="D179" s="40" t="s">
        <v>228</v>
      </c>
      <c r="E179" s="40" t="s">
        <v>288</v>
      </c>
      <c r="F179" s="40"/>
      <c r="G179" s="6">
        <f>G180</f>
        <v>12351.7</v>
      </c>
      <c r="H179" s="230"/>
    </row>
    <row r="180" spans="1:8" s="229" customFormat="1" ht="15.75" x14ac:dyDescent="0.25">
      <c r="A180" s="25" t="s">
        <v>289</v>
      </c>
      <c r="B180" s="20" t="s">
        <v>1071</v>
      </c>
      <c r="C180" s="40" t="s">
        <v>279</v>
      </c>
      <c r="D180" s="40" t="s">
        <v>228</v>
      </c>
      <c r="E180" s="40" t="s">
        <v>290</v>
      </c>
      <c r="F180" s="40"/>
      <c r="G180" s="6">
        <f>'Пр.5 Рд,пр, ЦС,ВР 20'!F557</f>
        <v>12351.7</v>
      </c>
      <c r="H180" s="230"/>
    </row>
    <row r="181" spans="1:8" s="229" customFormat="1" ht="31.5" x14ac:dyDescent="0.25">
      <c r="A181" s="29" t="s">
        <v>418</v>
      </c>
      <c r="B181" s="20" t="s">
        <v>1071</v>
      </c>
      <c r="C181" s="40" t="s">
        <v>279</v>
      </c>
      <c r="D181" s="40" t="s">
        <v>228</v>
      </c>
      <c r="E181" s="40" t="s">
        <v>290</v>
      </c>
      <c r="F181" s="40" t="s">
        <v>652</v>
      </c>
      <c r="G181" s="10">
        <f>G180</f>
        <v>12351.7</v>
      </c>
      <c r="H181" s="230"/>
    </row>
    <row r="182" spans="1:8" s="229" customFormat="1" ht="47.25" x14ac:dyDescent="0.25">
      <c r="A182" s="25" t="s">
        <v>1075</v>
      </c>
      <c r="B182" s="20" t="s">
        <v>1072</v>
      </c>
      <c r="C182" s="40" t="s">
        <v>279</v>
      </c>
      <c r="D182" s="40" t="s">
        <v>228</v>
      </c>
      <c r="E182" s="40"/>
      <c r="F182" s="40"/>
      <c r="G182" s="6">
        <f>G183</f>
        <v>6675.9</v>
      </c>
      <c r="H182" s="230"/>
    </row>
    <row r="183" spans="1:8" s="229" customFormat="1" ht="31.5" x14ac:dyDescent="0.25">
      <c r="A183" s="25" t="s">
        <v>287</v>
      </c>
      <c r="B183" s="20" t="s">
        <v>1072</v>
      </c>
      <c r="C183" s="40" t="s">
        <v>279</v>
      </c>
      <c r="D183" s="40" t="s">
        <v>228</v>
      </c>
      <c r="E183" s="40" t="s">
        <v>288</v>
      </c>
      <c r="F183" s="40"/>
      <c r="G183" s="6">
        <f>G184</f>
        <v>6675.9</v>
      </c>
      <c r="H183" s="230"/>
    </row>
    <row r="184" spans="1:8" s="229" customFormat="1" ht="15.75" x14ac:dyDescent="0.25">
      <c r="A184" s="25" t="s">
        <v>289</v>
      </c>
      <c r="B184" s="20" t="s">
        <v>1072</v>
      </c>
      <c r="C184" s="40" t="s">
        <v>279</v>
      </c>
      <c r="D184" s="40" t="s">
        <v>228</v>
      </c>
      <c r="E184" s="40" t="s">
        <v>290</v>
      </c>
      <c r="F184" s="40"/>
      <c r="G184" s="6">
        <f>'Пр.5 Рд,пр, ЦС,ВР 20'!F560</f>
        <v>6675.9</v>
      </c>
      <c r="H184" s="230"/>
    </row>
    <row r="185" spans="1:8" s="229" customFormat="1" ht="31.5" x14ac:dyDescent="0.25">
      <c r="A185" s="29" t="s">
        <v>418</v>
      </c>
      <c r="B185" s="20" t="s">
        <v>1072</v>
      </c>
      <c r="C185" s="40" t="s">
        <v>279</v>
      </c>
      <c r="D185" s="40" t="s">
        <v>228</v>
      </c>
      <c r="E185" s="40" t="s">
        <v>290</v>
      </c>
      <c r="F185" s="40" t="s">
        <v>652</v>
      </c>
      <c r="G185" s="10">
        <f>G184</f>
        <v>6675.9</v>
      </c>
      <c r="H185" s="230"/>
    </row>
    <row r="186" spans="1:8" s="229" customFormat="1" ht="15.75" x14ac:dyDescent="0.25">
      <c r="A186" s="29" t="s">
        <v>280</v>
      </c>
      <c r="B186" s="40" t="s">
        <v>1011</v>
      </c>
      <c r="C186" s="40" t="s">
        <v>279</v>
      </c>
      <c r="D186" s="40" t="s">
        <v>230</v>
      </c>
      <c r="E186" s="40"/>
      <c r="F186" s="40"/>
      <c r="G186" s="6">
        <f t="shared" ref="G186" si="29">G187</f>
        <v>32614.999999999996</v>
      </c>
      <c r="H186" s="230"/>
    </row>
    <row r="187" spans="1:8" s="229" customFormat="1" ht="47.25" x14ac:dyDescent="0.25">
      <c r="A187" s="29" t="s">
        <v>285</v>
      </c>
      <c r="B187" s="20" t="s">
        <v>1056</v>
      </c>
      <c r="C187" s="40" t="s">
        <v>279</v>
      </c>
      <c r="D187" s="40" t="s">
        <v>230</v>
      </c>
      <c r="E187" s="7"/>
      <c r="F187" s="7"/>
      <c r="G187" s="10">
        <f t="shared" ref="G187:G188" si="30">G188</f>
        <v>32614.999999999996</v>
      </c>
      <c r="H187" s="230"/>
    </row>
    <row r="188" spans="1:8" s="229" customFormat="1" ht="31.5" x14ac:dyDescent="0.25">
      <c r="A188" s="29" t="s">
        <v>287</v>
      </c>
      <c r="B188" s="20" t="s">
        <v>1056</v>
      </c>
      <c r="C188" s="40" t="s">
        <v>279</v>
      </c>
      <c r="D188" s="40" t="s">
        <v>230</v>
      </c>
      <c r="E188" s="40" t="s">
        <v>288</v>
      </c>
      <c r="F188" s="40"/>
      <c r="G188" s="10">
        <f t="shared" si="30"/>
        <v>32614.999999999996</v>
      </c>
      <c r="H188" s="230"/>
    </row>
    <row r="189" spans="1:8" s="229" customFormat="1" ht="15.75" x14ac:dyDescent="0.25">
      <c r="A189" s="29" t="s">
        <v>289</v>
      </c>
      <c r="B189" s="20" t="s">
        <v>1056</v>
      </c>
      <c r="C189" s="40" t="s">
        <v>279</v>
      </c>
      <c r="D189" s="40" t="s">
        <v>230</v>
      </c>
      <c r="E189" s="40" t="s">
        <v>290</v>
      </c>
      <c r="F189" s="40"/>
      <c r="G189" s="6">
        <f>'Пр.5 Рд,пр, ЦС,ВР 20'!F636</f>
        <v>32614.999999999996</v>
      </c>
      <c r="H189" s="230"/>
    </row>
    <row r="190" spans="1:8" s="229" customFormat="1" ht="31.5" x14ac:dyDescent="0.25">
      <c r="A190" s="29" t="s">
        <v>418</v>
      </c>
      <c r="B190" s="20" t="s">
        <v>1056</v>
      </c>
      <c r="C190" s="40" t="s">
        <v>279</v>
      </c>
      <c r="D190" s="40" t="s">
        <v>230</v>
      </c>
      <c r="E190" s="40" t="s">
        <v>290</v>
      </c>
      <c r="F190" s="40" t="s">
        <v>652</v>
      </c>
      <c r="G190" s="10">
        <f>G189</f>
        <v>32614.999999999996</v>
      </c>
      <c r="H190" s="230"/>
    </row>
    <row r="191" spans="1:8" s="229" customFormat="1" ht="47.25" x14ac:dyDescent="0.25">
      <c r="A191" s="23" t="s">
        <v>973</v>
      </c>
      <c r="B191" s="24" t="s">
        <v>1026</v>
      </c>
      <c r="C191" s="7"/>
      <c r="D191" s="7"/>
      <c r="E191" s="7"/>
      <c r="F191" s="7"/>
      <c r="G191" s="4">
        <f>G192</f>
        <v>239899.46999999997</v>
      </c>
      <c r="H191" s="230"/>
    </row>
    <row r="192" spans="1:8" s="229" customFormat="1" ht="15.75" x14ac:dyDescent="0.25">
      <c r="A192" s="29" t="s">
        <v>278</v>
      </c>
      <c r="B192" s="40" t="s">
        <v>1026</v>
      </c>
      <c r="C192" s="40" t="s">
        <v>279</v>
      </c>
      <c r="D192" s="40"/>
      <c r="E192" s="40"/>
      <c r="F192" s="40"/>
      <c r="G192" s="10">
        <f>G193+G210+G231</f>
        <v>239899.46999999997</v>
      </c>
      <c r="H192" s="230"/>
    </row>
    <row r="193" spans="1:8" s="229" customFormat="1" ht="15.75" x14ac:dyDescent="0.25">
      <c r="A193" s="45" t="s">
        <v>419</v>
      </c>
      <c r="B193" s="40" t="s">
        <v>1026</v>
      </c>
      <c r="C193" s="40" t="s">
        <v>279</v>
      </c>
      <c r="D193" s="40" t="s">
        <v>133</v>
      </c>
      <c r="E193" s="40"/>
      <c r="F193" s="40"/>
      <c r="G193" s="10">
        <f>G194+G198+G202+G206</f>
        <v>85840.55</v>
      </c>
      <c r="H193" s="230"/>
    </row>
    <row r="194" spans="1:8" s="229" customFormat="1" ht="63" x14ac:dyDescent="0.25">
      <c r="A194" s="31" t="s">
        <v>304</v>
      </c>
      <c r="B194" s="20" t="s">
        <v>1025</v>
      </c>
      <c r="C194" s="40" t="s">
        <v>279</v>
      </c>
      <c r="D194" s="40" t="s">
        <v>133</v>
      </c>
      <c r="E194" s="40"/>
      <c r="F194" s="40"/>
      <c r="G194" s="6">
        <f>G195</f>
        <v>559.71</v>
      </c>
      <c r="H194" s="230"/>
    </row>
    <row r="195" spans="1:8" s="229" customFormat="1" ht="31.5" x14ac:dyDescent="0.25">
      <c r="A195" s="25" t="s">
        <v>287</v>
      </c>
      <c r="B195" s="20" t="s">
        <v>1025</v>
      </c>
      <c r="C195" s="40" t="s">
        <v>279</v>
      </c>
      <c r="D195" s="40" t="s">
        <v>133</v>
      </c>
      <c r="E195" s="40" t="s">
        <v>288</v>
      </c>
      <c r="F195" s="40"/>
      <c r="G195" s="6">
        <f>G196</f>
        <v>559.71</v>
      </c>
      <c r="H195" s="230"/>
    </row>
    <row r="196" spans="1:8" s="229" customFormat="1" ht="15.75" x14ac:dyDescent="0.25">
      <c r="A196" s="25" t="s">
        <v>289</v>
      </c>
      <c r="B196" s="20" t="s">
        <v>1025</v>
      </c>
      <c r="C196" s="40" t="s">
        <v>279</v>
      </c>
      <c r="D196" s="40" t="s">
        <v>133</v>
      </c>
      <c r="E196" s="40" t="s">
        <v>290</v>
      </c>
      <c r="F196" s="40"/>
      <c r="G196" s="6">
        <f>'Пр.5 Рд,пр, ЦС,ВР 20'!F493</f>
        <v>559.71</v>
      </c>
      <c r="H196" s="230"/>
    </row>
    <row r="197" spans="1:8" s="229" customFormat="1" ht="31.5" x14ac:dyDescent="0.25">
      <c r="A197" s="29" t="s">
        <v>418</v>
      </c>
      <c r="B197" s="20" t="s">
        <v>1025</v>
      </c>
      <c r="C197" s="40" t="s">
        <v>279</v>
      </c>
      <c r="D197" s="40" t="s">
        <v>133</v>
      </c>
      <c r="E197" s="40" t="s">
        <v>290</v>
      </c>
      <c r="F197" s="40" t="s">
        <v>652</v>
      </c>
      <c r="G197" s="10">
        <f>G196</f>
        <v>559.71</v>
      </c>
      <c r="H197" s="230"/>
    </row>
    <row r="198" spans="1:8" s="229" customFormat="1" ht="63" x14ac:dyDescent="0.25">
      <c r="A198" s="31" t="s">
        <v>435</v>
      </c>
      <c r="B198" s="20" t="s">
        <v>1028</v>
      </c>
      <c r="C198" s="40" t="s">
        <v>279</v>
      </c>
      <c r="D198" s="40" t="s">
        <v>133</v>
      </c>
      <c r="E198" s="40"/>
      <c r="F198" s="40"/>
      <c r="G198" s="6">
        <f>G199</f>
        <v>1629.37</v>
      </c>
      <c r="H198" s="230"/>
    </row>
    <row r="199" spans="1:8" s="229" customFormat="1" ht="31.5" x14ac:dyDescent="0.25">
      <c r="A199" s="25" t="s">
        <v>287</v>
      </c>
      <c r="B199" s="20" t="s">
        <v>1028</v>
      </c>
      <c r="C199" s="40" t="s">
        <v>279</v>
      </c>
      <c r="D199" s="40" t="s">
        <v>133</v>
      </c>
      <c r="E199" s="40" t="s">
        <v>288</v>
      </c>
      <c r="F199" s="40"/>
      <c r="G199" s="6">
        <f>G200</f>
        <v>1629.37</v>
      </c>
      <c r="H199" s="230"/>
    </row>
    <row r="200" spans="1:8" s="229" customFormat="1" ht="15.75" x14ac:dyDescent="0.25">
      <c r="A200" s="25" t="s">
        <v>289</v>
      </c>
      <c r="B200" s="20" t="s">
        <v>1028</v>
      </c>
      <c r="C200" s="40" t="s">
        <v>279</v>
      </c>
      <c r="D200" s="40" t="s">
        <v>133</v>
      </c>
      <c r="E200" s="40" t="s">
        <v>290</v>
      </c>
      <c r="F200" s="40"/>
      <c r="G200" s="6">
        <f>'Пр.5 Рд,пр, ЦС,ВР 20'!F496</f>
        <v>1629.37</v>
      </c>
      <c r="H200" s="230"/>
    </row>
    <row r="201" spans="1:8" s="229" customFormat="1" ht="31.5" x14ac:dyDescent="0.25">
      <c r="A201" s="29" t="s">
        <v>418</v>
      </c>
      <c r="B201" s="20" t="s">
        <v>1028</v>
      </c>
      <c r="C201" s="40" t="s">
        <v>279</v>
      </c>
      <c r="D201" s="40" t="s">
        <v>133</v>
      </c>
      <c r="E201" s="40" t="s">
        <v>290</v>
      </c>
      <c r="F201" s="40" t="s">
        <v>652</v>
      </c>
      <c r="G201" s="10">
        <f>G200</f>
        <v>1629.37</v>
      </c>
      <c r="H201" s="230"/>
    </row>
    <row r="202" spans="1:8" s="229" customFormat="1" ht="94.5" x14ac:dyDescent="0.25">
      <c r="A202" s="31" t="s">
        <v>436</v>
      </c>
      <c r="B202" s="20" t="s">
        <v>1027</v>
      </c>
      <c r="C202" s="40" t="s">
        <v>279</v>
      </c>
      <c r="D202" s="40" t="s">
        <v>133</v>
      </c>
      <c r="E202" s="40"/>
      <c r="F202" s="40"/>
      <c r="G202" s="6">
        <f>G203</f>
        <v>80735.399999999994</v>
      </c>
      <c r="H202" s="230"/>
    </row>
    <row r="203" spans="1:8" s="229" customFormat="1" ht="31.5" x14ac:dyDescent="0.25">
      <c r="A203" s="25" t="s">
        <v>287</v>
      </c>
      <c r="B203" s="20" t="s">
        <v>1027</v>
      </c>
      <c r="C203" s="40" t="s">
        <v>279</v>
      </c>
      <c r="D203" s="40" t="s">
        <v>133</v>
      </c>
      <c r="E203" s="40" t="s">
        <v>288</v>
      </c>
      <c r="F203" s="40"/>
      <c r="G203" s="6">
        <f>G204</f>
        <v>80735.399999999994</v>
      </c>
      <c r="H203" s="230"/>
    </row>
    <row r="204" spans="1:8" s="229" customFormat="1" ht="15.75" x14ac:dyDescent="0.25">
      <c r="A204" s="25" t="s">
        <v>289</v>
      </c>
      <c r="B204" s="20" t="s">
        <v>1027</v>
      </c>
      <c r="C204" s="40" t="s">
        <v>279</v>
      </c>
      <c r="D204" s="40" t="s">
        <v>133</v>
      </c>
      <c r="E204" s="40" t="s">
        <v>290</v>
      </c>
      <c r="F204" s="40"/>
      <c r="G204" s="6">
        <f>'Пр.5 Рд,пр, ЦС,ВР 20'!F499</f>
        <v>80735.399999999994</v>
      </c>
      <c r="H204" s="230"/>
    </row>
    <row r="205" spans="1:8" s="229" customFormat="1" ht="31.5" x14ac:dyDescent="0.25">
      <c r="A205" s="29" t="s">
        <v>418</v>
      </c>
      <c r="B205" s="20" t="s">
        <v>1027</v>
      </c>
      <c r="C205" s="40" t="s">
        <v>279</v>
      </c>
      <c r="D205" s="40" t="s">
        <v>133</v>
      </c>
      <c r="E205" s="40" t="s">
        <v>290</v>
      </c>
      <c r="F205" s="40" t="s">
        <v>652</v>
      </c>
      <c r="G205" s="10">
        <f>G204</f>
        <v>80735.399999999994</v>
      </c>
      <c r="H205" s="230"/>
    </row>
    <row r="206" spans="1:8" s="229" customFormat="1" ht="94.5" x14ac:dyDescent="0.25">
      <c r="A206" s="31" t="s">
        <v>308</v>
      </c>
      <c r="B206" s="20" t="s">
        <v>1029</v>
      </c>
      <c r="C206" s="40" t="s">
        <v>279</v>
      </c>
      <c r="D206" s="40" t="s">
        <v>133</v>
      </c>
      <c r="E206" s="40"/>
      <c r="F206" s="40"/>
      <c r="G206" s="6">
        <f>G207</f>
        <v>2916.07</v>
      </c>
      <c r="H206" s="230"/>
    </row>
    <row r="207" spans="1:8" s="229" customFormat="1" ht="31.5" x14ac:dyDescent="0.25">
      <c r="A207" s="25" t="s">
        <v>287</v>
      </c>
      <c r="B207" s="20" t="s">
        <v>1029</v>
      </c>
      <c r="C207" s="40" t="s">
        <v>279</v>
      </c>
      <c r="D207" s="40" t="s">
        <v>133</v>
      </c>
      <c r="E207" s="40" t="s">
        <v>288</v>
      </c>
      <c r="F207" s="40"/>
      <c r="G207" s="6">
        <f>G208</f>
        <v>2916.07</v>
      </c>
      <c r="H207" s="230"/>
    </row>
    <row r="208" spans="1:8" s="229" customFormat="1" ht="15.75" x14ac:dyDescent="0.25">
      <c r="A208" s="25" t="s">
        <v>289</v>
      </c>
      <c r="B208" s="20" t="s">
        <v>1029</v>
      </c>
      <c r="C208" s="40" t="s">
        <v>279</v>
      </c>
      <c r="D208" s="40" t="s">
        <v>133</v>
      </c>
      <c r="E208" s="40" t="s">
        <v>290</v>
      </c>
      <c r="F208" s="40"/>
      <c r="G208" s="6">
        <f>'Пр.5 Рд,пр, ЦС,ВР 20'!F502</f>
        <v>2916.07</v>
      </c>
      <c r="H208" s="230"/>
    </row>
    <row r="209" spans="1:8" s="229" customFormat="1" ht="31.5" x14ac:dyDescent="0.25">
      <c r="A209" s="29" t="s">
        <v>418</v>
      </c>
      <c r="B209" s="20" t="s">
        <v>1029</v>
      </c>
      <c r="C209" s="40" t="s">
        <v>279</v>
      </c>
      <c r="D209" s="40" t="s">
        <v>133</v>
      </c>
      <c r="E209" s="40" t="s">
        <v>290</v>
      </c>
      <c r="F209" s="40" t="s">
        <v>652</v>
      </c>
      <c r="G209" s="10">
        <f>G208</f>
        <v>2916.07</v>
      </c>
      <c r="H209" s="230"/>
    </row>
    <row r="210" spans="1:8" ht="15.75" x14ac:dyDescent="0.25">
      <c r="A210" s="29" t="s">
        <v>440</v>
      </c>
      <c r="B210" s="40" t="s">
        <v>1026</v>
      </c>
      <c r="C210" s="40" t="s">
        <v>279</v>
      </c>
      <c r="D210" s="40" t="s">
        <v>228</v>
      </c>
      <c r="E210" s="40"/>
      <c r="F210" s="40"/>
      <c r="G210" s="10">
        <f>G211+G215+G219+G223+G227</f>
        <v>152436.77999999997</v>
      </c>
    </row>
    <row r="211" spans="1:8" s="229" customFormat="1" ht="78.75" x14ac:dyDescent="0.25">
      <c r="A211" s="31" t="s">
        <v>475</v>
      </c>
      <c r="B211" s="20" t="s">
        <v>1054</v>
      </c>
      <c r="C211" s="40" t="s">
        <v>279</v>
      </c>
      <c r="D211" s="40" t="s">
        <v>228</v>
      </c>
      <c r="E211" s="40"/>
      <c r="F211" s="40"/>
      <c r="G211" s="6">
        <f>G212</f>
        <v>143160</v>
      </c>
      <c r="H211" s="230"/>
    </row>
    <row r="212" spans="1:8" s="229" customFormat="1" ht="31.5" x14ac:dyDescent="0.25">
      <c r="A212" s="25" t="s">
        <v>287</v>
      </c>
      <c r="B212" s="20" t="s">
        <v>1054</v>
      </c>
      <c r="C212" s="40" t="s">
        <v>279</v>
      </c>
      <c r="D212" s="40" t="s">
        <v>228</v>
      </c>
      <c r="E212" s="40" t="s">
        <v>288</v>
      </c>
      <c r="F212" s="40"/>
      <c r="G212" s="6">
        <f>G213</f>
        <v>143160</v>
      </c>
      <c r="H212" s="230"/>
    </row>
    <row r="213" spans="1:8" s="229" customFormat="1" ht="15.75" x14ac:dyDescent="0.25">
      <c r="A213" s="25" t="s">
        <v>289</v>
      </c>
      <c r="B213" s="20" t="s">
        <v>1054</v>
      </c>
      <c r="C213" s="40" t="s">
        <v>279</v>
      </c>
      <c r="D213" s="40" t="s">
        <v>228</v>
      </c>
      <c r="E213" s="40" t="s">
        <v>290</v>
      </c>
      <c r="F213" s="40"/>
      <c r="G213" s="6">
        <f>'Пр.5 Рд,пр, ЦС,ВР 20'!F564</f>
        <v>143160</v>
      </c>
      <c r="H213" s="230"/>
    </row>
    <row r="214" spans="1:8" s="229" customFormat="1" ht="31.5" x14ac:dyDescent="0.25">
      <c r="A214" s="29" t="s">
        <v>418</v>
      </c>
      <c r="B214" s="20" t="s">
        <v>1054</v>
      </c>
      <c r="C214" s="40" t="s">
        <v>279</v>
      </c>
      <c r="D214" s="40" t="s">
        <v>228</v>
      </c>
      <c r="E214" s="40" t="s">
        <v>290</v>
      </c>
      <c r="F214" s="40" t="s">
        <v>652</v>
      </c>
      <c r="G214" s="10">
        <f>G213</f>
        <v>143160</v>
      </c>
      <c r="H214" s="230"/>
    </row>
    <row r="215" spans="1:8" s="229" customFormat="1" ht="63" x14ac:dyDescent="0.25">
      <c r="A215" s="31" t="s">
        <v>304</v>
      </c>
      <c r="B215" s="20" t="s">
        <v>1025</v>
      </c>
      <c r="C215" s="40" t="s">
        <v>279</v>
      </c>
      <c r="D215" s="40" t="s">
        <v>228</v>
      </c>
      <c r="E215" s="40"/>
      <c r="F215" s="40"/>
      <c r="G215" s="6">
        <f>G216</f>
        <v>1245.6099999999999</v>
      </c>
      <c r="H215" s="230"/>
    </row>
    <row r="216" spans="1:8" s="229" customFormat="1" ht="31.5" x14ac:dyDescent="0.25">
      <c r="A216" s="25" t="s">
        <v>287</v>
      </c>
      <c r="B216" s="20" t="s">
        <v>1025</v>
      </c>
      <c r="C216" s="40" t="s">
        <v>279</v>
      </c>
      <c r="D216" s="40" t="s">
        <v>228</v>
      </c>
      <c r="E216" s="40" t="s">
        <v>288</v>
      </c>
      <c r="F216" s="40"/>
      <c r="G216" s="6">
        <f>G217</f>
        <v>1245.6099999999999</v>
      </c>
      <c r="H216" s="230"/>
    </row>
    <row r="217" spans="1:8" s="229" customFormat="1" ht="15.75" x14ac:dyDescent="0.25">
      <c r="A217" s="25" t="s">
        <v>289</v>
      </c>
      <c r="B217" s="20" t="s">
        <v>1025</v>
      </c>
      <c r="C217" s="40" t="s">
        <v>279</v>
      </c>
      <c r="D217" s="40" t="s">
        <v>228</v>
      </c>
      <c r="E217" s="40" t="s">
        <v>290</v>
      </c>
      <c r="F217" s="40"/>
      <c r="G217" s="6">
        <f>'Пр.5 Рд,пр, ЦС,ВР 20'!F567</f>
        <v>1245.6099999999999</v>
      </c>
      <c r="H217" s="230"/>
    </row>
    <row r="218" spans="1:8" s="229" customFormat="1" ht="31.5" x14ac:dyDescent="0.25">
      <c r="A218" s="29" t="s">
        <v>418</v>
      </c>
      <c r="B218" s="20" t="s">
        <v>1025</v>
      </c>
      <c r="C218" s="40" t="s">
        <v>279</v>
      </c>
      <c r="D218" s="40" t="s">
        <v>228</v>
      </c>
      <c r="E218" s="40" t="s">
        <v>290</v>
      </c>
      <c r="F218" s="40" t="s">
        <v>652</v>
      </c>
      <c r="G218" s="10">
        <f>G217</f>
        <v>1245.6099999999999</v>
      </c>
      <c r="H218" s="230"/>
    </row>
    <row r="219" spans="1:8" s="229" customFormat="1" ht="63" x14ac:dyDescent="0.25">
      <c r="A219" s="31" t="s">
        <v>306</v>
      </c>
      <c r="B219" s="20" t="s">
        <v>1028</v>
      </c>
      <c r="C219" s="40" t="s">
        <v>279</v>
      </c>
      <c r="D219" s="40" t="s">
        <v>228</v>
      </c>
      <c r="E219" s="40"/>
      <c r="F219" s="40"/>
      <c r="G219" s="6">
        <f>G220</f>
        <v>2266.7199999999998</v>
      </c>
      <c r="H219" s="230"/>
    </row>
    <row r="220" spans="1:8" s="229" customFormat="1" ht="31.5" x14ac:dyDescent="0.25">
      <c r="A220" s="25" t="s">
        <v>287</v>
      </c>
      <c r="B220" s="20" t="s">
        <v>1028</v>
      </c>
      <c r="C220" s="40" t="s">
        <v>279</v>
      </c>
      <c r="D220" s="40" t="s">
        <v>228</v>
      </c>
      <c r="E220" s="40" t="s">
        <v>288</v>
      </c>
      <c r="F220" s="40"/>
      <c r="G220" s="6">
        <f>G221</f>
        <v>2266.7199999999998</v>
      </c>
      <c r="H220" s="230"/>
    </row>
    <row r="221" spans="1:8" s="229" customFormat="1" ht="15.75" x14ac:dyDescent="0.25">
      <c r="A221" s="25" t="s">
        <v>289</v>
      </c>
      <c r="B221" s="20" t="s">
        <v>1028</v>
      </c>
      <c r="C221" s="40" t="s">
        <v>279</v>
      </c>
      <c r="D221" s="40" t="s">
        <v>228</v>
      </c>
      <c r="E221" s="40" t="s">
        <v>290</v>
      </c>
      <c r="F221" s="40"/>
      <c r="G221" s="6">
        <f>'Пр.5 Рд,пр, ЦС,ВР 20'!F570</f>
        <v>2266.7199999999998</v>
      </c>
      <c r="H221" s="230"/>
    </row>
    <row r="222" spans="1:8" s="229" customFormat="1" ht="31.5" x14ac:dyDescent="0.25">
      <c r="A222" s="29" t="s">
        <v>418</v>
      </c>
      <c r="B222" s="20" t="s">
        <v>1028</v>
      </c>
      <c r="C222" s="40" t="s">
        <v>279</v>
      </c>
      <c r="D222" s="40" t="s">
        <v>228</v>
      </c>
      <c r="E222" s="40" t="s">
        <v>290</v>
      </c>
      <c r="F222" s="40" t="s">
        <v>652</v>
      </c>
      <c r="G222" s="10">
        <f>G221</f>
        <v>2266.7199999999998</v>
      </c>
      <c r="H222" s="230"/>
    </row>
    <row r="223" spans="1:8" s="229" customFormat="1" ht="47.25" x14ac:dyDescent="0.25">
      <c r="A223" s="31" t="s">
        <v>477</v>
      </c>
      <c r="B223" s="20" t="s">
        <v>1055</v>
      </c>
      <c r="C223" s="40" t="s">
        <v>279</v>
      </c>
      <c r="D223" s="40" t="s">
        <v>228</v>
      </c>
      <c r="E223" s="40"/>
      <c r="F223" s="40"/>
      <c r="G223" s="6">
        <f>G224</f>
        <v>923.4</v>
      </c>
      <c r="H223" s="230"/>
    </row>
    <row r="224" spans="1:8" s="229" customFormat="1" ht="31.5" x14ac:dyDescent="0.25">
      <c r="A224" s="25" t="s">
        <v>287</v>
      </c>
      <c r="B224" s="20" t="s">
        <v>1055</v>
      </c>
      <c r="C224" s="40" t="s">
        <v>279</v>
      </c>
      <c r="D224" s="40" t="s">
        <v>228</v>
      </c>
      <c r="E224" s="40" t="s">
        <v>288</v>
      </c>
      <c r="F224" s="40"/>
      <c r="G224" s="6">
        <f>G225</f>
        <v>923.4</v>
      </c>
      <c r="H224" s="230"/>
    </row>
    <row r="225" spans="1:8" s="229" customFormat="1" ht="15.75" x14ac:dyDescent="0.25">
      <c r="A225" s="25" t="s">
        <v>289</v>
      </c>
      <c r="B225" s="20" t="s">
        <v>1055</v>
      </c>
      <c r="C225" s="40" t="s">
        <v>279</v>
      </c>
      <c r="D225" s="40" t="s">
        <v>228</v>
      </c>
      <c r="E225" s="40" t="s">
        <v>290</v>
      </c>
      <c r="F225" s="40"/>
      <c r="G225" s="6">
        <f>'Пр.5 Рд,пр, ЦС,ВР 20'!F573</f>
        <v>923.4</v>
      </c>
      <c r="H225" s="230"/>
    </row>
    <row r="226" spans="1:8" s="229" customFormat="1" ht="31.5" x14ac:dyDescent="0.25">
      <c r="A226" s="29" t="s">
        <v>418</v>
      </c>
      <c r="B226" s="20" t="s">
        <v>1055</v>
      </c>
      <c r="C226" s="40" t="s">
        <v>279</v>
      </c>
      <c r="D226" s="40" t="s">
        <v>228</v>
      </c>
      <c r="E226" s="40" t="s">
        <v>290</v>
      </c>
      <c r="F226" s="40" t="s">
        <v>652</v>
      </c>
      <c r="G226" s="10">
        <f>G225</f>
        <v>923.4</v>
      </c>
      <c r="H226" s="230"/>
    </row>
    <row r="227" spans="1:8" s="229" customFormat="1" ht="94.5" x14ac:dyDescent="0.25">
      <c r="A227" s="31" t="s">
        <v>479</v>
      </c>
      <c r="B227" s="20" t="s">
        <v>1029</v>
      </c>
      <c r="C227" s="40" t="s">
        <v>279</v>
      </c>
      <c r="D227" s="40" t="s">
        <v>228</v>
      </c>
      <c r="E227" s="40"/>
      <c r="F227" s="40"/>
      <c r="G227" s="6">
        <f>G228</f>
        <v>4841.0499999999993</v>
      </c>
      <c r="H227" s="230"/>
    </row>
    <row r="228" spans="1:8" s="229" customFormat="1" ht="31.5" x14ac:dyDescent="0.25">
      <c r="A228" s="25" t="s">
        <v>287</v>
      </c>
      <c r="B228" s="20" t="s">
        <v>1029</v>
      </c>
      <c r="C228" s="40" t="s">
        <v>279</v>
      </c>
      <c r="D228" s="40" t="s">
        <v>228</v>
      </c>
      <c r="E228" s="40" t="s">
        <v>288</v>
      </c>
      <c r="F228" s="40"/>
      <c r="G228" s="6">
        <f>G229</f>
        <v>4841.0499999999993</v>
      </c>
      <c r="H228" s="230"/>
    </row>
    <row r="229" spans="1:8" s="229" customFormat="1" ht="15.75" x14ac:dyDescent="0.25">
      <c r="A229" s="25" t="s">
        <v>289</v>
      </c>
      <c r="B229" s="20" t="s">
        <v>1029</v>
      </c>
      <c r="C229" s="40" t="s">
        <v>279</v>
      </c>
      <c r="D229" s="40" t="s">
        <v>228</v>
      </c>
      <c r="E229" s="40" t="s">
        <v>290</v>
      </c>
      <c r="F229" s="40"/>
      <c r="G229" s="6">
        <f>'Пр.5 Рд,пр, ЦС,ВР 20'!F576</f>
        <v>4841.0499999999993</v>
      </c>
      <c r="H229" s="230"/>
    </row>
    <row r="230" spans="1:8" s="229" customFormat="1" ht="31.5" x14ac:dyDescent="0.25">
      <c r="A230" s="29" t="s">
        <v>418</v>
      </c>
      <c r="B230" s="20" t="s">
        <v>1029</v>
      </c>
      <c r="C230" s="40" t="s">
        <v>279</v>
      </c>
      <c r="D230" s="40" t="s">
        <v>228</v>
      </c>
      <c r="E230" s="40" t="s">
        <v>290</v>
      </c>
      <c r="F230" s="40" t="s">
        <v>652</v>
      </c>
      <c r="G230" s="10">
        <f>G229</f>
        <v>4841.0499999999993</v>
      </c>
      <c r="H230" s="230"/>
    </row>
    <row r="231" spans="1:8" ht="15.75" x14ac:dyDescent="0.25">
      <c r="A231" s="29" t="s">
        <v>280</v>
      </c>
      <c r="B231" s="40" t="s">
        <v>1026</v>
      </c>
      <c r="C231" s="40" t="s">
        <v>279</v>
      </c>
      <c r="D231" s="40" t="s">
        <v>230</v>
      </c>
      <c r="E231" s="40"/>
      <c r="F231" s="40"/>
      <c r="G231" s="6">
        <f>G232+G236+G240</f>
        <v>1622.1399999999999</v>
      </c>
    </row>
    <row r="232" spans="1:8" s="229" customFormat="1" ht="63" x14ac:dyDescent="0.25">
      <c r="A232" s="31" t="s">
        <v>304</v>
      </c>
      <c r="B232" s="20" t="s">
        <v>1025</v>
      </c>
      <c r="C232" s="40" t="s">
        <v>279</v>
      </c>
      <c r="D232" s="40" t="s">
        <v>230</v>
      </c>
      <c r="E232" s="40"/>
      <c r="F232" s="40"/>
      <c r="G232" s="6">
        <f>G233</f>
        <v>169.28</v>
      </c>
      <c r="H232" s="230"/>
    </row>
    <row r="233" spans="1:8" s="229" customFormat="1" ht="31.5" x14ac:dyDescent="0.25">
      <c r="A233" s="25" t="s">
        <v>287</v>
      </c>
      <c r="B233" s="20" t="s">
        <v>1025</v>
      </c>
      <c r="C233" s="40" t="s">
        <v>279</v>
      </c>
      <c r="D233" s="40" t="s">
        <v>230</v>
      </c>
      <c r="E233" s="40" t="s">
        <v>288</v>
      </c>
      <c r="F233" s="40"/>
      <c r="G233" s="6">
        <f>G234</f>
        <v>169.28</v>
      </c>
      <c r="H233" s="230"/>
    </row>
    <row r="234" spans="1:8" s="229" customFormat="1" ht="15.75" x14ac:dyDescent="0.25">
      <c r="A234" s="25" t="s">
        <v>289</v>
      </c>
      <c r="B234" s="20" t="s">
        <v>1025</v>
      </c>
      <c r="C234" s="40" t="s">
        <v>279</v>
      </c>
      <c r="D234" s="40" t="s">
        <v>230</v>
      </c>
      <c r="E234" s="40" t="s">
        <v>290</v>
      </c>
      <c r="F234" s="40"/>
      <c r="G234" s="6">
        <f>'Пр.6 ведом.20'!G701</f>
        <v>169.28</v>
      </c>
      <c r="H234" s="230"/>
    </row>
    <row r="235" spans="1:8" s="229" customFormat="1" ht="31.5" x14ac:dyDescent="0.25">
      <c r="A235" s="29" t="s">
        <v>418</v>
      </c>
      <c r="B235" s="20" t="s">
        <v>1025</v>
      </c>
      <c r="C235" s="40" t="s">
        <v>279</v>
      </c>
      <c r="D235" s="40" t="s">
        <v>230</v>
      </c>
      <c r="E235" s="40" t="s">
        <v>290</v>
      </c>
      <c r="F235" s="40" t="s">
        <v>652</v>
      </c>
      <c r="G235" s="10">
        <f>G234</f>
        <v>169.28</v>
      </c>
      <c r="H235" s="230"/>
    </row>
    <row r="236" spans="1:8" s="229" customFormat="1" ht="63" x14ac:dyDescent="0.25">
      <c r="A236" s="31" t="s">
        <v>306</v>
      </c>
      <c r="B236" s="20" t="s">
        <v>1028</v>
      </c>
      <c r="C236" s="40" t="s">
        <v>279</v>
      </c>
      <c r="D236" s="40" t="s">
        <v>230</v>
      </c>
      <c r="E236" s="40"/>
      <c r="F236" s="40"/>
      <c r="G236" s="6">
        <f>G237</f>
        <v>549.46</v>
      </c>
      <c r="H236" s="230"/>
    </row>
    <row r="237" spans="1:8" s="229" customFormat="1" ht="31.5" x14ac:dyDescent="0.25">
      <c r="A237" s="25" t="s">
        <v>287</v>
      </c>
      <c r="B237" s="20" t="s">
        <v>1028</v>
      </c>
      <c r="C237" s="40" t="s">
        <v>279</v>
      </c>
      <c r="D237" s="40" t="s">
        <v>230</v>
      </c>
      <c r="E237" s="40" t="s">
        <v>288</v>
      </c>
      <c r="F237" s="40"/>
      <c r="G237" s="6">
        <f>G238</f>
        <v>549.46</v>
      </c>
      <c r="H237" s="230"/>
    </row>
    <row r="238" spans="1:8" s="229" customFormat="1" ht="15.75" x14ac:dyDescent="0.25">
      <c r="A238" s="25" t="s">
        <v>289</v>
      </c>
      <c r="B238" s="20" t="s">
        <v>1028</v>
      </c>
      <c r="C238" s="40" t="s">
        <v>279</v>
      </c>
      <c r="D238" s="40" t="s">
        <v>230</v>
      </c>
      <c r="E238" s="40" t="s">
        <v>290</v>
      </c>
      <c r="F238" s="40"/>
      <c r="G238" s="6">
        <f>'Пр.6 ведом.20'!G704</f>
        <v>549.46</v>
      </c>
      <c r="H238" s="230"/>
    </row>
    <row r="239" spans="1:8" s="229" customFormat="1" ht="31.5" x14ac:dyDescent="0.25">
      <c r="A239" s="29" t="s">
        <v>418</v>
      </c>
      <c r="B239" s="20" t="s">
        <v>1028</v>
      </c>
      <c r="C239" s="40" t="s">
        <v>279</v>
      </c>
      <c r="D239" s="40" t="s">
        <v>230</v>
      </c>
      <c r="E239" s="40" t="s">
        <v>290</v>
      </c>
      <c r="F239" s="40" t="s">
        <v>652</v>
      </c>
      <c r="G239" s="10">
        <f>G238</f>
        <v>549.46</v>
      </c>
      <c r="H239" s="230"/>
    </row>
    <row r="240" spans="1:8" s="229" customFormat="1" ht="94.5" x14ac:dyDescent="0.25">
      <c r="A240" s="31" t="s">
        <v>308</v>
      </c>
      <c r="B240" s="20" t="s">
        <v>1029</v>
      </c>
      <c r="C240" s="40" t="s">
        <v>279</v>
      </c>
      <c r="D240" s="40" t="s">
        <v>230</v>
      </c>
      <c r="E240" s="40"/>
      <c r="F240" s="40"/>
      <c r="G240" s="6">
        <f>G241</f>
        <v>903.4</v>
      </c>
      <c r="H240" s="230"/>
    </row>
    <row r="241" spans="1:8" s="229" customFormat="1" ht="31.5" x14ac:dyDescent="0.25">
      <c r="A241" s="25" t="s">
        <v>287</v>
      </c>
      <c r="B241" s="20" t="s">
        <v>1029</v>
      </c>
      <c r="C241" s="40" t="s">
        <v>279</v>
      </c>
      <c r="D241" s="40" t="s">
        <v>230</v>
      </c>
      <c r="E241" s="40" t="s">
        <v>288</v>
      </c>
      <c r="F241" s="40"/>
      <c r="G241" s="6">
        <f>G242</f>
        <v>903.4</v>
      </c>
      <c r="H241" s="230"/>
    </row>
    <row r="242" spans="1:8" s="229" customFormat="1" ht="15.75" x14ac:dyDescent="0.25">
      <c r="A242" s="25" t="s">
        <v>289</v>
      </c>
      <c r="B242" s="20" t="s">
        <v>1029</v>
      </c>
      <c r="C242" s="40" t="s">
        <v>279</v>
      </c>
      <c r="D242" s="40" t="s">
        <v>230</v>
      </c>
      <c r="E242" s="40" t="s">
        <v>290</v>
      </c>
      <c r="F242" s="40"/>
      <c r="G242" s="6">
        <f>'Пр.6 ведом.20'!G706</f>
        <v>903.4</v>
      </c>
      <c r="H242" s="230"/>
    </row>
    <row r="243" spans="1:8" s="229" customFormat="1" ht="31.5" x14ac:dyDescent="0.25">
      <c r="A243" s="29" t="s">
        <v>418</v>
      </c>
      <c r="B243" s="20" t="s">
        <v>1029</v>
      </c>
      <c r="C243" s="40" t="s">
        <v>279</v>
      </c>
      <c r="D243" s="40" t="s">
        <v>230</v>
      </c>
      <c r="E243" s="40" t="s">
        <v>290</v>
      </c>
      <c r="F243" s="40" t="s">
        <v>652</v>
      </c>
      <c r="G243" s="10">
        <f>G242</f>
        <v>903.4</v>
      </c>
      <c r="H243" s="230"/>
    </row>
    <row r="244" spans="1:8" ht="31.5" x14ac:dyDescent="0.25">
      <c r="A244" s="41" t="s">
        <v>426</v>
      </c>
      <c r="B244" s="7" t="s">
        <v>427</v>
      </c>
      <c r="C244" s="7"/>
      <c r="D244" s="7"/>
      <c r="E244" s="7"/>
      <c r="F244" s="7"/>
      <c r="G244" s="59">
        <f>G245+G260+G275+G286</f>
        <v>10997.7</v>
      </c>
    </row>
    <row r="245" spans="1:8" s="229" customFormat="1" ht="31.5" x14ac:dyDescent="0.25">
      <c r="A245" s="23" t="s">
        <v>1012</v>
      </c>
      <c r="B245" s="24" t="s">
        <v>1013</v>
      </c>
      <c r="C245" s="7"/>
      <c r="D245" s="7"/>
      <c r="E245" s="7"/>
      <c r="F245" s="7"/>
      <c r="G245" s="59">
        <f>G246</f>
        <v>4430</v>
      </c>
      <c r="H245" s="230"/>
    </row>
    <row r="246" spans="1:8" ht="15.75" x14ac:dyDescent="0.25">
      <c r="A246" s="29" t="s">
        <v>278</v>
      </c>
      <c r="B246" s="40" t="s">
        <v>1013</v>
      </c>
      <c r="C246" s="40" t="s">
        <v>279</v>
      </c>
      <c r="D246" s="40"/>
      <c r="E246" s="40"/>
      <c r="F246" s="40"/>
      <c r="G246" s="10">
        <f t="shared" ref="G246" si="31">G247</f>
        <v>4430</v>
      </c>
    </row>
    <row r="247" spans="1:8" ht="15.75" x14ac:dyDescent="0.25">
      <c r="A247" s="45" t="s">
        <v>419</v>
      </c>
      <c r="B247" s="40" t="s">
        <v>1013</v>
      </c>
      <c r="C247" s="40" t="s">
        <v>279</v>
      </c>
      <c r="D247" s="40" t="s">
        <v>133</v>
      </c>
      <c r="E247" s="40"/>
      <c r="F247" s="40"/>
      <c r="G247" s="10">
        <f>G248+G252+G256</f>
        <v>4430</v>
      </c>
    </row>
    <row r="248" spans="1:8" ht="31.5" hidden="1" x14ac:dyDescent="0.25">
      <c r="A248" s="29" t="s">
        <v>293</v>
      </c>
      <c r="B248" s="20" t="s">
        <v>1014</v>
      </c>
      <c r="C248" s="40" t="s">
        <v>279</v>
      </c>
      <c r="D248" s="40" t="s">
        <v>133</v>
      </c>
      <c r="E248" s="40"/>
      <c r="F248" s="40"/>
      <c r="G248" s="10">
        <f t="shared" ref="G248:G249" si="32">G249</f>
        <v>0</v>
      </c>
    </row>
    <row r="249" spans="1:8" ht="31.5" hidden="1" x14ac:dyDescent="0.25">
      <c r="A249" s="29" t="s">
        <v>287</v>
      </c>
      <c r="B249" s="20" t="s">
        <v>1014</v>
      </c>
      <c r="C249" s="40" t="s">
        <v>279</v>
      </c>
      <c r="D249" s="40" t="s">
        <v>133</v>
      </c>
      <c r="E249" s="40" t="s">
        <v>288</v>
      </c>
      <c r="F249" s="40"/>
      <c r="G249" s="10">
        <f t="shared" si="32"/>
        <v>0</v>
      </c>
    </row>
    <row r="250" spans="1:8" ht="15.75" hidden="1" x14ac:dyDescent="0.25">
      <c r="A250" s="29" t="s">
        <v>289</v>
      </c>
      <c r="B250" s="20" t="s">
        <v>1014</v>
      </c>
      <c r="C250" s="40" t="s">
        <v>279</v>
      </c>
      <c r="D250" s="40" t="s">
        <v>133</v>
      </c>
      <c r="E250" s="40" t="s">
        <v>290</v>
      </c>
      <c r="F250" s="40"/>
      <c r="G250" s="10">
        <f>'Пр.6 ведом.20'!G568</f>
        <v>0</v>
      </c>
    </row>
    <row r="251" spans="1:8" s="229" customFormat="1" ht="31.5" hidden="1" x14ac:dyDescent="0.25">
      <c r="A251" s="29" t="s">
        <v>418</v>
      </c>
      <c r="B251" s="20" t="s">
        <v>1014</v>
      </c>
      <c r="C251" s="40" t="s">
        <v>279</v>
      </c>
      <c r="D251" s="40" t="s">
        <v>133</v>
      </c>
      <c r="E251" s="40" t="s">
        <v>290</v>
      </c>
      <c r="F251" s="40" t="s">
        <v>652</v>
      </c>
      <c r="G251" s="10">
        <f>G250</f>
        <v>0</v>
      </c>
      <c r="H251" s="230"/>
    </row>
    <row r="252" spans="1:8" ht="31.5" hidden="1" customHeight="1" x14ac:dyDescent="0.25">
      <c r="A252" s="29" t="s">
        <v>295</v>
      </c>
      <c r="B252" s="20" t="s">
        <v>1015</v>
      </c>
      <c r="C252" s="40" t="s">
        <v>279</v>
      </c>
      <c r="D252" s="40" t="s">
        <v>133</v>
      </c>
      <c r="E252" s="40"/>
      <c r="F252" s="40"/>
      <c r="G252" s="10">
        <f t="shared" ref="G252:G253" si="33">G253</f>
        <v>0</v>
      </c>
    </row>
    <row r="253" spans="1:8" ht="31.5" hidden="1" customHeight="1" x14ac:dyDescent="0.25">
      <c r="A253" s="29" t="s">
        <v>287</v>
      </c>
      <c r="B253" s="20" t="s">
        <v>1015</v>
      </c>
      <c r="C253" s="40" t="s">
        <v>279</v>
      </c>
      <c r="D253" s="40" t="s">
        <v>133</v>
      </c>
      <c r="E253" s="40" t="s">
        <v>288</v>
      </c>
      <c r="F253" s="40"/>
      <c r="G253" s="10">
        <f t="shared" si="33"/>
        <v>0</v>
      </c>
    </row>
    <row r="254" spans="1:8" ht="15.75" hidden="1" customHeight="1" x14ac:dyDescent="0.25">
      <c r="A254" s="29" t="s">
        <v>289</v>
      </c>
      <c r="B254" s="20" t="s">
        <v>1015</v>
      </c>
      <c r="C254" s="40" t="s">
        <v>279</v>
      </c>
      <c r="D254" s="40" t="s">
        <v>133</v>
      </c>
      <c r="E254" s="40" t="s">
        <v>290</v>
      </c>
      <c r="F254" s="40"/>
      <c r="G254" s="10">
        <f>'Пр.6 ведом.20'!G571</f>
        <v>0</v>
      </c>
    </row>
    <row r="255" spans="1:8" s="229" customFormat="1" ht="15.75" hidden="1" customHeight="1" x14ac:dyDescent="0.25">
      <c r="A255" s="29" t="s">
        <v>418</v>
      </c>
      <c r="B255" s="20" t="s">
        <v>1015</v>
      </c>
      <c r="C255" s="40" t="s">
        <v>279</v>
      </c>
      <c r="D255" s="40" t="s">
        <v>133</v>
      </c>
      <c r="E255" s="40" t="s">
        <v>290</v>
      </c>
      <c r="F255" s="40" t="s">
        <v>652</v>
      </c>
      <c r="G255" s="10">
        <f>G254</f>
        <v>0</v>
      </c>
      <c r="H255" s="230"/>
    </row>
    <row r="256" spans="1:8" ht="31.5" x14ac:dyDescent="0.25">
      <c r="A256" s="29" t="s">
        <v>430</v>
      </c>
      <c r="B256" s="20" t="s">
        <v>1016</v>
      </c>
      <c r="C256" s="40" t="s">
        <v>279</v>
      </c>
      <c r="D256" s="40" t="s">
        <v>133</v>
      </c>
      <c r="E256" s="40"/>
      <c r="F256" s="40"/>
      <c r="G256" s="10">
        <f t="shared" ref="G256:G257" si="34">G257</f>
        <v>4430</v>
      </c>
    </row>
    <row r="257" spans="1:8" ht="33.75" customHeight="1" x14ac:dyDescent="0.25">
      <c r="A257" s="29" t="s">
        <v>287</v>
      </c>
      <c r="B257" s="20" t="s">
        <v>1016</v>
      </c>
      <c r="C257" s="40" t="s">
        <v>279</v>
      </c>
      <c r="D257" s="40" t="s">
        <v>133</v>
      </c>
      <c r="E257" s="40" t="s">
        <v>288</v>
      </c>
      <c r="F257" s="40"/>
      <c r="G257" s="10">
        <f t="shared" si="34"/>
        <v>4430</v>
      </c>
    </row>
    <row r="258" spans="1:8" ht="15.75" x14ac:dyDescent="0.25">
      <c r="A258" s="29" t="s">
        <v>289</v>
      </c>
      <c r="B258" s="20" t="s">
        <v>1016</v>
      </c>
      <c r="C258" s="40" t="s">
        <v>279</v>
      </c>
      <c r="D258" s="40" t="s">
        <v>133</v>
      </c>
      <c r="E258" s="40" t="s">
        <v>290</v>
      </c>
      <c r="F258" s="40"/>
      <c r="G258" s="6">
        <f>'Пр.6 ведом.20'!G574</f>
        <v>4430</v>
      </c>
    </row>
    <row r="259" spans="1:8" s="229" customFormat="1" ht="31.5" x14ac:dyDescent="0.25">
      <c r="A259" s="29" t="s">
        <v>418</v>
      </c>
      <c r="B259" s="20" t="s">
        <v>1016</v>
      </c>
      <c r="C259" s="40" t="s">
        <v>279</v>
      </c>
      <c r="D259" s="40" t="s">
        <v>133</v>
      </c>
      <c r="E259" s="40" t="s">
        <v>290</v>
      </c>
      <c r="F259" s="40" t="s">
        <v>652</v>
      </c>
      <c r="G259" s="10">
        <f>G258</f>
        <v>4430</v>
      </c>
      <c r="H259" s="230"/>
    </row>
    <row r="260" spans="1:8" s="229" customFormat="1" ht="31.5" x14ac:dyDescent="0.25">
      <c r="A260" s="281" t="s">
        <v>1082</v>
      </c>
      <c r="B260" s="24" t="s">
        <v>1017</v>
      </c>
      <c r="C260" s="7"/>
      <c r="D260" s="7"/>
      <c r="E260" s="7"/>
      <c r="F260" s="7"/>
      <c r="G260" s="4">
        <f>G261</f>
        <v>4610</v>
      </c>
      <c r="H260" s="230"/>
    </row>
    <row r="261" spans="1:8" s="229" customFormat="1" ht="15.75" x14ac:dyDescent="0.25">
      <c r="A261" s="29" t="s">
        <v>278</v>
      </c>
      <c r="B261" s="40" t="s">
        <v>1017</v>
      </c>
      <c r="C261" s="40" t="s">
        <v>279</v>
      </c>
      <c r="D261" s="40"/>
      <c r="E261" s="40"/>
      <c r="F261" s="40"/>
      <c r="G261" s="10">
        <f t="shared" ref="G261" si="35">G262</f>
        <v>4610</v>
      </c>
      <c r="H261" s="230"/>
    </row>
    <row r="262" spans="1:8" s="229" customFormat="1" ht="15.75" x14ac:dyDescent="0.25">
      <c r="A262" s="45" t="s">
        <v>419</v>
      </c>
      <c r="B262" s="40" t="s">
        <v>1017</v>
      </c>
      <c r="C262" s="40" t="s">
        <v>279</v>
      </c>
      <c r="D262" s="40" t="s">
        <v>133</v>
      </c>
      <c r="E262" s="40"/>
      <c r="F262" s="40"/>
      <c r="G262" s="10">
        <f>G263+G267+G271</f>
        <v>4610</v>
      </c>
      <c r="H262" s="230"/>
    </row>
    <row r="263" spans="1:8" ht="31.5" hidden="1" customHeight="1" x14ac:dyDescent="0.25">
      <c r="A263" s="29" t="s">
        <v>299</v>
      </c>
      <c r="B263" s="20" t="s">
        <v>1018</v>
      </c>
      <c r="C263" s="40" t="s">
        <v>279</v>
      </c>
      <c r="D263" s="40" t="s">
        <v>133</v>
      </c>
      <c r="E263" s="40"/>
      <c r="F263" s="40"/>
      <c r="G263" s="10">
        <f t="shared" ref="G263:G264" si="36">G264</f>
        <v>0</v>
      </c>
    </row>
    <row r="264" spans="1:8" ht="31.5" hidden="1" customHeight="1" x14ac:dyDescent="0.25">
      <c r="A264" s="29" t="s">
        <v>287</v>
      </c>
      <c r="B264" s="20" t="s">
        <v>1018</v>
      </c>
      <c r="C264" s="40" t="s">
        <v>279</v>
      </c>
      <c r="D264" s="40" t="s">
        <v>133</v>
      </c>
      <c r="E264" s="40" t="s">
        <v>288</v>
      </c>
      <c r="F264" s="40"/>
      <c r="G264" s="10">
        <f t="shared" si="36"/>
        <v>0</v>
      </c>
    </row>
    <row r="265" spans="1:8" ht="15.75" hidden="1" customHeight="1" x14ac:dyDescent="0.25">
      <c r="A265" s="29" t="s">
        <v>289</v>
      </c>
      <c r="B265" s="20" t="s">
        <v>1018</v>
      </c>
      <c r="C265" s="40" t="s">
        <v>279</v>
      </c>
      <c r="D265" s="40" t="s">
        <v>133</v>
      </c>
      <c r="E265" s="40" t="s">
        <v>290</v>
      </c>
      <c r="F265" s="40"/>
      <c r="G265" s="10">
        <f>'Пр.6 ведом.20'!G578</f>
        <v>0</v>
      </c>
    </row>
    <row r="266" spans="1:8" s="229" customFormat="1" ht="15.75" hidden="1" customHeight="1" x14ac:dyDescent="0.25">
      <c r="A266" s="29" t="s">
        <v>418</v>
      </c>
      <c r="B266" s="20" t="s">
        <v>1018</v>
      </c>
      <c r="C266" s="40" t="s">
        <v>279</v>
      </c>
      <c r="D266" s="40" t="s">
        <v>133</v>
      </c>
      <c r="E266" s="40" t="s">
        <v>290</v>
      </c>
      <c r="F266" s="40" t="s">
        <v>652</v>
      </c>
      <c r="G266" s="10">
        <f>G265</f>
        <v>0</v>
      </c>
      <c r="H266" s="230"/>
    </row>
    <row r="267" spans="1:8" ht="31.5" x14ac:dyDescent="0.25">
      <c r="A267" s="60" t="s">
        <v>786</v>
      </c>
      <c r="B267" s="20" t="s">
        <v>1019</v>
      </c>
      <c r="C267" s="20" t="s">
        <v>279</v>
      </c>
      <c r="D267" s="20" t="s">
        <v>133</v>
      </c>
      <c r="E267" s="20"/>
      <c r="F267" s="20"/>
      <c r="G267" s="10">
        <f t="shared" ref="G267:G268" si="37">G268</f>
        <v>2850</v>
      </c>
    </row>
    <row r="268" spans="1:8" ht="31.5" x14ac:dyDescent="0.25">
      <c r="A268" s="29" t="s">
        <v>287</v>
      </c>
      <c r="B268" s="20" t="s">
        <v>1019</v>
      </c>
      <c r="C268" s="20" t="s">
        <v>279</v>
      </c>
      <c r="D268" s="20" t="s">
        <v>133</v>
      </c>
      <c r="E268" s="20" t="s">
        <v>288</v>
      </c>
      <c r="F268" s="20"/>
      <c r="G268" s="10">
        <f t="shared" si="37"/>
        <v>2850</v>
      </c>
    </row>
    <row r="269" spans="1:8" ht="15.75" x14ac:dyDescent="0.25">
      <c r="A269" s="195" t="s">
        <v>289</v>
      </c>
      <c r="B269" s="20" t="s">
        <v>1019</v>
      </c>
      <c r="C269" s="20" t="s">
        <v>279</v>
      </c>
      <c r="D269" s="20" t="s">
        <v>133</v>
      </c>
      <c r="E269" s="20" t="s">
        <v>290</v>
      </c>
      <c r="F269" s="20"/>
      <c r="G269" s="10">
        <f>'Пр.6 ведом.20'!G581</f>
        <v>2850</v>
      </c>
    </row>
    <row r="270" spans="1:8" s="229" customFormat="1" ht="31.5" x14ac:dyDescent="0.25">
      <c r="A270" s="29" t="s">
        <v>418</v>
      </c>
      <c r="B270" s="20" t="s">
        <v>1019</v>
      </c>
      <c r="C270" s="40" t="s">
        <v>279</v>
      </c>
      <c r="D270" s="40" t="s">
        <v>133</v>
      </c>
      <c r="E270" s="40" t="s">
        <v>290</v>
      </c>
      <c r="F270" s="40" t="s">
        <v>652</v>
      </c>
      <c r="G270" s="10">
        <f>G269</f>
        <v>2850</v>
      </c>
      <c r="H270" s="230"/>
    </row>
    <row r="271" spans="1:8" ht="47.25" x14ac:dyDescent="0.25">
      <c r="A271" s="60" t="s">
        <v>787</v>
      </c>
      <c r="B271" s="20" t="s">
        <v>1020</v>
      </c>
      <c r="C271" s="20" t="s">
        <v>279</v>
      </c>
      <c r="D271" s="20" t="s">
        <v>133</v>
      </c>
      <c r="E271" s="20"/>
      <c r="F271" s="20"/>
      <c r="G271" s="10">
        <f t="shared" ref="G271:G272" si="38">G272</f>
        <v>1760</v>
      </c>
    </row>
    <row r="272" spans="1:8" ht="31.5" x14ac:dyDescent="0.25">
      <c r="A272" s="29" t="s">
        <v>287</v>
      </c>
      <c r="B272" s="20" t="s">
        <v>1020</v>
      </c>
      <c r="C272" s="20" t="s">
        <v>279</v>
      </c>
      <c r="D272" s="20" t="s">
        <v>133</v>
      </c>
      <c r="E272" s="20" t="s">
        <v>288</v>
      </c>
      <c r="F272" s="20"/>
      <c r="G272" s="10">
        <f t="shared" si="38"/>
        <v>1760</v>
      </c>
    </row>
    <row r="273" spans="1:8" ht="15.75" x14ac:dyDescent="0.25">
      <c r="A273" s="195" t="s">
        <v>289</v>
      </c>
      <c r="B273" s="20" t="s">
        <v>1020</v>
      </c>
      <c r="C273" s="20" t="s">
        <v>279</v>
      </c>
      <c r="D273" s="20" t="s">
        <v>133</v>
      </c>
      <c r="E273" s="20" t="s">
        <v>290</v>
      </c>
      <c r="F273" s="20"/>
      <c r="G273" s="10">
        <f>'Пр.6 ведом.20'!G584</f>
        <v>1760</v>
      </c>
    </row>
    <row r="274" spans="1:8" s="229" customFormat="1" ht="31.5" x14ac:dyDescent="0.25">
      <c r="A274" s="29" t="s">
        <v>418</v>
      </c>
      <c r="B274" s="20" t="s">
        <v>1020</v>
      </c>
      <c r="C274" s="40" t="s">
        <v>279</v>
      </c>
      <c r="D274" s="40" t="s">
        <v>133</v>
      </c>
      <c r="E274" s="40" t="s">
        <v>290</v>
      </c>
      <c r="F274" s="40" t="s">
        <v>652</v>
      </c>
      <c r="G274" s="10">
        <f>G273</f>
        <v>1760</v>
      </c>
      <c r="H274" s="230"/>
    </row>
    <row r="275" spans="1:8" s="229" customFormat="1" ht="63" x14ac:dyDescent="0.25">
      <c r="A275" s="23" t="s">
        <v>1021</v>
      </c>
      <c r="B275" s="24" t="s">
        <v>1022</v>
      </c>
      <c r="C275" s="24"/>
      <c r="D275" s="24"/>
      <c r="E275" s="24"/>
      <c r="F275" s="24"/>
      <c r="G275" s="59">
        <f>G276</f>
        <v>291.10000000000002</v>
      </c>
      <c r="H275" s="230"/>
    </row>
    <row r="276" spans="1:8" s="229" customFormat="1" ht="15.75" x14ac:dyDescent="0.25">
      <c r="A276" s="29" t="s">
        <v>278</v>
      </c>
      <c r="B276" s="40" t="s">
        <v>1022</v>
      </c>
      <c r="C276" s="40" t="s">
        <v>279</v>
      </c>
      <c r="D276" s="40"/>
      <c r="E276" s="40"/>
      <c r="F276" s="40"/>
      <c r="G276" s="10">
        <f t="shared" ref="G276" si="39">G277</f>
        <v>291.10000000000002</v>
      </c>
      <c r="H276" s="230"/>
    </row>
    <row r="277" spans="1:8" s="229" customFormat="1" ht="15.75" x14ac:dyDescent="0.25">
      <c r="A277" s="45" t="s">
        <v>419</v>
      </c>
      <c r="B277" s="40" t="s">
        <v>1022</v>
      </c>
      <c r="C277" s="40" t="s">
        <v>279</v>
      </c>
      <c r="D277" s="40" t="s">
        <v>133</v>
      </c>
      <c r="E277" s="40"/>
      <c r="F277" s="40"/>
      <c r="G277" s="10">
        <f>G278+G282</f>
        <v>291.10000000000002</v>
      </c>
      <c r="H277" s="230"/>
    </row>
    <row r="278" spans="1:8" ht="126" x14ac:dyDescent="0.25">
      <c r="A278" s="25" t="s">
        <v>438</v>
      </c>
      <c r="B278" s="20" t="s">
        <v>1023</v>
      </c>
      <c r="C278" s="20" t="s">
        <v>279</v>
      </c>
      <c r="D278" s="20" t="s">
        <v>133</v>
      </c>
      <c r="E278" s="20"/>
      <c r="F278" s="20"/>
      <c r="G278" s="10">
        <f>G279</f>
        <v>124.4</v>
      </c>
    </row>
    <row r="279" spans="1:8" ht="31.5" x14ac:dyDescent="0.25">
      <c r="A279" s="25" t="s">
        <v>287</v>
      </c>
      <c r="B279" s="20" t="s">
        <v>1023</v>
      </c>
      <c r="C279" s="20" t="s">
        <v>279</v>
      </c>
      <c r="D279" s="20" t="s">
        <v>133</v>
      </c>
      <c r="E279" s="20" t="s">
        <v>288</v>
      </c>
      <c r="F279" s="20"/>
      <c r="G279" s="10">
        <f>G280</f>
        <v>124.4</v>
      </c>
    </row>
    <row r="280" spans="1:8" ht="15.75" x14ac:dyDescent="0.25">
      <c r="A280" s="25" t="s">
        <v>289</v>
      </c>
      <c r="B280" s="20" t="s">
        <v>1023</v>
      </c>
      <c r="C280" s="20" t="s">
        <v>279</v>
      </c>
      <c r="D280" s="20" t="s">
        <v>133</v>
      </c>
      <c r="E280" s="20" t="s">
        <v>290</v>
      </c>
      <c r="F280" s="20"/>
      <c r="G280" s="10">
        <f>'Пр.6 ведом.20'!G588</f>
        <v>124.4</v>
      </c>
    </row>
    <row r="281" spans="1:8" s="229" customFormat="1" ht="31.5" x14ac:dyDescent="0.25">
      <c r="A281" s="29" t="s">
        <v>418</v>
      </c>
      <c r="B281" s="20" t="s">
        <v>1023</v>
      </c>
      <c r="C281" s="40" t="s">
        <v>279</v>
      </c>
      <c r="D281" s="40" t="s">
        <v>133</v>
      </c>
      <c r="E281" s="40" t="s">
        <v>290</v>
      </c>
      <c r="F281" s="40" t="s">
        <v>652</v>
      </c>
      <c r="G281" s="10">
        <f>G280</f>
        <v>124.4</v>
      </c>
      <c r="H281" s="230"/>
    </row>
    <row r="282" spans="1:8" s="229" customFormat="1" ht="126" x14ac:dyDescent="0.25">
      <c r="A282" s="25" t="s">
        <v>438</v>
      </c>
      <c r="B282" s="20" t="s">
        <v>1024</v>
      </c>
      <c r="C282" s="20" t="s">
        <v>279</v>
      </c>
      <c r="D282" s="20" t="s">
        <v>133</v>
      </c>
      <c r="E282" s="20"/>
      <c r="F282" s="20"/>
      <c r="G282" s="10">
        <f>G283</f>
        <v>166.7</v>
      </c>
      <c r="H282" s="230"/>
    </row>
    <row r="283" spans="1:8" s="229" customFormat="1" ht="31.5" x14ac:dyDescent="0.25">
      <c r="A283" s="25" t="s">
        <v>287</v>
      </c>
      <c r="B283" s="20" t="s">
        <v>1024</v>
      </c>
      <c r="C283" s="20" t="s">
        <v>279</v>
      </c>
      <c r="D283" s="20" t="s">
        <v>133</v>
      </c>
      <c r="E283" s="20" t="s">
        <v>288</v>
      </c>
      <c r="F283" s="20"/>
      <c r="G283" s="10">
        <f>G284</f>
        <v>166.7</v>
      </c>
      <c r="H283" s="230"/>
    </row>
    <row r="284" spans="1:8" s="229" customFormat="1" ht="15.75" x14ac:dyDescent="0.25">
      <c r="A284" s="25" t="s">
        <v>289</v>
      </c>
      <c r="B284" s="20" t="s">
        <v>1024</v>
      </c>
      <c r="C284" s="20" t="s">
        <v>279</v>
      </c>
      <c r="D284" s="20" t="s">
        <v>133</v>
      </c>
      <c r="E284" s="20" t="s">
        <v>290</v>
      </c>
      <c r="F284" s="20"/>
      <c r="G284" s="10">
        <f>'Пр.5 Рд,пр, ЦС,ВР 20'!F530</f>
        <v>166.7</v>
      </c>
      <c r="H284" s="230"/>
    </row>
    <row r="285" spans="1:8" s="229" customFormat="1" ht="31.5" x14ac:dyDescent="0.25">
      <c r="A285" s="29" t="s">
        <v>418</v>
      </c>
      <c r="B285" s="20" t="s">
        <v>1024</v>
      </c>
      <c r="C285" s="40" t="s">
        <v>279</v>
      </c>
      <c r="D285" s="40" t="s">
        <v>133</v>
      </c>
      <c r="E285" s="40" t="s">
        <v>290</v>
      </c>
      <c r="F285" s="40" t="s">
        <v>652</v>
      </c>
      <c r="G285" s="10">
        <f>G284</f>
        <v>166.7</v>
      </c>
      <c r="H285" s="230"/>
    </row>
    <row r="286" spans="1:8" s="229" customFormat="1" ht="94.5" x14ac:dyDescent="0.25">
      <c r="A286" s="23" t="s">
        <v>1426</v>
      </c>
      <c r="B286" s="24" t="s">
        <v>1424</v>
      </c>
      <c r="C286" s="24"/>
      <c r="D286" s="24"/>
      <c r="E286" s="40"/>
      <c r="F286" s="40"/>
      <c r="G286" s="59">
        <f>G287</f>
        <v>1666.6</v>
      </c>
      <c r="H286" s="230"/>
    </row>
    <row r="287" spans="1:8" s="229" customFormat="1" ht="15.75" x14ac:dyDescent="0.25">
      <c r="A287" s="29" t="s">
        <v>278</v>
      </c>
      <c r="B287" s="20" t="s">
        <v>1424</v>
      </c>
      <c r="C287" s="20" t="s">
        <v>279</v>
      </c>
      <c r="D287" s="20"/>
      <c r="E287" s="40"/>
      <c r="F287" s="40"/>
      <c r="G287" s="10">
        <f>G288</f>
        <v>1666.6</v>
      </c>
      <c r="H287" s="230"/>
    </row>
    <row r="288" spans="1:8" s="229" customFormat="1" ht="15.75" x14ac:dyDescent="0.25">
      <c r="A288" s="45" t="s">
        <v>419</v>
      </c>
      <c r="B288" s="20" t="s">
        <v>1424</v>
      </c>
      <c r="C288" s="20" t="s">
        <v>279</v>
      </c>
      <c r="D288" s="20" t="s">
        <v>133</v>
      </c>
      <c r="E288" s="40"/>
      <c r="F288" s="40"/>
      <c r="G288" s="10">
        <f>G289+G293</f>
        <v>1666.6</v>
      </c>
      <c r="H288" s="230"/>
    </row>
    <row r="289" spans="1:8" s="229" customFormat="1" ht="78.75" x14ac:dyDescent="0.25">
      <c r="A289" s="153" t="s">
        <v>1429</v>
      </c>
      <c r="B289" s="20" t="s">
        <v>1428</v>
      </c>
      <c r="C289" s="20" t="s">
        <v>279</v>
      </c>
      <c r="D289" s="20" t="s">
        <v>133</v>
      </c>
      <c r="E289" s="40"/>
      <c r="F289" s="40"/>
      <c r="G289" s="10">
        <f>G290</f>
        <v>0</v>
      </c>
      <c r="H289" s="230"/>
    </row>
    <row r="290" spans="1:8" s="229" customFormat="1" ht="31.5" x14ac:dyDescent="0.25">
      <c r="A290" s="25" t="s">
        <v>287</v>
      </c>
      <c r="B290" s="20" t="s">
        <v>1428</v>
      </c>
      <c r="C290" s="20" t="s">
        <v>279</v>
      </c>
      <c r="D290" s="20" t="s">
        <v>133</v>
      </c>
      <c r="E290" s="20" t="s">
        <v>288</v>
      </c>
      <c r="F290" s="40"/>
      <c r="G290" s="10">
        <f>G291</f>
        <v>0</v>
      </c>
      <c r="H290" s="230"/>
    </row>
    <row r="291" spans="1:8" s="229" customFormat="1" ht="15.75" x14ac:dyDescent="0.25">
      <c r="A291" s="25" t="s">
        <v>289</v>
      </c>
      <c r="B291" s="20" t="s">
        <v>1428</v>
      </c>
      <c r="C291" s="20" t="s">
        <v>279</v>
      </c>
      <c r="D291" s="20" t="s">
        <v>133</v>
      </c>
      <c r="E291" s="20" t="s">
        <v>290</v>
      </c>
      <c r="F291" s="40"/>
      <c r="G291" s="10">
        <f>'Пр.6 ведом.20'!G595</f>
        <v>0</v>
      </c>
      <c r="H291" s="230"/>
    </row>
    <row r="292" spans="1:8" s="229" customFormat="1" ht="31.5" x14ac:dyDescent="0.25">
      <c r="A292" s="29" t="s">
        <v>418</v>
      </c>
      <c r="B292" s="20" t="s">
        <v>1428</v>
      </c>
      <c r="C292" s="20" t="s">
        <v>279</v>
      </c>
      <c r="D292" s="20" t="s">
        <v>133</v>
      </c>
      <c r="E292" s="20" t="s">
        <v>290</v>
      </c>
      <c r="F292" s="40" t="s">
        <v>652</v>
      </c>
      <c r="G292" s="10">
        <f>G287</f>
        <v>1666.6</v>
      </c>
      <c r="H292" s="230"/>
    </row>
    <row r="293" spans="1:8" s="229" customFormat="1" ht="94.5" x14ac:dyDescent="0.25">
      <c r="A293" s="153" t="s">
        <v>1425</v>
      </c>
      <c r="B293" s="20" t="s">
        <v>1427</v>
      </c>
      <c r="C293" s="20" t="s">
        <v>279</v>
      </c>
      <c r="D293" s="20" t="s">
        <v>133</v>
      </c>
      <c r="E293" s="20"/>
      <c r="F293" s="40"/>
      <c r="G293" s="10">
        <f>G294</f>
        <v>1666.6</v>
      </c>
      <c r="H293" s="230"/>
    </row>
    <row r="294" spans="1:8" s="229" customFormat="1" ht="31.5" x14ac:dyDescent="0.25">
      <c r="A294" s="25" t="s">
        <v>287</v>
      </c>
      <c r="B294" s="20" t="s">
        <v>1427</v>
      </c>
      <c r="C294" s="20" t="s">
        <v>279</v>
      </c>
      <c r="D294" s="20" t="s">
        <v>133</v>
      </c>
      <c r="E294" s="20" t="s">
        <v>288</v>
      </c>
      <c r="F294" s="40"/>
      <c r="G294" s="10">
        <f>G295</f>
        <v>1666.6</v>
      </c>
      <c r="H294" s="230"/>
    </row>
    <row r="295" spans="1:8" s="229" customFormat="1" ht="15.75" x14ac:dyDescent="0.25">
      <c r="A295" s="25" t="s">
        <v>289</v>
      </c>
      <c r="B295" s="20" t="s">
        <v>1427</v>
      </c>
      <c r="C295" s="20" t="s">
        <v>279</v>
      </c>
      <c r="D295" s="20" t="s">
        <v>133</v>
      </c>
      <c r="E295" s="20" t="s">
        <v>290</v>
      </c>
      <c r="F295" s="40"/>
      <c r="G295" s="10">
        <f>'Пр.6 ведом.20'!G598</f>
        <v>1666.6</v>
      </c>
      <c r="H295" s="230"/>
    </row>
    <row r="296" spans="1:8" s="229" customFormat="1" ht="31.5" x14ac:dyDescent="0.25">
      <c r="A296" s="29" t="s">
        <v>418</v>
      </c>
      <c r="B296" s="20" t="s">
        <v>1428</v>
      </c>
      <c r="C296" s="20" t="s">
        <v>279</v>
      </c>
      <c r="D296" s="20" t="s">
        <v>133</v>
      </c>
      <c r="E296" s="20" t="s">
        <v>290</v>
      </c>
      <c r="F296" s="40" t="s">
        <v>652</v>
      </c>
      <c r="G296" s="10">
        <f>G293</f>
        <v>1666.6</v>
      </c>
      <c r="H296" s="230"/>
    </row>
    <row r="297" spans="1:8" ht="31.5" x14ac:dyDescent="0.25">
      <c r="A297" s="41" t="s">
        <v>445</v>
      </c>
      <c r="B297" s="7" t="s">
        <v>446</v>
      </c>
      <c r="C297" s="7"/>
      <c r="D297" s="7"/>
      <c r="E297" s="7"/>
      <c r="F297" s="7"/>
      <c r="G297" s="4">
        <f>G298+G317+G328+G339+G350+G357</f>
        <v>9957.8000000000011</v>
      </c>
    </row>
    <row r="298" spans="1:8" s="229" customFormat="1" ht="31.5" x14ac:dyDescent="0.25">
      <c r="A298" s="23" t="s">
        <v>1034</v>
      </c>
      <c r="B298" s="24" t="s">
        <v>1035</v>
      </c>
      <c r="C298" s="7"/>
      <c r="D298" s="7"/>
      <c r="E298" s="7"/>
      <c r="F298" s="7"/>
      <c r="G298" s="4">
        <f>G299</f>
        <v>224</v>
      </c>
      <c r="H298" s="230"/>
    </row>
    <row r="299" spans="1:8" ht="15.75" x14ac:dyDescent="0.25">
      <c r="A299" s="29" t="s">
        <v>278</v>
      </c>
      <c r="B299" s="40" t="s">
        <v>1035</v>
      </c>
      <c r="C299" s="40" t="s">
        <v>279</v>
      </c>
      <c r="D299" s="40"/>
      <c r="E299" s="40"/>
      <c r="F299" s="40"/>
      <c r="G299" s="10">
        <f t="shared" ref="G299" si="40">G300</f>
        <v>224</v>
      </c>
    </row>
    <row r="300" spans="1:8" ht="15.75" x14ac:dyDescent="0.25">
      <c r="A300" s="29" t="s">
        <v>440</v>
      </c>
      <c r="B300" s="40" t="s">
        <v>1035</v>
      </c>
      <c r="C300" s="40" t="s">
        <v>279</v>
      </c>
      <c r="D300" s="40" t="s">
        <v>228</v>
      </c>
      <c r="E300" s="40"/>
      <c r="F300" s="40"/>
      <c r="G300" s="10">
        <f>G301+G305+G309+G313</f>
        <v>224</v>
      </c>
    </row>
    <row r="301" spans="1:8" ht="47.25" hidden="1" x14ac:dyDescent="0.25">
      <c r="A301" s="25" t="s">
        <v>812</v>
      </c>
      <c r="B301" s="20" t="s">
        <v>1039</v>
      </c>
      <c r="C301" s="40" t="s">
        <v>279</v>
      </c>
      <c r="D301" s="40" t="s">
        <v>228</v>
      </c>
      <c r="E301" s="40"/>
      <c r="F301" s="40"/>
      <c r="G301" s="6">
        <f>G302</f>
        <v>0</v>
      </c>
    </row>
    <row r="302" spans="1:8" ht="31.5" hidden="1" x14ac:dyDescent="0.25">
      <c r="A302" s="25" t="s">
        <v>287</v>
      </c>
      <c r="B302" s="20" t="s">
        <v>1039</v>
      </c>
      <c r="C302" s="40" t="s">
        <v>279</v>
      </c>
      <c r="D302" s="40" t="s">
        <v>228</v>
      </c>
      <c r="E302" s="40" t="s">
        <v>288</v>
      </c>
      <c r="F302" s="40"/>
      <c r="G302" s="6">
        <f>G303</f>
        <v>0</v>
      </c>
    </row>
    <row r="303" spans="1:8" ht="15.75" hidden="1" x14ac:dyDescent="0.25">
      <c r="A303" s="25" t="s">
        <v>289</v>
      </c>
      <c r="B303" s="20" t="s">
        <v>1039</v>
      </c>
      <c r="C303" s="40" t="s">
        <v>279</v>
      </c>
      <c r="D303" s="40" t="s">
        <v>228</v>
      </c>
      <c r="E303" s="40" t="s">
        <v>290</v>
      </c>
      <c r="F303" s="40"/>
      <c r="G303" s="6">
        <f>'Пр.6 ведом.20'!G642</f>
        <v>0</v>
      </c>
    </row>
    <row r="304" spans="1:8" s="229" customFormat="1" ht="31.5" hidden="1" x14ac:dyDescent="0.25">
      <c r="A304" s="29" t="s">
        <v>418</v>
      </c>
      <c r="B304" s="20" t="s">
        <v>1039</v>
      </c>
      <c r="C304" s="40" t="s">
        <v>279</v>
      </c>
      <c r="D304" s="40" t="s">
        <v>228</v>
      </c>
      <c r="E304" s="40" t="s">
        <v>290</v>
      </c>
      <c r="F304" s="40" t="s">
        <v>652</v>
      </c>
      <c r="G304" s="10">
        <f>G303</f>
        <v>0</v>
      </c>
      <c r="H304" s="230"/>
    </row>
    <row r="305" spans="1:8" ht="31.5" hidden="1" x14ac:dyDescent="0.25">
      <c r="A305" s="25" t="s">
        <v>293</v>
      </c>
      <c r="B305" s="20" t="s">
        <v>1040</v>
      </c>
      <c r="C305" s="40" t="s">
        <v>279</v>
      </c>
      <c r="D305" s="40" t="s">
        <v>228</v>
      </c>
      <c r="E305" s="40"/>
      <c r="F305" s="40"/>
      <c r="G305" s="6">
        <f t="shared" ref="G305:G306" si="41">G306</f>
        <v>0</v>
      </c>
    </row>
    <row r="306" spans="1:8" ht="31.5" hidden="1" x14ac:dyDescent="0.25">
      <c r="A306" s="25" t="s">
        <v>287</v>
      </c>
      <c r="B306" s="20" t="s">
        <v>1040</v>
      </c>
      <c r="C306" s="40" t="s">
        <v>279</v>
      </c>
      <c r="D306" s="40" t="s">
        <v>228</v>
      </c>
      <c r="E306" s="40" t="s">
        <v>288</v>
      </c>
      <c r="F306" s="40"/>
      <c r="G306" s="6">
        <f t="shared" si="41"/>
        <v>0</v>
      </c>
    </row>
    <row r="307" spans="1:8" ht="15.75" hidden="1" x14ac:dyDescent="0.25">
      <c r="A307" s="25" t="s">
        <v>289</v>
      </c>
      <c r="B307" s="20" t="s">
        <v>1040</v>
      </c>
      <c r="C307" s="40" t="s">
        <v>279</v>
      </c>
      <c r="D307" s="40" t="s">
        <v>228</v>
      </c>
      <c r="E307" s="40" t="s">
        <v>290</v>
      </c>
      <c r="F307" s="40"/>
      <c r="G307" s="6">
        <f>'Пр.6 ведом.20'!G645</f>
        <v>0</v>
      </c>
    </row>
    <row r="308" spans="1:8" s="229" customFormat="1" ht="31.5" hidden="1" x14ac:dyDescent="0.25">
      <c r="A308" s="29" t="s">
        <v>418</v>
      </c>
      <c r="B308" s="20" t="s">
        <v>1040</v>
      </c>
      <c r="C308" s="40" t="s">
        <v>279</v>
      </c>
      <c r="D308" s="40" t="s">
        <v>228</v>
      </c>
      <c r="E308" s="40" t="s">
        <v>290</v>
      </c>
      <c r="F308" s="40" t="s">
        <v>652</v>
      </c>
      <c r="G308" s="10">
        <f>G307</f>
        <v>0</v>
      </c>
      <c r="H308" s="230"/>
    </row>
    <row r="309" spans="1:8" ht="31.5" hidden="1" customHeight="1" x14ac:dyDescent="0.25">
      <c r="A309" s="25" t="s">
        <v>295</v>
      </c>
      <c r="B309" s="20" t="s">
        <v>1041</v>
      </c>
      <c r="C309" s="40" t="s">
        <v>279</v>
      </c>
      <c r="D309" s="40" t="s">
        <v>228</v>
      </c>
      <c r="E309" s="40"/>
      <c r="F309" s="40"/>
      <c r="G309" s="6">
        <f t="shared" ref="G309:G310" si="42">G310</f>
        <v>0</v>
      </c>
    </row>
    <row r="310" spans="1:8" ht="31.5" hidden="1" customHeight="1" x14ac:dyDescent="0.25">
      <c r="A310" s="25" t="s">
        <v>287</v>
      </c>
      <c r="B310" s="20" t="s">
        <v>1041</v>
      </c>
      <c r="C310" s="40" t="s">
        <v>279</v>
      </c>
      <c r="D310" s="40" t="s">
        <v>228</v>
      </c>
      <c r="E310" s="40" t="s">
        <v>288</v>
      </c>
      <c r="F310" s="40"/>
      <c r="G310" s="6">
        <f t="shared" si="42"/>
        <v>0</v>
      </c>
    </row>
    <row r="311" spans="1:8" ht="15.75" hidden="1" customHeight="1" x14ac:dyDescent="0.25">
      <c r="A311" s="25" t="s">
        <v>289</v>
      </c>
      <c r="B311" s="20" t="s">
        <v>1041</v>
      </c>
      <c r="C311" s="40" t="s">
        <v>279</v>
      </c>
      <c r="D311" s="40" t="s">
        <v>228</v>
      </c>
      <c r="E311" s="40" t="s">
        <v>290</v>
      </c>
      <c r="F311" s="40"/>
      <c r="G311" s="6">
        <f>'Пр.6 ведом.20'!G648</f>
        <v>0</v>
      </c>
    </row>
    <row r="312" spans="1:8" s="229" customFormat="1" ht="15.75" hidden="1" customHeight="1" x14ac:dyDescent="0.25">
      <c r="A312" s="29" t="s">
        <v>418</v>
      </c>
      <c r="B312" s="20" t="s">
        <v>1041</v>
      </c>
      <c r="C312" s="40" t="s">
        <v>279</v>
      </c>
      <c r="D312" s="40" t="s">
        <v>228</v>
      </c>
      <c r="E312" s="40" t="s">
        <v>290</v>
      </c>
      <c r="F312" s="40" t="s">
        <v>652</v>
      </c>
      <c r="G312" s="10">
        <f>G311</f>
        <v>0</v>
      </c>
      <c r="H312" s="230"/>
    </row>
    <row r="313" spans="1:8" ht="31.5" x14ac:dyDescent="0.25">
      <c r="A313" s="29" t="s">
        <v>297</v>
      </c>
      <c r="B313" s="20" t="s">
        <v>1042</v>
      </c>
      <c r="C313" s="40" t="s">
        <v>279</v>
      </c>
      <c r="D313" s="40" t="s">
        <v>228</v>
      </c>
      <c r="E313" s="40"/>
      <c r="F313" s="40"/>
      <c r="G313" s="10">
        <f t="shared" ref="G313:G314" si="43">G314</f>
        <v>224</v>
      </c>
    </row>
    <row r="314" spans="1:8" ht="31.5" x14ac:dyDescent="0.25">
      <c r="A314" s="29" t="s">
        <v>287</v>
      </c>
      <c r="B314" s="20" t="s">
        <v>1042</v>
      </c>
      <c r="C314" s="40" t="s">
        <v>279</v>
      </c>
      <c r="D314" s="40" t="s">
        <v>228</v>
      </c>
      <c r="E314" s="40" t="s">
        <v>288</v>
      </c>
      <c r="F314" s="40"/>
      <c r="G314" s="10">
        <f t="shared" si="43"/>
        <v>224</v>
      </c>
    </row>
    <row r="315" spans="1:8" ht="21.75" customHeight="1" x14ac:dyDescent="0.25">
      <c r="A315" s="29" t="s">
        <v>289</v>
      </c>
      <c r="B315" s="20" t="s">
        <v>1042</v>
      </c>
      <c r="C315" s="40" t="s">
        <v>279</v>
      </c>
      <c r="D315" s="40" t="s">
        <v>228</v>
      </c>
      <c r="E315" s="40" t="s">
        <v>290</v>
      </c>
      <c r="F315" s="40"/>
      <c r="G315" s="10">
        <f>'Пр.6 ведом.20'!G651</f>
        <v>224</v>
      </c>
    </row>
    <row r="316" spans="1:8" s="229" customFormat="1" ht="33" customHeight="1" x14ac:dyDescent="0.25">
      <c r="A316" s="29" t="s">
        <v>418</v>
      </c>
      <c r="B316" s="20" t="s">
        <v>1042</v>
      </c>
      <c r="C316" s="40" t="s">
        <v>279</v>
      </c>
      <c r="D316" s="40" t="s">
        <v>228</v>
      </c>
      <c r="E316" s="40" t="s">
        <v>290</v>
      </c>
      <c r="F316" s="40" t="s">
        <v>652</v>
      </c>
      <c r="G316" s="10">
        <f>G315</f>
        <v>224</v>
      </c>
      <c r="H316" s="230"/>
    </row>
    <row r="317" spans="1:8" s="229" customFormat="1" ht="33" customHeight="1" x14ac:dyDescent="0.25">
      <c r="A317" s="23" t="s">
        <v>1036</v>
      </c>
      <c r="B317" s="24" t="s">
        <v>1037</v>
      </c>
      <c r="C317" s="7"/>
      <c r="D317" s="7"/>
      <c r="E317" s="7"/>
      <c r="F317" s="7"/>
      <c r="G317" s="59">
        <f>G320+G324</f>
        <v>3940</v>
      </c>
      <c r="H317" s="230"/>
    </row>
    <row r="318" spans="1:8" s="229" customFormat="1" ht="17.25" customHeight="1" x14ac:dyDescent="0.25">
      <c r="A318" s="29" t="s">
        <v>278</v>
      </c>
      <c r="B318" s="40" t="s">
        <v>1037</v>
      </c>
      <c r="C318" s="40" t="s">
        <v>279</v>
      </c>
      <c r="D318" s="40"/>
      <c r="E318" s="40"/>
      <c r="F318" s="40"/>
      <c r="G318" s="10">
        <f t="shared" ref="G318" si="44">G319</f>
        <v>3940</v>
      </c>
      <c r="H318" s="230"/>
    </row>
    <row r="319" spans="1:8" s="229" customFormat="1" ht="15.75" customHeight="1" x14ac:dyDescent="0.25">
      <c r="A319" s="29" t="s">
        <v>440</v>
      </c>
      <c r="B319" s="40" t="s">
        <v>1037</v>
      </c>
      <c r="C319" s="40" t="s">
        <v>279</v>
      </c>
      <c r="D319" s="40" t="s">
        <v>228</v>
      </c>
      <c r="E319" s="40"/>
      <c r="F319" s="40"/>
      <c r="G319" s="10">
        <f>G320+G324</f>
        <v>3940</v>
      </c>
      <c r="H319" s="230"/>
    </row>
    <row r="320" spans="1:8" s="229" customFormat="1" ht="47.25" customHeight="1" x14ac:dyDescent="0.25">
      <c r="A320" s="29" t="s">
        <v>618</v>
      </c>
      <c r="B320" s="20" t="s">
        <v>1043</v>
      </c>
      <c r="C320" s="40" t="s">
        <v>279</v>
      </c>
      <c r="D320" s="40" t="s">
        <v>228</v>
      </c>
      <c r="E320" s="40"/>
      <c r="F320" s="40"/>
      <c r="G320" s="10">
        <f t="shared" ref="G320:G321" si="45">G321</f>
        <v>2200</v>
      </c>
      <c r="H320" s="230"/>
    </row>
    <row r="321" spans="1:8" s="229" customFormat="1" ht="36.75" customHeight="1" x14ac:dyDescent="0.25">
      <c r="A321" s="29" t="s">
        <v>287</v>
      </c>
      <c r="B321" s="20" t="s">
        <v>1043</v>
      </c>
      <c r="C321" s="40" t="s">
        <v>279</v>
      </c>
      <c r="D321" s="40" t="s">
        <v>228</v>
      </c>
      <c r="E321" s="40" t="s">
        <v>288</v>
      </c>
      <c r="F321" s="40"/>
      <c r="G321" s="10">
        <f t="shared" si="45"/>
        <v>2200</v>
      </c>
      <c r="H321" s="230"/>
    </row>
    <row r="322" spans="1:8" s="229" customFormat="1" ht="18" customHeight="1" x14ac:dyDescent="0.25">
      <c r="A322" s="29" t="s">
        <v>289</v>
      </c>
      <c r="B322" s="20" t="s">
        <v>1043</v>
      </c>
      <c r="C322" s="40" t="s">
        <v>279</v>
      </c>
      <c r="D322" s="40" t="s">
        <v>228</v>
      </c>
      <c r="E322" s="40" t="s">
        <v>290</v>
      </c>
      <c r="F322" s="40"/>
      <c r="G322" s="6">
        <f>'Пр.6 ведом.20'!G655</f>
        <v>2200</v>
      </c>
      <c r="H322" s="230"/>
    </row>
    <row r="323" spans="1:8" s="229" customFormat="1" ht="36.75" customHeight="1" x14ac:dyDescent="0.25">
      <c r="A323" s="29" t="s">
        <v>418</v>
      </c>
      <c r="B323" s="20" t="s">
        <v>1043</v>
      </c>
      <c r="C323" s="40" t="s">
        <v>279</v>
      </c>
      <c r="D323" s="40" t="s">
        <v>228</v>
      </c>
      <c r="E323" s="40" t="s">
        <v>290</v>
      </c>
      <c r="F323" s="40" t="s">
        <v>652</v>
      </c>
      <c r="G323" s="10">
        <f>G322</f>
        <v>2200</v>
      </c>
      <c r="H323" s="230"/>
    </row>
    <row r="324" spans="1:8" s="229" customFormat="1" ht="36" customHeight="1" x14ac:dyDescent="0.25">
      <c r="A324" s="25" t="s">
        <v>471</v>
      </c>
      <c r="B324" s="20" t="s">
        <v>1044</v>
      </c>
      <c r="C324" s="40" t="s">
        <v>279</v>
      </c>
      <c r="D324" s="40" t="s">
        <v>228</v>
      </c>
      <c r="E324" s="40"/>
      <c r="F324" s="40"/>
      <c r="G324" s="10">
        <f>G325</f>
        <v>1740</v>
      </c>
      <c r="H324" s="230"/>
    </row>
    <row r="325" spans="1:8" s="229" customFormat="1" ht="36.75" customHeight="1" x14ac:dyDescent="0.25">
      <c r="A325" s="25" t="s">
        <v>287</v>
      </c>
      <c r="B325" s="20" t="s">
        <v>1044</v>
      </c>
      <c r="C325" s="40" t="s">
        <v>279</v>
      </c>
      <c r="D325" s="40" t="s">
        <v>228</v>
      </c>
      <c r="E325" s="40" t="s">
        <v>288</v>
      </c>
      <c r="F325" s="40"/>
      <c r="G325" s="10">
        <f>G326</f>
        <v>1740</v>
      </c>
      <c r="H325" s="230"/>
    </row>
    <row r="326" spans="1:8" s="229" customFormat="1" ht="15.75" customHeight="1" x14ac:dyDescent="0.25">
      <c r="A326" s="25" t="s">
        <v>289</v>
      </c>
      <c r="B326" s="20" t="s">
        <v>1044</v>
      </c>
      <c r="C326" s="40" t="s">
        <v>279</v>
      </c>
      <c r="D326" s="40" t="s">
        <v>228</v>
      </c>
      <c r="E326" s="40" t="s">
        <v>290</v>
      </c>
      <c r="F326" s="40"/>
      <c r="G326" s="10">
        <f>'Пр.6 ведом.20'!G658</f>
        <v>1740</v>
      </c>
      <c r="H326" s="230"/>
    </row>
    <row r="327" spans="1:8" s="229" customFormat="1" ht="38.25" customHeight="1" x14ac:dyDescent="0.25">
      <c r="A327" s="29" t="s">
        <v>418</v>
      </c>
      <c r="B327" s="20" t="s">
        <v>1044</v>
      </c>
      <c r="C327" s="40" t="s">
        <v>279</v>
      </c>
      <c r="D327" s="40" t="s">
        <v>228</v>
      </c>
      <c r="E327" s="40" t="s">
        <v>290</v>
      </c>
      <c r="F327" s="40" t="s">
        <v>652</v>
      </c>
      <c r="G327" s="10">
        <f>G326</f>
        <v>1740</v>
      </c>
      <c r="H327" s="230"/>
    </row>
    <row r="328" spans="1:8" s="229" customFormat="1" ht="31.5" customHeight="1" x14ac:dyDescent="0.25">
      <c r="A328" s="23" t="s">
        <v>1038</v>
      </c>
      <c r="B328" s="24" t="s">
        <v>1045</v>
      </c>
      <c r="C328" s="7"/>
      <c r="D328" s="7"/>
      <c r="E328" s="7"/>
      <c r="F328" s="7"/>
      <c r="G328" s="59">
        <f>G331+G335</f>
        <v>1364.7</v>
      </c>
      <c r="H328" s="230"/>
    </row>
    <row r="329" spans="1:8" s="229" customFormat="1" ht="18" customHeight="1" x14ac:dyDescent="0.25">
      <c r="A329" s="29" t="s">
        <v>278</v>
      </c>
      <c r="B329" s="40" t="s">
        <v>1045</v>
      </c>
      <c r="C329" s="40" t="s">
        <v>279</v>
      </c>
      <c r="D329" s="40"/>
      <c r="E329" s="40"/>
      <c r="F329" s="40"/>
      <c r="G329" s="10">
        <f t="shared" ref="G329" si="46">G330</f>
        <v>1364.7</v>
      </c>
      <c r="H329" s="230"/>
    </row>
    <row r="330" spans="1:8" s="229" customFormat="1" ht="15" customHeight="1" x14ac:dyDescent="0.25">
      <c r="A330" s="29" t="s">
        <v>440</v>
      </c>
      <c r="B330" s="40" t="s">
        <v>1045</v>
      </c>
      <c r="C330" s="40" t="s">
        <v>279</v>
      </c>
      <c r="D330" s="40" t="s">
        <v>228</v>
      </c>
      <c r="E330" s="40"/>
      <c r="F330" s="40"/>
      <c r="G330" s="10">
        <f>G331+G335</f>
        <v>1364.7</v>
      </c>
      <c r="H330" s="230"/>
    </row>
    <row r="331" spans="1:8" s="229" customFormat="1" ht="47.25" customHeight="1" x14ac:dyDescent="0.25">
      <c r="A331" s="25" t="s">
        <v>453</v>
      </c>
      <c r="B331" s="20" t="s">
        <v>1046</v>
      </c>
      <c r="C331" s="40" t="s">
        <v>279</v>
      </c>
      <c r="D331" s="40" t="s">
        <v>228</v>
      </c>
      <c r="E331" s="40"/>
      <c r="F331" s="40"/>
      <c r="G331" s="10">
        <f>G332</f>
        <v>868</v>
      </c>
      <c r="H331" s="230"/>
    </row>
    <row r="332" spans="1:8" s="229" customFormat="1" ht="37.5" customHeight="1" x14ac:dyDescent="0.25">
      <c r="A332" s="25" t="s">
        <v>287</v>
      </c>
      <c r="B332" s="20" t="s">
        <v>1046</v>
      </c>
      <c r="C332" s="40" t="s">
        <v>279</v>
      </c>
      <c r="D332" s="40" t="s">
        <v>228</v>
      </c>
      <c r="E332" s="40" t="s">
        <v>288</v>
      </c>
      <c r="F332" s="40"/>
      <c r="G332" s="10">
        <f>G333</f>
        <v>868</v>
      </c>
      <c r="H332" s="230"/>
    </row>
    <row r="333" spans="1:8" s="229" customFormat="1" ht="15.75" customHeight="1" x14ac:dyDescent="0.25">
      <c r="A333" s="25" t="s">
        <v>289</v>
      </c>
      <c r="B333" s="20" t="s">
        <v>1046</v>
      </c>
      <c r="C333" s="40" t="s">
        <v>279</v>
      </c>
      <c r="D333" s="40" t="s">
        <v>228</v>
      </c>
      <c r="E333" s="40" t="s">
        <v>290</v>
      </c>
      <c r="F333" s="40"/>
      <c r="G333" s="10">
        <f>'Пр.5 Рд,пр, ЦС,ВР 20'!F601</f>
        <v>868</v>
      </c>
      <c r="H333" s="230"/>
    </row>
    <row r="334" spans="1:8" s="229" customFormat="1" ht="37.5" customHeight="1" x14ac:dyDescent="0.25">
      <c r="A334" s="29" t="s">
        <v>418</v>
      </c>
      <c r="B334" s="20" t="s">
        <v>1046</v>
      </c>
      <c r="C334" s="40" t="s">
        <v>279</v>
      </c>
      <c r="D334" s="40" t="s">
        <v>228</v>
      </c>
      <c r="E334" s="40" t="s">
        <v>290</v>
      </c>
      <c r="F334" s="40" t="s">
        <v>652</v>
      </c>
      <c r="G334" s="10">
        <f>G333</f>
        <v>868</v>
      </c>
      <c r="H334" s="230"/>
    </row>
    <row r="335" spans="1:8" s="229" customFormat="1" ht="48.75" customHeight="1" x14ac:dyDescent="0.25">
      <c r="A335" s="25" t="s">
        <v>473</v>
      </c>
      <c r="B335" s="20" t="s">
        <v>1047</v>
      </c>
      <c r="C335" s="40" t="s">
        <v>279</v>
      </c>
      <c r="D335" s="40" t="s">
        <v>228</v>
      </c>
      <c r="E335" s="40"/>
      <c r="F335" s="40"/>
      <c r="G335" s="10">
        <f>G336</f>
        <v>496.7</v>
      </c>
      <c r="H335" s="230"/>
    </row>
    <row r="336" spans="1:8" s="229" customFormat="1" ht="36" customHeight="1" x14ac:dyDescent="0.25">
      <c r="A336" s="354" t="s">
        <v>287</v>
      </c>
      <c r="B336" s="20" t="s">
        <v>1047</v>
      </c>
      <c r="C336" s="40" t="s">
        <v>279</v>
      </c>
      <c r="D336" s="40" t="s">
        <v>228</v>
      </c>
      <c r="E336" s="40" t="s">
        <v>288</v>
      </c>
      <c r="F336" s="40"/>
      <c r="G336" s="10">
        <f>G337</f>
        <v>496.7</v>
      </c>
      <c r="H336" s="230"/>
    </row>
    <row r="337" spans="1:8" s="229" customFormat="1" ht="15.75" customHeight="1" x14ac:dyDescent="0.25">
      <c r="A337" s="25" t="s">
        <v>289</v>
      </c>
      <c r="B337" s="20" t="s">
        <v>1047</v>
      </c>
      <c r="C337" s="40" t="s">
        <v>279</v>
      </c>
      <c r="D337" s="40" t="s">
        <v>228</v>
      </c>
      <c r="E337" s="40" t="s">
        <v>290</v>
      </c>
      <c r="F337" s="40"/>
      <c r="G337" s="10">
        <f>'Пр.5 Рд,пр, ЦС,ВР 20'!F604</f>
        <v>496.7</v>
      </c>
      <c r="H337" s="230"/>
    </row>
    <row r="338" spans="1:8" s="229" customFormat="1" ht="41.25" customHeight="1" x14ac:dyDescent="0.25">
      <c r="A338" s="29" t="s">
        <v>418</v>
      </c>
      <c r="B338" s="20" t="s">
        <v>1047</v>
      </c>
      <c r="C338" s="40" t="s">
        <v>279</v>
      </c>
      <c r="D338" s="40" t="s">
        <v>228</v>
      </c>
      <c r="E338" s="40" t="s">
        <v>290</v>
      </c>
      <c r="F338" s="40" t="s">
        <v>652</v>
      </c>
      <c r="G338" s="10">
        <f>G337</f>
        <v>496.7</v>
      </c>
      <c r="H338" s="230"/>
    </row>
    <row r="339" spans="1:8" s="229" customFormat="1" ht="34.5" customHeight="1" x14ac:dyDescent="0.25">
      <c r="A339" s="281" t="s">
        <v>1082</v>
      </c>
      <c r="B339" s="24" t="s">
        <v>1048</v>
      </c>
      <c r="C339" s="7"/>
      <c r="D339" s="7"/>
      <c r="E339" s="7"/>
      <c r="F339" s="7"/>
      <c r="G339" s="59">
        <f>G342+G346</f>
        <v>2634</v>
      </c>
      <c r="H339" s="230"/>
    </row>
    <row r="340" spans="1:8" s="229" customFormat="1" ht="18.75" customHeight="1" x14ac:dyDescent="0.25">
      <c r="A340" s="29" t="s">
        <v>278</v>
      </c>
      <c r="B340" s="40" t="s">
        <v>1048</v>
      </c>
      <c r="C340" s="40" t="s">
        <v>279</v>
      </c>
      <c r="D340" s="40"/>
      <c r="E340" s="40"/>
      <c r="F340" s="40"/>
      <c r="G340" s="10">
        <f t="shared" ref="G340" si="47">G341</f>
        <v>2634</v>
      </c>
      <c r="H340" s="230"/>
    </row>
    <row r="341" spans="1:8" s="229" customFormat="1" ht="20.25" customHeight="1" x14ac:dyDescent="0.25">
      <c r="A341" s="29" t="s">
        <v>440</v>
      </c>
      <c r="B341" s="40" t="s">
        <v>1048</v>
      </c>
      <c r="C341" s="40" t="s">
        <v>279</v>
      </c>
      <c r="D341" s="40" t="s">
        <v>228</v>
      </c>
      <c r="E341" s="40"/>
      <c r="F341" s="40"/>
      <c r="G341" s="10">
        <f>G342+G346</f>
        <v>2634</v>
      </c>
      <c r="H341" s="230"/>
    </row>
    <row r="342" spans="1:8" ht="31.5" hidden="1" customHeight="1" x14ac:dyDescent="0.25">
      <c r="A342" s="29" t="s">
        <v>299</v>
      </c>
      <c r="B342" s="20" t="s">
        <v>1050</v>
      </c>
      <c r="C342" s="40" t="s">
        <v>279</v>
      </c>
      <c r="D342" s="40" t="s">
        <v>228</v>
      </c>
      <c r="E342" s="40"/>
      <c r="F342" s="40"/>
      <c r="G342" s="10">
        <f t="shared" ref="G342:G343" si="48">G343</f>
        <v>0</v>
      </c>
    </row>
    <row r="343" spans="1:8" ht="31.5" hidden="1" customHeight="1" x14ac:dyDescent="0.25">
      <c r="A343" s="29" t="s">
        <v>287</v>
      </c>
      <c r="B343" s="20" t="s">
        <v>1050</v>
      </c>
      <c r="C343" s="40" t="s">
        <v>279</v>
      </c>
      <c r="D343" s="40" t="s">
        <v>228</v>
      </c>
      <c r="E343" s="40" t="s">
        <v>288</v>
      </c>
      <c r="F343" s="40"/>
      <c r="G343" s="10">
        <f t="shared" si="48"/>
        <v>0</v>
      </c>
    </row>
    <row r="344" spans="1:8" ht="26.25" hidden="1" customHeight="1" x14ac:dyDescent="0.25">
      <c r="A344" s="29" t="s">
        <v>289</v>
      </c>
      <c r="B344" s="20" t="s">
        <v>1050</v>
      </c>
      <c r="C344" s="40" t="s">
        <v>279</v>
      </c>
      <c r="D344" s="40" t="s">
        <v>228</v>
      </c>
      <c r="E344" s="40" t="s">
        <v>290</v>
      </c>
      <c r="F344" s="40"/>
      <c r="G344" s="10">
        <f>'Пр.6 ведом.20'!G669</f>
        <v>0</v>
      </c>
    </row>
    <row r="345" spans="1:8" s="229" customFormat="1" ht="34.5" hidden="1" customHeight="1" x14ac:dyDescent="0.25">
      <c r="A345" s="29" t="s">
        <v>418</v>
      </c>
      <c r="B345" s="20" t="s">
        <v>1050</v>
      </c>
      <c r="C345" s="40" t="s">
        <v>279</v>
      </c>
      <c r="D345" s="40" t="s">
        <v>228</v>
      </c>
      <c r="E345" s="40" t="s">
        <v>290</v>
      </c>
      <c r="F345" s="40" t="s">
        <v>652</v>
      </c>
      <c r="G345" s="10">
        <f>G344</f>
        <v>0</v>
      </c>
      <c r="H345" s="230"/>
    </row>
    <row r="346" spans="1:8" ht="34.5" customHeight="1" x14ac:dyDescent="0.25">
      <c r="A346" s="60" t="s">
        <v>786</v>
      </c>
      <c r="B346" s="20" t="s">
        <v>1051</v>
      </c>
      <c r="C346" s="40" t="s">
        <v>279</v>
      </c>
      <c r="D346" s="40" t="s">
        <v>228</v>
      </c>
      <c r="E346" s="40"/>
      <c r="F346" s="40"/>
      <c r="G346" s="10">
        <f t="shared" ref="G346:G347" si="49">G347</f>
        <v>2634</v>
      </c>
    </row>
    <row r="347" spans="1:8" ht="40.5" customHeight="1" x14ac:dyDescent="0.25">
      <c r="A347" s="29" t="s">
        <v>287</v>
      </c>
      <c r="B347" s="20" t="s">
        <v>1051</v>
      </c>
      <c r="C347" s="40" t="s">
        <v>279</v>
      </c>
      <c r="D347" s="40" t="s">
        <v>228</v>
      </c>
      <c r="E347" s="40" t="s">
        <v>288</v>
      </c>
      <c r="F347" s="40"/>
      <c r="G347" s="10">
        <f t="shared" si="49"/>
        <v>2634</v>
      </c>
    </row>
    <row r="348" spans="1:8" ht="19.5" customHeight="1" x14ac:dyDescent="0.25">
      <c r="A348" s="195" t="s">
        <v>289</v>
      </c>
      <c r="B348" s="20" t="s">
        <v>1051</v>
      </c>
      <c r="C348" s="40" t="s">
        <v>279</v>
      </c>
      <c r="D348" s="40" t="s">
        <v>228</v>
      </c>
      <c r="E348" s="40" t="s">
        <v>290</v>
      </c>
      <c r="F348" s="40"/>
      <c r="G348" s="10">
        <f>'Пр.6 ведом.20'!G672</f>
        <v>2634</v>
      </c>
    </row>
    <row r="349" spans="1:8" s="229" customFormat="1" ht="33" customHeight="1" x14ac:dyDescent="0.25">
      <c r="A349" s="29" t="s">
        <v>418</v>
      </c>
      <c r="B349" s="20" t="s">
        <v>1051</v>
      </c>
      <c r="C349" s="40" t="s">
        <v>279</v>
      </c>
      <c r="D349" s="40" t="s">
        <v>228</v>
      </c>
      <c r="E349" s="40" t="s">
        <v>290</v>
      </c>
      <c r="F349" s="40" t="s">
        <v>652</v>
      </c>
      <c r="G349" s="10">
        <f>G348</f>
        <v>2634</v>
      </c>
      <c r="H349" s="230"/>
    </row>
    <row r="350" spans="1:8" s="229" customFormat="1" ht="38.25" customHeight="1" x14ac:dyDescent="0.25">
      <c r="A350" s="279" t="s">
        <v>1053</v>
      </c>
      <c r="B350" s="24" t="s">
        <v>1049</v>
      </c>
      <c r="C350" s="7"/>
      <c r="D350" s="7"/>
      <c r="E350" s="7"/>
      <c r="F350" s="7"/>
      <c r="G350" s="59">
        <f>G353</f>
        <v>678</v>
      </c>
      <c r="H350" s="230"/>
    </row>
    <row r="351" spans="1:8" s="229" customFormat="1" ht="18.75" customHeight="1" x14ac:dyDescent="0.25">
      <c r="A351" s="29" t="s">
        <v>278</v>
      </c>
      <c r="B351" s="40" t="s">
        <v>1049</v>
      </c>
      <c r="C351" s="40" t="s">
        <v>279</v>
      </c>
      <c r="D351" s="40"/>
      <c r="E351" s="40"/>
      <c r="F351" s="40"/>
      <c r="G351" s="10">
        <f t="shared" ref="G351" si="50">G352</f>
        <v>678</v>
      </c>
      <c r="H351" s="230"/>
    </row>
    <row r="352" spans="1:8" s="229" customFormat="1" ht="18" customHeight="1" x14ac:dyDescent="0.25">
      <c r="A352" s="29" t="s">
        <v>440</v>
      </c>
      <c r="B352" s="40" t="s">
        <v>1049</v>
      </c>
      <c r="C352" s="40" t="s">
        <v>279</v>
      </c>
      <c r="D352" s="40" t="s">
        <v>228</v>
      </c>
      <c r="E352" s="40"/>
      <c r="F352" s="40"/>
      <c r="G352" s="10">
        <f>G353</f>
        <v>678</v>
      </c>
      <c r="H352" s="230"/>
    </row>
    <row r="353" spans="1:8" s="229" customFormat="1" ht="47.25" x14ac:dyDescent="0.25">
      <c r="A353" s="195" t="s">
        <v>875</v>
      </c>
      <c r="B353" s="20" t="s">
        <v>1052</v>
      </c>
      <c r="C353" s="40" t="s">
        <v>279</v>
      </c>
      <c r="D353" s="40" t="s">
        <v>228</v>
      </c>
      <c r="E353" s="40"/>
      <c r="F353" s="40"/>
      <c r="G353" s="10">
        <f>G354</f>
        <v>678</v>
      </c>
      <c r="H353" s="230"/>
    </row>
    <row r="354" spans="1:8" s="229" customFormat="1" ht="39.75" customHeight="1" x14ac:dyDescent="0.25">
      <c r="A354" s="29" t="s">
        <v>287</v>
      </c>
      <c r="B354" s="20" t="s">
        <v>1052</v>
      </c>
      <c r="C354" s="40" t="s">
        <v>279</v>
      </c>
      <c r="D354" s="40" t="s">
        <v>228</v>
      </c>
      <c r="E354" s="40" t="s">
        <v>288</v>
      </c>
      <c r="F354" s="40"/>
      <c r="G354" s="10">
        <f>G355</f>
        <v>678</v>
      </c>
      <c r="H354" s="230"/>
    </row>
    <row r="355" spans="1:8" s="229" customFormat="1" ht="19.5" customHeight="1" x14ac:dyDescent="0.25">
      <c r="A355" s="195" t="s">
        <v>289</v>
      </c>
      <c r="B355" s="20" t="s">
        <v>1052</v>
      </c>
      <c r="C355" s="40" t="s">
        <v>279</v>
      </c>
      <c r="D355" s="40" t="s">
        <v>228</v>
      </c>
      <c r="E355" s="40" t="s">
        <v>290</v>
      </c>
      <c r="F355" s="40"/>
      <c r="G355" s="10">
        <f>'Пр.5 Рд,пр, ЦС,ВР 20'!F615</f>
        <v>678</v>
      </c>
      <c r="H355" s="230"/>
    </row>
    <row r="356" spans="1:8" s="229" customFormat="1" ht="31.5" customHeight="1" x14ac:dyDescent="0.25">
      <c r="A356" s="29" t="s">
        <v>418</v>
      </c>
      <c r="B356" s="20" t="s">
        <v>1052</v>
      </c>
      <c r="C356" s="40" t="s">
        <v>279</v>
      </c>
      <c r="D356" s="40" t="s">
        <v>228</v>
      </c>
      <c r="E356" s="40" t="s">
        <v>290</v>
      </c>
      <c r="F356" s="40" t="s">
        <v>652</v>
      </c>
      <c r="G356" s="10">
        <f>G355</f>
        <v>678</v>
      </c>
      <c r="H356" s="230"/>
    </row>
    <row r="357" spans="1:8" s="229" customFormat="1" ht="48" customHeight="1" x14ac:dyDescent="0.25">
      <c r="A357" s="279" t="s">
        <v>1441</v>
      </c>
      <c r="B357" s="24" t="s">
        <v>1438</v>
      </c>
      <c r="C357" s="40"/>
      <c r="D357" s="40"/>
      <c r="E357" s="40"/>
      <c r="F357" s="40"/>
      <c r="G357" s="59">
        <f>G358</f>
        <v>1117.0999999999999</v>
      </c>
      <c r="H357" s="230"/>
    </row>
    <row r="358" spans="1:8" s="229" customFormat="1" ht="15" customHeight="1" x14ac:dyDescent="0.25">
      <c r="A358" s="29" t="s">
        <v>278</v>
      </c>
      <c r="B358" s="20" t="s">
        <v>1438</v>
      </c>
      <c r="C358" s="40" t="s">
        <v>279</v>
      </c>
      <c r="D358" s="40"/>
      <c r="E358" s="40"/>
      <c r="F358" s="40"/>
      <c r="G358" s="10">
        <f>G359</f>
        <v>1117.0999999999999</v>
      </c>
      <c r="H358" s="230"/>
    </row>
    <row r="359" spans="1:8" s="229" customFormat="1" ht="19.5" customHeight="1" x14ac:dyDescent="0.25">
      <c r="A359" s="29" t="s">
        <v>440</v>
      </c>
      <c r="B359" s="20" t="s">
        <v>1438</v>
      </c>
      <c r="C359" s="40" t="s">
        <v>279</v>
      </c>
      <c r="D359" s="40" t="s">
        <v>228</v>
      </c>
      <c r="E359" s="40"/>
      <c r="F359" s="40"/>
      <c r="G359" s="10">
        <f>G360</f>
        <v>1117.0999999999999</v>
      </c>
      <c r="H359" s="230"/>
    </row>
    <row r="360" spans="1:8" s="229" customFormat="1" ht="48.75" customHeight="1" x14ac:dyDescent="0.25">
      <c r="A360" s="195" t="s">
        <v>1440</v>
      </c>
      <c r="B360" s="20" t="s">
        <v>1439</v>
      </c>
      <c r="C360" s="40" t="s">
        <v>279</v>
      </c>
      <c r="D360" s="40" t="s">
        <v>228</v>
      </c>
      <c r="E360" s="40"/>
      <c r="F360" s="40"/>
      <c r="G360" s="10">
        <f>G361</f>
        <v>1117.0999999999999</v>
      </c>
      <c r="H360" s="230"/>
    </row>
    <row r="361" spans="1:8" s="229" customFormat="1" ht="33.75" customHeight="1" x14ac:dyDescent="0.25">
      <c r="A361" s="31" t="s">
        <v>287</v>
      </c>
      <c r="B361" s="20" t="s">
        <v>1439</v>
      </c>
      <c r="C361" s="40" t="s">
        <v>279</v>
      </c>
      <c r="D361" s="40" t="s">
        <v>228</v>
      </c>
      <c r="E361" s="40" t="s">
        <v>288</v>
      </c>
      <c r="F361" s="40"/>
      <c r="G361" s="10">
        <f>G362</f>
        <v>1117.0999999999999</v>
      </c>
      <c r="H361" s="230"/>
    </row>
    <row r="362" spans="1:8" s="229" customFormat="1" ht="21" customHeight="1" x14ac:dyDescent="0.25">
      <c r="A362" s="31" t="s">
        <v>289</v>
      </c>
      <c r="B362" s="20" t="s">
        <v>1439</v>
      </c>
      <c r="C362" s="40" t="s">
        <v>279</v>
      </c>
      <c r="D362" s="40" t="s">
        <v>228</v>
      </c>
      <c r="E362" s="40" t="s">
        <v>290</v>
      </c>
      <c r="F362" s="40"/>
      <c r="G362" s="10">
        <f>'Пр.6 ведом.20'!G685</f>
        <v>1117.0999999999999</v>
      </c>
      <c r="H362" s="230"/>
    </row>
    <row r="363" spans="1:8" s="229" customFormat="1" ht="31.5" customHeight="1" x14ac:dyDescent="0.25">
      <c r="A363" s="29" t="s">
        <v>418</v>
      </c>
      <c r="B363" s="20" t="s">
        <v>1439</v>
      </c>
      <c r="C363" s="40" t="s">
        <v>279</v>
      </c>
      <c r="D363" s="40" t="s">
        <v>228</v>
      </c>
      <c r="E363" s="40" t="s">
        <v>290</v>
      </c>
      <c r="F363" s="40" t="s">
        <v>652</v>
      </c>
      <c r="G363" s="10">
        <f>G357</f>
        <v>1117.0999999999999</v>
      </c>
      <c r="H363" s="230"/>
    </row>
    <row r="364" spans="1:8" ht="36" customHeight="1" x14ac:dyDescent="0.25">
      <c r="A364" s="41" t="s">
        <v>461</v>
      </c>
      <c r="B364" s="7" t="s">
        <v>462</v>
      </c>
      <c r="C364" s="7"/>
      <c r="D364" s="7"/>
      <c r="E364" s="7"/>
      <c r="F364" s="7"/>
      <c r="G364" s="59">
        <f t="shared" ref="G364" si="51">G366</f>
        <v>689</v>
      </c>
    </row>
    <row r="365" spans="1:8" s="229" customFormat="1" ht="36" customHeight="1" x14ac:dyDescent="0.25">
      <c r="A365" s="281" t="s">
        <v>1082</v>
      </c>
      <c r="B365" s="24" t="s">
        <v>1058</v>
      </c>
      <c r="C365" s="7"/>
      <c r="D365" s="7"/>
      <c r="E365" s="7"/>
      <c r="F365" s="7"/>
      <c r="G365" s="59">
        <f>G366</f>
        <v>689</v>
      </c>
      <c r="H365" s="230"/>
    </row>
    <row r="366" spans="1:8" ht="16.5" customHeight="1" x14ac:dyDescent="0.25">
      <c r="A366" s="29" t="s">
        <v>278</v>
      </c>
      <c r="B366" s="40" t="s">
        <v>1058</v>
      </c>
      <c r="C366" s="40" t="s">
        <v>279</v>
      </c>
      <c r="D366" s="40"/>
      <c r="E366" s="40"/>
      <c r="F366" s="40"/>
      <c r="G366" s="10">
        <f t="shared" ref="G366" si="52">G367</f>
        <v>689</v>
      </c>
    </row>
    <row r="367" spans="1:8" ht="17.25" customHeight="1" x14ac:dyDescent="0.25">
      <c r="A367" s="29" t="s">
        <v>280</v>
      </c>
      <c r="B367" s="40" t="s">
        <v>1058</v>
      </c>
      <c r="C367" s="40" t="s">
        <v>279</v>
      </c>
      <c r="D367" s="40" t="s">
        <v>230</v>
      </c>
      <c r="E367" s="40"/>
      <c r="F367" s="40"/>
      <c r="G367" s="10">
        <f>G368</f>
        <v>689</v>
      </c>
    </row>
    <row r="368" spans="1:8" ht="31.5" x14ac:dyDescent="0.25">
      <c r="A368" s="45" t="s">
        <v>786</v>
      </c>
      <c r="B368" s="20" t="s">
        <v>1059</v>
      </c>
      <c r="C368" s="20" t="s">
        <v>279</v>
      </c>
      <c r="D368" s="20" t="s">
        <v>230</v>
      </c>
      <c r="E368" s="20"/>
      <c r="F368" s="20"/>
      <c r="G368" s="10">
        <f t="shared" ref="G368:G369" si="53">G369</f>
        <v>689</v>
      </c>
    </row>
    <row r="369" spans="1:9" ht="31.5" x14ac:dyDescent="0.25">
      <c r="A369" s="29" t="s">
        <v>287</v>
      </c>
      <c r="B369" s="20" t="s">
        <v>1059</v>
      </c>
      <c r="C369" s="20" t="s">
        <v>279</v>
      </c>
      <c r="D369" s="20" t="s">
        <v>230</v>
      </c>
      <c r="E369" s="20" t="s">
        <v>288</v>
      </c>
      <c r="F369" s="20"/>
      <c r="G369" s="10">
        <f t="shared" si="53"/>
        <v>689</v>
      </c>
    </row>
    <row r="370" spans="1:9" ht="15.75" x14ac:dyDescent="0.25">
      <c r="A370" s="31" t="s">
        <v>289</v>
      </c>
      <c r="B370" s="20" t="s">
        <v>1059</v>
      </c>
      <c r="C370" s="20" t="s">
        <v>279</v>
      </c>
      <c r="D370" s="20" t="s">
        <v>230</v>
      </c>
      <c r="E370" s="20" t="s">
        <v>290</v>
      </c>
      <c r="F370" s="20"/>
      <c r="G370" s="10">
        <f>'Пр.6 ведом.20'!G716</f>
        <v>689</v>
      </c>
    </row>
    <row r="371" spans="1:9" s="229" customFormat="1" ht="34.5" customHeight="1" x14ac:dyDescent="0.25">
      <c r="A371" s="29" t="s">
        <v>418</v>
      </c>
      <c r="B371" s="20" t="s">
        <v>1059</v>
      </c>
      <c r="C371" s="40" t="s">
        <v>279</v>
      </c>
      <c r="D371" s="40" t="s">
        <v>230</v>
      </c>
      <c r="E371" s="40" t="s">
        <v>290</v>
      </c>
      <c r="F371" s="40" t="s">
        <v>652</v>
      </c>
      <c r="G371" s="10">
        <f>G370</f>
        <v>689</v>
      </c>
      <c r="H371" s="230"/>
    </row>
    <row r="372" spans="1:9" ht="31.5" x14ac:dyDescent="0.25">
      <c r="A372" s="41" t="s">
        <v>482</v>
      </c>
      <c r="B372" s="7" t="s">
        <v>484</v>
      </c>
      <c r="C372" s="7"/>
      <c r="D372" s="7"/>
      <c r="E372" s="7"/>
      <c r="F372" s="7"/>
      <c r="G372" s="59">
        <f>G373</f>
        <v>5804.9</v>
      </c>
    </row>
    <row r="373" spans="1:9" s="229" customFormat="1" ht="31.5" x14ac:dyDescent="0.25">
      <c r="A373" s="23" t="s">
        <v>1061</v>
      </c>
      <c r="B373" s="24" t="s">
        <v>1062</v>
      </c>
      <c r="C373" s="7"/>
      <c r="D373" s="7"/>
      <c r="E373" s="7"/>
      <c r="F373" s="7"/>
      <c r="G373" s="59">
        <f>G374</f>
        <v>5804.9</v>
      </c>
      <c r="H373" s="230"/>
    </row>
    <row r="374" spans="1:9" ht="15.75" x14ac:dyDescent="0.25">
      <c r="A374" s="29" t="s">
        <v>278</v>
      </c>
      <c r="B374" s="40" t="s">
        <v>1062</v>
      </c>
      <c r="C374" s="40" t="s">
        <v>279</v>
      </c>
      <c r="D374" s="40"/>
      <c r="E374" s="40"/>
      <c r="F374" s="40"/>
      <c r="G374" s="10">
        <f t="shared" ref="G374:G377" si="54">G375</f>
        <v>5804.9</v>
      </c>
    </row>
    <row r="375" spans="1:9" ht="15.75" x14ac:dyDescent="0.25">
      <c r="A375" s="29" t="s">
        <v>481</v>
      </c>
      <c r="B375" s="40" t="s">
        <v>1062</v>
      </c>
      <c r="C375" s="40" t="s">
        <v>279</v>
      </c>
      <c r="D375" s="40" t="s">
        <v>279</v>
      </c>
      <c r="E375" s="40"/>
      <c r="F375" s="40"/>
      <c r="G375" s="10">
        <f>G376+G380</f>
        <v>5804.9</v>
      </c>
    </row>
    <row r="376" spans="1:9" ht="31.5" x14ac:dyDescent="0.25">
      <c r="A376" s="31" t="s">
        <v>1246</v>
      </c>
      <c r="B376" s="20" t="s">
        <v>1063</v>
      </c>
      <c r="C376" s="40" t="s">
        <v>279</v>
      </c>
      <c r="D376" s="40" t="s">
        <v>279</v>
      </c>
      <c r="E376" s="40"/>
      <c r="F376" s="40"/>
      <c r="G376" s="10">
        <f t="shared" si="54"/>
        <v>3584</v>
      </c>
    </row>
    <row r="377" spans="1:9" ht="31.5" x14ac:dyDescent="0.25">
      <c r="A377" s="25" t="s">
        <v>287</v>
      </c>
      <c r="B377" s="20" t="s">
        <v>1063</v>
      </c>
      <c r="C377" s="40" t="s">
        <v>279</v>
      </c>
      <c r="D377" s="40" t="s">
        <v>279</v>
      </c>
      <c r="E377" s="40" t="s">
        <v>288</v>
      </c>
      <c r="F377" s="40"/>
      <c r="G377" s="10">
        <f t="shared" si="54"/>
        <v>3584</v>
      </c>
    </row>
    <row r="378" spans="1:9" ht="15.75" x14ac:dyDescent="0.25">
      <c r="A378" s="25" t="s">
        <v>289</v>
      </c>
      <c r="B378" s="20" t="s">
        <v>1063</v>
      </c>
      <c r="C378" s="40" t="s">
        <v>279</v>
      </c>
      <c r="D378" s="40" t="s">
        <v>279</v>
      </c>
      <c r="E378" s="40" t="s">
        <v>290</v>
      </c>
      <c r="F378" s="40"/>
      <c r="G378" s="10">
        <f>'Пр.6 ведом.20'!G728</f>
        <v>3584</v>
      </c>
    </row>
    <row r="379" spans="1:9" s="229" customFormat="1" ht="31.5" x14ac:dyDescent="0.25">
      <c r="A379" s="29" t="s">
        <v>418</v>
      </c>
      <c r="B379" s="20" t="s">
        <v>1063</v>
      </c>
      <c r="C379" s="40" t="s">
        <v>279</v>
      </c>
      <c r="D379" s="40" t="s">
        <v>279</v>
      </c>
      <c r="E379" s="40" t="s">
        <v>290</v>
      </c>
      <c r="F379" s="40" t="s">
        <v>652</v>
      </c>
      <c r="G379" s="10">
        <f>G378</f>
        <v>3584</v>
      </c>
      <c r="H379" s="230"/>
    </row>
    <row r="380" spans="1:9" s="229" customFormat="1" ht="31.5" x14ac:dyDescent="0.25">
      <c r="A380" s="31" t="s">
        <v>489</v>
      </c>
      <c r="B380" s="20" t="s">
        <v>1064</v>
      </c>
      <c r="C380" s="40" t="s">
        <v>279</v>
      </c>
      <c r="D380" s="40" t="s">
        <v>279</v>
      </c>
      <c r="E380" s="40"/>
      <c r="F380" s="40"/>
      <c r="G380" s="10">
        <f>G381</f>
        <v>2220.9</v>
      </c>
      <c r="H380" s="230"/>
    </row>
    <row r="381" spans="1:9" s="229" customFormat="1" ht="31.5" x14ac:dyDescent="0.25">
      <c r="A381" s="25" t="s">
        <v>287</v>
      </c>
      <c r="B381" s="20" t="s">
        <v>1064</v>
      </c>
      <c r="C381" s="40" t="s">
        <v>279</v>
      </c>
      <c r="D381" s="40" t="s">
        <v>279</v>
      </c>
      <c r="E381" s="40" t="s">
        <v>288</v>
      </c>
      <c r="F381" s="40"/>
      <c r="G381" s="10">
        <f>G382</f>
        <v>2220.9</v>
      </c>
      <c r="H381" s="230"/>
    </row>
    <row r="382" spans="1:9" s="229" customFormat="1" ht="15.75" x14ac:dyDescent="0.25">
      <c r="A382" s="25" t="s">
        <v>289</v>
      </c>
      <c r="B382" s="20" t="s">
        <v>1064</v>
      </c>
      <c r="C382" s="40" t="s">
        <v>279</v>
      </c>
      <c r="D382" s="40" t="s">
        <v>279</v>
      </c>
      <c r="E382" s="40" t="s">
        <v>290</v>
      </c>
      <c r="F382" s="40"/>
      <c r="G382" s="10">
        <f>'Пр.5 Рд,пр, ЦС,ВР 20'!F726</f>
        <v>2220.9</v>
      </c>
      <c r="H382" s="230"/>
    </row>
    <row r="383" spans="1:9" ht="31.5" x14ac:dyDescent="0.25">
      <c r="A383" s="29" t="s">
        <v>418</v>
      </c>
      <c r="B383" s="20" t="s">
        <v>1064</v>
      </c>
      <c r="C383" s="40" t="s">
        <v>279</v>
      </c>
      <c r="D383" s="40" t="s">
        <v>279</v>
      </c>
      <c r="E383" s="40" t="s">
        <v>290</v>
      </c>
      <c r="F383" s="40" t="s">
        <v>652</v>
      </c>
      <c r="G383" s="10">
        <f>G382</f>
        <v>2220.9</v>
      </c>
      <c r="I383" s="22"/>
    </row>
    <row r="384" spans="1:9" ht="47.25" hidden="1" x14ac:dyDescent="0.25">
      <c r="A384" s="58" t="s">
        <v>814</v>
      </c>
      <c r="B384" s="214" t="s">
        <v>171</v>
      </c>
      <c r="C384" s="7"/>
      <c r="D384" s="214"/>
      <c r="E384" s="214"/>
      <c r="F384" s="214"/>
      <c r="G384" s="59">
        <f>G386</f>
        <v>0</v>
      </c>
    </row>
    <row r="385" spans="1:8" s="229" customFormat="1" ht="36.75" hidden="1" customHeight="1" x14ac:dyDescent="0.25">
      <c r="A385" s="23" t="s">
        <v>1254</v>
      </c>
      <c r="B385" s="24" t="s">
        <v>1251</v>
      </c>
      <c r="C385" s="7"/>
      <c r="D385" s="7"/>
      <c r="E385" s="7"/>
      <c r="F385" s="7"/>
      <c r="G385" s="59">
        <f>G386</f>
        <v>0</v>
      </c>
      <c r="H385" s="230"/>
    </row>
    <row r="386" spans="1:8" ht="15.75" hidden="1" x14ac:dyDescent="0.25">
      <c r="A386" s="45" t="s">
        <v>247</v>
      </c>
      <c r="B386" s="5" t="s">
        <v>1251</v>
      </c>
      <c r="C386" s="40" t="s">
        <v>165</v>
      </c>
      <c r="D386" s="40"/>
      <c r="E386" s="40"/>
      <c r="F386" s="40"/>
      <c r="G386" s="10">
        <f>G387</f>
        <v>0</v>
      </c>
    </row>
    <row r="387" spans="1:8" ht="15.75" hidden="1" x14ac:dyDescent="0.25">
      <c r="A387" s="45" t="s">
        <v>797</v>
      </c>
      <c r="B387" s="5" t="s">
        <v>1251</v>
      </c>
      <c r="C387" s="40" t="s">
        <v>165</v>
      </c>
      <c r="D387" s="40" t="s">
        <v>253</v>
      </c>
      <c r="E387" s="40"/>
      <c r="F387" s="40"/>
      <c r="G387" s="10">
        <f>G388+G392</f>
        <v>0</v>
      </c>
    </row>
    <row r="388" spans="1:8" ht="31.5" hidden="1" x14ac:dyDescent="0.25">
      <c r="A388" s="25" t="s">
        <v>1255</v>
      </c>
      <c r="B388" s="20" t="s">
        <v>1252</v>
      </c>
      <c r="C388" s="40" t="s">
        <v>165</v>
      </c>
      <c r="D388" s="40" t="s">
        <v>253</v>
      </c>
      <c r="E388" s="40"/>
      <c r="F388" s="40"/>
      <c r="G388" s="10">
        <f>G389</f>
        <v>0</v>
      </c>
    </row>
    <row r="389" spans="1:8" ht="15.75" hidden="1" x14ac:dyDescent="0.25">
      <c r="A389" s="25" t="s">
        <v>150</v>
      </c>
      <c r="B389" s="20" t="s">
        <v>1252</v>
      </c>
      <c r="C389" s="40" t="s">
        <v>165</v>
      </c>
      <c r="D389" s="40" t="s">
        <v>253</v>
      </c>
      <c r="E389" s="40" t="s">
        <v>147</v>
      </c>
      <c r="F389" s="40"/>
      <c r="G389" s="10">
        <f>G390</f>
        <v>0</v>
      </c>
    </row>
    <row r="390" spans="1:8" ht="47.25" hidden="1" x14ac:dyDescent="0.25">
      <c r="A390" s="25" t="s">
        <v>199</v>
      </c>
      <c r="B390" s="20" t="s">
        <v>1252</v>
      </c>
      <c r="C390" s="40" t="s">
        <v>165</v>
      </c>
      <c r="D390" s="40" t="s">
        <v>253</v>
      </c>
      <c r="E390" s="40" t="s">
        <v>149</v>
      </c>
      <c r="F390" s="40"/>
      <c r="G390" s="10">
        <f>'Пр.5 Рд,пр, ЦС,ВР 20'!F312</f>
        <v>0</v>
      </c>
    </row>
    <row r="391" spans="1:8" s="229" customFormat="1" ht="15.75" hidden="1" x14ac:dyDescent="0.25">
      <c r="A391" s="29" t="s">
        <v>163</v>
      </c>
      <c r="B391" s="20" t="s">
        <v>1252</v>
      </c>
      <c r="C391" s="40" t="s">
        <v>165</v>
      </c>
      <c r="D391" s="40" t="s">
        <v>253</v>
      </c>
      <c r="E391" s="40" t="s">
        <v>149</v>
      </c>
      <c r="F391" s="40" t="s">
        <v>657</v>
      </c>
      <c r="G391" s="10">
        <f>G390</f>
        <v>0</v>
      </c>
      <c r="H391" s="230"/>
    </row>
    <row r="392" spans="1:8" s="229" customFormat="1" ht="31.5" hidden="1" x14ac:dyDescent="0.25">
      <c r="A392" s="25" t="s">
        <v>254</v>
      </c>
      <c r="B392" s="20" t="s">
        <v>1253</v>
      </c>
      <c r="C392" s="40" t="s">
        <v>165</v>
      </c>
      <c r="D392" s="40" t="s">
        <v>253</v>
      </c>
      <c r="E392" s="40"/>
      <c r="F392" s="40"/>
      <c r="G392" s="10">
        <f>G393</f>
        <v>0</v>
      </c>
      <c r="H392" s="230"/>
    </row>
    <row r="393" spans="1:8" s="229" customFormat="1" ht="15.75" hidden="1" x14ac:dyDescent="0.25">
      <c r="A393" s="25" t="s">
        <v>150</v>
      </c>
      <c r="B393" s="20" t="s">
        <v>1253</v>
      </c>
      <c r="C393" s="40" t="s">
        <v>165</v>
      </c>
      <c r="D393" s="40" t="s">
        <v>253</v>
      </c>
      <c r="E393" s="40" t="s">
        <v>160</v>
      </c>
      <c r="F393" s="40"/>
      <c r="G393" s="10">
        <f>G394</f>
        <v>0</v>
      </c>
      <c r="H393" s="230"/>
    </row>
    <row r="394" spans="1:8" s="229" customFormat="1" ht="47.25" hidden="1" x14ac:dyDescent="0.25">
      <c r="A394" s="25" t="s">
        <v>199</v>
      </c>
      <c r="B394" s="20" t="s">
        <v>1253</v>
      </c>
      <c r="C394" s="40" t="s">
        <v>165</v>
      </c>
      <c r="D394" s="40" t="s">
        <v>253</v>
      </c>
      <c r="E394" s="40" t="s">
        <v>175</v>
      </c>
      <c r="F394" s="40"/>
      <c r="G394" s="10">
        <f>'Пр.5 Рд,пр, ЦС,ВР 20'!F315</f>
        <v>0</v>
      </c>
      <c r="H394" s="230"/>
    </row>
    <row r="395" spans="1:8" ht="15.75" hidden="1" x14ac:dyDescent="0.25">
      <c r="A395" s="29" t="s">
        <v>163</v>
      </c>
      <c r="B395" s="20" t="s">
        <v>1253</v>
      </c>
      <c r="C395" s="40" t="s">
        <v>165</v>
      </c>
      <c r="D395" s="40" t="s">
        <v>253</v>
      </c>
      <c r="E395" s="40" t="s">
        <v>175</v>
      </c>
      <c r="F395" s="40" t="s">
        <v>657</v>
      </c>
      <c r="G395" s="10">
        <f>G394</f>
        <v>0</v>
      </c>
    </row>
    <row r="396" spans="1:8" ht="45.75" customHeight="1" x14ac:dyDescent="0.25">
      <c r="A396" s="41" t="s">
        <v>818</v>
      </c>
      <c r="B396" s="214" t="s">
        <v>177</v>
      </c>
      <c r="C396" s="7"/>
      <c r="D396" s="7"/>
      <c r="E396" s="7"/>
      <c r="F396" s="7"/>
      <c r="G396" s="59">
        <f>G397+G404+G423</f>
        <v>549</v>
      </c>
      <c r="H396" s="230">
        <v>806</v>
      </c>
    </row>
    <row r="397" spans="1:8" s="229" customFormat="1" ht="67.5" customHeight="1" x14ac:dyDescent="0.25">
      <c r="A397" s="283" t="s">
        <v>1161</v>
      </c>
      <c r="B397" s="7" t="s">
        <v>897</v>
      </c>
      <c r="C397" s="7"/>
      <c r="D397" s="8"/>
      <c r="E397" s="214"/>
      <c r="F397" s="7"/>
      <c r="G397" s="59">
        <f>G399</f>
        <v>446</v>
      </c>
      <c r="H397" s="230"/>
    </row>
    <row r="398" spans="1:8" s="229" customFormat="1" ht="15.75" customHeight="1" x14ac:dyDescent="0.25">
      <c r="A398" s="45" t="s">
        <v>132</v>
      </c>
      <c r="B398" s="5" t="s">
        <v>897</v>
      </c>
      <c r="C398" s="40" t="s">
        <v>133</v>
      </c>
      <c r="D398" s="5"/>
      <c r="E398" s="5"/>
      <c r="F398" s="40"/>
      <c r="G398" s="10">
        <f t="shared" ref="G398" si="55">G399</f>
        <v>446</v>
      </c>
      <c r="H398" s="230"/>
    </row>
    <row r="399" spans="1:8" s="229" customFormat="1" ht="45.75" customHeight="1" x14ac:dyDescent="0.25">
      <c r="A399" s="29" t="s">
        <v>164</v>
      </c>
      <c r="B399" s="5" t="s">
        <v>897</v>
      </c>
      <c r="C399" s="40" t="s">
        <v>133</v>
      </c>
      <c r="D399" s="9" t="s">
        <v>165</v>
      </c>
      <c r="E399" s="5"/>
      <c r="F399" s="40"/>
      <c r="G399" s="10">
        <f>G400</f>
        <v>446</v>
      </c>
      <c r="H399" s="230"/>
    </row>
    <row r="400" spans="1:8" s="229" customFormat="1" ht="36" customHeight="1" x14ac:dyDescent="0.25">
      <c r="A400" s="29" t="s">
        <v>178</v>
      </c>
      <c r="B400" s="40" t="s">
        <v>889</v>
      </c>
      <c r="C400" s="40" t="s">
        <v>133</v>
      </c>
      <c r="D400" s="9" t="s">
        <v>165</v>
      </c>
      <c r="E400" s="40"/>
      <c r="F400" s="40"/>
      <c r="G400" s="10">
        <f t="shared" ref="G400:G401" si="56">G401</f>
        <v>446</v>
      </c>
      <c r="H400" s="230"/>
    </row>
    <row r="401" spans="1:8" s="229" customFormat="1" ht="34.5" customHeight="1" x14ac:dyDescent="0.25">
      <c r="A401" s="29" t="s">
        <v>146</v>
      </c>
      <c r="B401" s="40" t="s">
        <v>889</v>
      </c>
      <c r="C401" s="40" t="s">
        <v>133</v>
      </c>
      <c r="D401" s="9" t="s">
        <v>165</v>
      </c>
      <c r="E401" s="40" t="s">
        <v>147</v>
      </c>
      <c r="F401" s="40"/>
      <c r="G401" s="10">
        <f t="shared" si="56"/>
        <v>446</v>
      </c>
      <c r="H401" s="230"/>
    </row>
    <row r="402" spans="1:8" s="229" customFormat="1" ht="36" customHeight="1" x14ac:dyDescent="0.25">
      <c r="A402" s="29" t="s">
        <v>148</v>
      </c>
      <c r="B402" s="40" t="s">
        <v>889</v>
      </c>
      <c r="C402" s="40" t="s">
        <v>133</v>
      </c>
      <c r="D402" s="9" t="s">
        <v>165</v>
      </c>
      <c r="E402" s="40" t="s">
        <v>149</v>
      </c>
      <c r="F402" s="40"/>
      <c r="G402" s="10">
        <f>'Пр.5 Рд,пр, ЦС,ВР 20'!F86</f>
        <v>446</v>
      </c>
      <c r="H402" s="230"/>
    </row>
    <row r="403" spans="1:8" s="229" customFormat="1" ht="20.25" customHeight="1" x14ac:dyDescent="0.25">
      <c r="A403" s="29" t="s">
        <v>163</v>
      </c>
      <c r="B403" s="40" t="s">
        <v>889</v>
      </c>
      <c r="C403" s="40" t="s">
        <v>133</v>
      </c>
      <c r="D403" s="9" t="s">
        <v>165</v>
      </c>
      <c r="E403" s="40" t="s">
        <v>149</v>
      </c>
      <c r="F403" s="40" t="s">
        <v>657</v>
      </c>
      <c r="G403" s="10">
        <f>G402</f>
        <v>446</v>
      </c>
      <c r="H403" s="230"/>
    </row>
    <row r="404" spans="1:8" s="229" customFormat="1" ht="63" customHeight="1" x14ac:dyDescent="0.25">
      <c r="A404" s="282" t="s">
        <v>891</v>
      </c>
      <c r="B404" s="7" t="s">
        <v>898</v>
      </c>
      <c r="C404" s="7"/>
      <c r="D404" s="8"/>
      <c r="E404" s="214"/>
      <c r="F404" s="7"/>
      <c r="G404" s="59">
        <f>G405</f>
        <v>102.5</v>
      </c>
      <c r="H404" s="230"/>
    </row>
    <row r="405" spans="1:8" ht="15.75" x14ac:dyDescent="0.25">
      <c r="A405" s="45" t="s">
        <v>132</v>
      </c>
      <c r="B405" s="5" t="s">
        <v>898</v>
      </c>
      <c r="C405" s="40" t="s">
        <v>133</v>
      </c>
      <c r="D405" s="5"/>
      <c r="E405" s="5"/>
      <c r="F405" s="40"/>
      <c r="G405" s="10">
        <f>G406+G415</f>
        <v>102.5</v>
      </c>
    </row>
    <row r="406" spans="1:8" ht="47.25" x14ac:dyDescent="0.25">
      <c r="A406" s="29" t="s">
        <v>590</v>
      </c>
      <c r="B406" s="5" t="s">
        <v>898</v>
      </c>
      <c r="C406" s="40" t="s">
        <v>133</v>
      </c>
      <c r="D406" s="9" t="s">
        <v>228</v>
      </c>
      <c r="E406" s="5"/>
      <c r="F406" s="40"/>
      <c r="G406" s="10">
        <f>G407+G411</f>
        <v>25.5</v>
      </c>
    </row>
    <row r="407" spans="1:8" s="229" customFormat="1" ht="47.25" x14ac:dyDescent="0.25">
      <c r="A407" s="31" t="s">
        <v>711</v>
      </c>
      <c r="B407" s="40" t="s">
        <v>1147</v>
      </c>
      <c r="C407" s="40" t="s">
        <v>133</v>
      </c>
      <c r="D407" s="9" t="s">
        <v>228</v>
      </c>
      <c r="E407" s="5"/>
      <c r="F407" s="40"/>
      <c r="G407" s="10">
        <f>G408</f>
        <v>0.5</v>
      </c>
      <c r="H407" s="230"/>
    </row>
    <row r="408" spans="1:8" s="229" customFormat="1" ht="31.5" x14ac:dyDescent="0.25">
      <c r="A408" s="25" t="s">
        <v>146</v>
      </c>
      <c r="B408" s="40" t="s">
        <v>1147</v>
      </c>
      <c r="C408" s="40" t="s">
        <v>133</v>
      </c>
      <c r="D408" s="9" t="s">
        <v>228</v>
      </c>
      <c r="E408" s="5">
        <v>200</v>
      </c>
      <c r="F408" s="40"/>
      <c r="G408" s="10">
        <f>G409</f>
        <v>0.5</v>
      </c>
      <c r="H408" s="230"/>
    </row>
    <row r="409" spans="1:8" s="229" customFormat="1" ht="31.5" x14ac:dyDescent="0.25">
      <c r="A409" s="25" t="s">
        <v>148</v>
      </c>
      <c r="B409" s="40" t="s">
        <v>712</v>
      </c>
      <c r="C409" s="40" t="s">
        <v>133</v>
      </c>
      <c r="D409" s="9" t="s">
        <v>228</v>
      </c>
      <c r="E409" s="5">
        <v>240</v>
      </c>
      <c r="F409" s="40"/>
      <c r="G409" s="10">
        <f>'Пр.5 Рд,пр, ЦС,ВР 20'!F24</f>
        <v>0.5</v>
      </c>
      <c r="H409" s="230"/>
    </row>
    <row r="410" spans="1:8" s="229" customFormat="1" ht="31.5" x14ac:dyDescent="0.25">
      <c r="A410" s="45" t="s">
        <v>589</v>
      </c>
      <c r="B410" s="40" t="s">
        <v>712</v>
      </c>
      <c r="C410" s="40" t="s">
        <v>133</v>
      </c>
      <c r="D410" s="9" t="s">
        <v>228</v>
      </c>
      <c r="E410" s="5">
        <v>240</v>
      </c>
      <c r="F410" s="40" t="s">
        <v>813</v>
      </c>
      <c r="G410" s="10">
        <f>G409</f>
        <v>0.5</v>
      </c>
      <c r="H410" s="230"/>
    </row>
    <row r="411" spans="1:8" s="229" customFormat="1" ht="47.25" x14ac:dyDescent="0.25">
      <c r="A411" s="31" t="s">
        <v>711</v>
      </c>
      <c r="B411" s="20" t="s">
        <v>1146</v>
      </c>
      <c r="C411" s="40" t="s">
        <v>133</v>
      </c>
      <c r="D411" s="9" t="s">
        <v>228</v>
      </c>
      <c r="E411" s="5"/>
      <c r="F411" s="40"/>
      <c r="G411" s="10">
        <f>G412</f>
        <v>25</v>
      </c>
      <c r="H411" s="230"/>
    </row>
    <row r="412" spans="1:8" s="229" customFormat="1" ht="31.5" x14ac:dyDescent="0.25">
      <c r="A412" s="25" t="s">
        <v>146</v>
      </c>
      <c r="B412" s="20" t="s">
        <v>1146</v>
      </c>
      <c r="C412" s="40" t="s">
        <v>133</v>
      </c>
      <c r="D412" s="9" t="s">
        <v>228</v>
      </c>
      <c r="E412" s="5">
        <v>200</v>
      </c>
      <c r="F412" s="40"/>
      <c r="G412" s="10">
        <f>G413</f>
        <v>25</v>
      </c>
      <c r="H412" s="230"/>
    </row>
    <row r="413" spans="1:8" s="229" customFormat="1" ht="31.5" x14ac:dyDescent="0.25">
      <c r="A413" s="25" t="s">
        <v>148</v>
      </c>
      <c r="B413" s="20" t="s">
        <v>1146</v>
      </c>
      <c r="C413" s="40" t="s">
        <v>133</v>
      </c>
      <c r="D413" s="9" t="s">
        <v>228</v>
      </c>
      <c r="E413" s="5">
        <v>240</v>
      </c>
      <c r="F413" s="40"/>
      <c r="G413" s="10">
        <f>'Пр.5 Рд,пр, ЦС,ВР 20'!F27</f>
        <v>25</v>
      </c>
      <c r="H413" s="230"/>
    </row>
    <row r="414" spans="1:8" s="229" customFormat="1" ht="31.5" x14ac:dyDescent="0.25">
      <c r="A414" s="45" t="s">
        <v>589</v>
      </c>
      <c r="B414" s="20" t="s">
        <v>1146</v>
      </c>
      <c r="C414" s="40" t="s">
        <v>133</v>
      </c>
      <c r="D414" s="9" t="s">
        <v>228</v>
      </c>
      <c r="E414" s="5">
        <v>240</v>
      </c>
      <c r="F414" s="40" t="s">
        <v>813</v>
      </c>
      <c r="G414" s="10">
        <f>G413</f>
        <v>25</v>
      </c>
      <c r="H414" s="230"/>
    </row>
    <row r="415" spans="1:8" s="229" customFormat="1" ht="63" x14ac:dyDescent="0.25">
      <c r="A415" s="29" t="s">
        <v>164</v>
      </c>
      <c r="B415" s="5" t="s">
        <v>898</v>
      </c>
      <c r="C415" s="40" t="s">
        <v>133</v>
      </c>
      <c r="D415" s="9" t="s">
        <v>165</v>
      </c>
      <c r="E415" s="5"/>
      <c r="F415" s="40"/>
      <c r="G415" s="10">
        <f>G416</f>
        <v>77</v>
      </c>
      <c r="H415" s="230"/>
    </row>
    <row r="416" spans="1:8" ht="47.25" x14ac:dyDescent="0.25">
      <c r="A416" s="180" t="s">
        <v>180</v>
      </c>
      <c r="B416" s="40" t="s">
        <v>890</v>
      </c>
      <c r="C416" s="40" t="s">
        <v>133</v>
      </c>
      <c r="D416" s="9" t="s">
        <v>165</v>
      </c>
      <c r="E416" s="40"/>
      <c r="F416" s="40"/>
      <c r="G416" s="10">
        <f>G417+G420</f>
        <v>77</v>
      </c>
    </row>
    <row r="417" spans="1:8" ht="78.75" x14ac:dyDescent="0.25">
      <c r="A417" s="25" t="s">
        <v>142</v>
      </c>
      <c r="B417" s="40" t="s">
        <v>890</v>
      </c>
      <c r="C417" s="40" t="s">
        <v>133</v>
      </c>
      <c r="D417" s="9" t="s">
        <v>165</v>
      </c>
      <c r="E417" s="40" t="s">
        <v>143</v>
      </c>
      <c r="F417" s="40"/>
      <c r="G417" s="10">
        <f t="shared" ref="G417" si="57">G418</f>
        <v>37</v>
      </c>
    </row>
    <row r="418" spans="1:8" ht="31.5" x14ac:dyDescent="0.25">
      <c r="A418" s="25" t="s">
        <v>144</v>
      </c>
      <c r="B418" s="40" t="s">
        <v>890</v>
      </c>
      <c r="C418" s="40" t="s">
        <v>133</v>
      </c>
      <c r="D418" s="9" t="s">
        <v>165</v>
      </c>
      <c r="E418" s="40" t="s">
        <v>145</v>
      </c>
      <c r="F418" s="40"/>
      <c r="G418" s="10">
        <f>'Пр.5 Рд,пр, ЦС,ВР 20'!F90</f>
        <v>37</v>
      </c>
    </row>
    <row r="419" spans="1:8" s="229" customFormat="1" ht="15.75" x14ac:dyDescent="0.25">
      <c r="A419" s="29" t="s">
        <v>163</v>
      </c>
      <c r="B419" s="40" t="s">
        <v>890</v>
      </c>
      <c r="C419" s="40" t="s">
        <v>133</v>
      </c>
      <c r="D419" s="9" t="s">
        <v>165</v>
      </c>
      <c r="E419" s="40" t="s">
        <v>145</v>
      </c>
      <c r="F419" s="40" t="s">
        <v>657</v>
      </c>
      <c r="G419" s="10">
        <f>G418</f>
        <v>37</v>
      </c>
      <c r="H419" s="230"/>
    </row>
    <row r="420" spans="1:8" ht="31.5" x14ac:dyDescent="0.25">
      <c r="A420" s="25" t="s">
        <v>146</v>
      </c>
      <c r="B420" s="40" t="s">
        <v>890</v>
      </c>
      <c r="C420" s="40" t="s">
        <v>133</v>
      </c>
      <c r="D420" s="9" t="s">
        <v>165</v>
      </c>
      <c r="E420" s="40" t="s">
        <v>147</v>
      </c>
      <c r="F420" s="40"/>
      <c r="G420" s="10">
        <f t="shared" ref="G420" si="58">G421</f>
        <v>40</v>
      </c>
    </row>
    <row r="421" spans="1:8" ht="31.5" x14ac:dyDescent="0.25">
      <c r="A421" s="25" t="s">
        <v>148</v>
      </c>
      <c r="B421" s="40" t="s">
        <v>890</v>
      </c>
      <c r="C421" s="40" t="s">
        <v>133</v>
      </c>
      <c r="D421" s="9" t="s">
        <v>165</v>
      </c>
      <c r="E421" s="40" t="s">
        <v>149</v>
      </c>
      <c r="F421" s="40"/>
      <c r="G421" s="10">
        <f>'Пр.5 Рд,пр, ЦС,ВР 20'!F92</f>
        <v>40</v>
      </c>
    </row>
    <row r="422" spans="1:8" s="229" customFormat="1" ht="19.5" customHeight="1" x14ac:dyDescent="0.25">
      <c r="A422" s="29" t="s">
        <v>163</v>
      </c>
      <c r="B422" s="40" t="s">
        <v>890</v>
      </c>
      <c r="C422" s="40" t="s">
        <v>133</v>
      </c>
      <c r="D422" s="9" t="s">
        <v>165</v>
      </c>
      <c r="E422" s="40" t="s">
        <v>149</v>
      </c>
      <c r="F422" s="40" t="s">
        <v>657</v>
      </c>
      <c r="G422" s="10">
        <f>G421</f>
        <v>40</v>
      </c>
      <c r="H422" s="230"/>
    </row>
    <row r="423" spans="1:8" s="229" customFormat="1" ht="63" x14ac:dyDescent="0.25">
      <c r="A423" s="284" t="s">
        <v>1162</v>
      </c>
      <c r="B423" s="7" t="s">
        <v>899</v>
      </c>
      <c r="C423" s="7"/>
      <c r="D423" s="8"/>
      <c r="E423" s="7"/>
      <c r="F423" s="7"/>
      <c r="G423" s="59">
        <f>G424</f>
        <v>0.5</v>
      </c>
      <c r="H423" s="230"/>
    </row>
    <row r="424" spans="1:8" s="229" customFormat="1" ht="15.75" x14ac:dyDescent="0.25">
      <c r="A424" s="45" t="s">
        <v>132</v>
      </c>
      <c r="B424" s="40" t="s">
        <v>899</v>
      </c>
      <c r="C424" s="40" t="s">
        <v>133</v>
      </c>
      <c r="D424" s="9"/>
      <c r="E424" s="7"/>
      <c r="F424" s="7"/>
      <c r="G424" s="10">
        <f>G425</f>
        <v>0.5</v>
      </c>
      <c r="H424" s="230"/>
    </row>
    <row r="425" spans="1:8" s="229" customFormat="1" ht="63" x14ac:dyDescent="0.25">
      <c r="A425" s="29" t="s">
        <v>164</v>
      </c>
      <c r="B425" s="40" t="s">
        <v>899</v>
      </c>
      <c r="C425" s="40" t="s">
        <v>133</v>
      </c>
      <c r="D425" s="9" t="s">
        <v>165</v>
      </c>
      <c r="E425" s="7"/>
      <c r="F425" s="7"/>
      <c r="G425" s="10">
        <f>G426</f>
        <v>0.5</v>
      </c>
      <c r="H425" s="230"/>
    </row>
    <row r="426" spans="1:8" s="229" customFormat="1" ht="47.25" x14ac:dyDescent="0.25">
      <c r="A426" s="33" t="s">
        <v>206</v>
      </c>
      <c r="B426" s="40" t="s">
        <v>892</v>
      </c>
      <c r="C426" s="40" t="s">
        <v>133</v>
      </c>
      <c r="D426" s="9" t="s">
        <v>165</v>
      </c>
      <c r="E426" s="40"/>
      <c r="F426" s="40"/>
      <c r="G426" s="10">
        <f>G427</f>
        <v>0.5</v>
      </c>
      <c r="H426" s="230"/>
    </row>
    <row r="427" spans="1:8" s="229" customFormat="1" ht="31.5" x14ac:dyDescent="0.25">
      <c r="A427" s="25" t="s">
        <v>146</v>
      </c>
      <c r="B427" s="40" t="s">
        <v>892</v>
      </c>
      <c r="C427" s="40" t="s">
        <v>133</v>
      </c>
      <c r="D427" s="9" t="s">
        <v>165</v>
      </c>
      <c r="E427" s="40" t="s">
        <v>147</v>
      </c>
      <c r="F427" s="40"/>
      <c r="G427" s="10">
        <f>G428</f>
        <v>0.5</v>
      </c>
      <c r="H427" s="230"/>
    </row>
    <row r="428" spans="1:8" s="229" customFormat="1" ht="31.5" x14ac:dyDescent="0.25">
      <c r="A428" s="25" t="s">
        <v>148</v>
      </c>
      <c r="B428" s="40" t="s">
        <v>892</v>
      </c>
      <c r="C428" s="40" t="s">
        <v>133</v>
      </c>
      <c r="D428" s="9" t="s">
        <v>165</v>
      </c>
      <c r="E428" s="40" t="s">
        <v>149</v>
      </c>
      <c r="F428" s="40"/>
      <c r="G428" s="10">
        <f>'Пр.5 Рд,пр, ЦС,ВР 20'!F96</f>
        <v>0.5</v>
      </c>
      <c r="H428" s="230"/>
    </row>
    <row r="429" spans="1:8" s="229" customFormat="1" ht="15.75" x14ac:dyDescent="0.25">
      <c r="A429" s="29" t="s">
        <v>163</v>
      </c>
      <c r="B429" s="40" t="s">
        <v>892</v>
      </c>
      <c r="C429" s="40" t="s">
        <v>133</v>
      </c>
      <c r="D429" s="9" t="s">
        <v>165</v>
      </c>
      <c r="E429" s="40" t="s">
        <v>149</v>
      </c>
      <c r="F429" s="40" t="s">
        <v>657</v>
      </c>
      <c r="G429" s="10">
        <f>G428</f>
        <v>0.5</v>
      </c>
      <c r="H429" s="230"/>
    </row>
    <row r="430" spans="1:8" s="229" customFormat="1" ht="47.25" x14ac:dyDescent="0.25">
      <c r="A430" s="33" t="s">
        <v>206</v>
      </c>
      <c r="B430" s="20" t="s">
        <v>893</v>
      </c>
      <c r="C430" s="40" t="s">
        <v>133</v>
      </c>
      <c r="D430" s="9" t="s">
        <v>165</v>
      </c>
      <c r="E430" s="40"/>
      <c r="F430" s="40"/>
      <c r="G430" s="10">
        <f>G431</f>
        <v>0</v>
      </c>
      <c r="H430" s="230"/>
    </row>
    <row r="431" spans="1:8" s="229" customFormat="1" ht="31.5" x14ac:dyDescent="0.25">
      <c r="A431" s="25" t="s">
        <v>146</v>
      </c>
      <c r="B431" s="20" t="s">
        <v>893</v>
      </c>
      <c r="C431" s="40" t="s">
        <v>133</v>
      </c>
      <c r="D431" s="9" t="s">
        <v>165</v>
      </c>
      <c r="E431" s="40" t="s">
        <v>147</v>
      </c>
      <c r="F431" s="40"/>
      <c r="G431" s="10">
        <f>G432</f>
        <v>0</v>
      </c>
      <c r="H431" s="230"/>
    </row>
    <row r="432" spans="1:8" s="229" customFormat="1" ht="31.5" x14ac:dyDescent="0.25">
      <c r="A432" s="25" t="s">
        <v>148</v>
      </c>
      <c r="B432" s="20" t="s">
        <v>893</v>
      </c>
      <c r="C432" s="40" t="s">
        <v>133</v>
      </c>
      <c r="D432" s="9" t="s">
        <v>165</v>
      </c>
      <c r="E432" s="40" t="s">
        <v>149</v>
      </c>
      <c r="F432" s="40"/>
      <c r="G432" s="10">
        <f>'Пр.5 Рд,пр, ЦС,ВР 20'!F99</f>
        <v>0</v>
      </c>
      <c r="H432" s="230"/>
    </row>
    <row r="433" spans="1:8" ht="15.75" x14ac:dyDescent="0.25">
      <c r="A433" s="29" t="s">
        <v>163</v>
      </c>
      <c r="B433" s="20" t="s">
        <v>893</v>
      </c>
      <c r="C433" s="40" t="s">
        <v>133</v>
      </c>
      <c r="D433" s="9" t="s">
        <v>165</v>
      </c>
      <c r="E433" s="40" t="s">
        <v>149</v>
      </c>
      <c r="F433" s="40" t="s">
        <v>657</v>
      </c>
      <c r="G433" s="10">
        <f>G432</f>
        <v>0</v>
      </c>
    </row>
    <row r="434" spans="1:8" ht="70.5" customHeight="1" x14ac:dyDescent="0.25">
      <c r="A434" s="41" t="s">
        <v>268</v>
      </c>
      <c r="B434" s="214" t="s">
        <v>269</v>
      </c>
      <c r="C434" s="40"/>
      <c r="D434" s="40"/>
      <c r="E434" s="40"/>
      <c r="F434" s="40"/>
      <c r="G434" s="59">
        <f t="shared" ref="G434" si="59">G436</f>
        <v>10</v>
      </c>
      <c r="H434" s="230">
        <v>10</v>
      </c>
    </row>
    <row r="435" spans="1:8" s="229" customFormat="1" ht="54" customHeight="1" x14ac:dyDescent="0.25">
      <c r="A435" s="23" t="s">
        <v>933</v>
      </c>
      <c r="B435" s="24" t="s">
        <v>931</v>
      </c>
      <c r="C435" s="40"/>
      <c r="D435" s="40"/>
      <c r="E435" s="40"/>
      <c r="F435" s="40"/>
      <c r="G435" s="59">
        <f>G436</f>
        <v>10</v>
      </c>
      <c r="H435" s="230"/>
    </row>
    <row r="436" spans="1:8" ht="15.75" x14ac:dyDescent="0.25">
      <c r="A436" s="29" t="s">
        <v>258</v>
      </c>
      <c r="B436" s="5" t="s">
        <v>931</v>
      </c>
      <c r="C436" s="40" t="s">
        <v>259</v>
      </c>
      <c r="D436" s="40"/>
      <c r="E436" s="40"/>
      <c r="F436" s="40"/>
      <c r="G436" s="10">
        <f>G437</f>
        <v>10</v>
      </c>
    </row>
    <row r="437" spans="1:8" ht="22.5" customHeight="1" x14ac:dyDescent="0.25">
      <c r="A437" s="29" t="s">
        <v>267</v>
      </c>
      <c r="B437" s="5" t="s">
        <v>931</v>
      </c>
      <c r="C437" s="40" t="s">
        <v>259</v>
      </c>
      <c r="D437" s="40" t="s">
        <v>230</v>
      </c>
      <c r="E437" s="40"/>
      <c r="F437" s="40"/>
      <c r="G437" s="10">
        <f>G438</f>
        <v>10</v>
      </c>
    </row>
    <row r="438" spans="1:8" ht="31.5" x14ac:dyDescent="0.25">
      <c r="A438" s="25" t="s">
        <v>932</v>
      </c>
      <c r="B438" s="20" t="s">
        <v>1155</v>
      </c>
      <c r="C438" s="40" t="s">
        <v>259</v>
      </c>
      <c r="D438" s="40" t="s">
        <v>230</v>
      </c>
      <c r="E438" s="40"/>
      <c r="F438" s="40"/>
      <c r="G438" s="10">
        <f t="shared" ref="G438:G439" si="60">G439</f>
        <v>10</v>
      </c>
    </row>
    <row r="439" spans="1:8" ht="21.75" customHeight="1" x14ac:dyDescent="0.25">
      <c r="A439" s="25" t="s">
        <v>263</v>
      </c>
      <c r="B439" s="20" t="s">
        <v>1155</v>
      </c>
      <c r="C439" s="40" t="s">
        <v>259</v>
      </c>
      <c r="D439" s="40" t="s">
        <v>230</v>
      </c>
      <c r="E439" s="40" t="s">
        <v>264</v>
      </c>
      <c r="F439" s="40"/>
      <c r="G439" s="10">
        <f t="shared" si="60"/>
        <v>10</v>
      </c>
    </row>
    <row r="440" spans="1:8" ht="31.5" customHeight="1" x14ac:dyDescent="0.25">
      <c r="A440" s="25" t="s">
        <v>265</v>
      </c>
      <c r="B440" s="20" t="s">
        <v>1155</v>
      </c>
      <c r="C440" s="40" t="s">
        <v>259</v>
      </c>
      <c r="D440" s="40" t="s">
        <v>230</v>
      </c>
      <c r="E440" s="40" t="s">
        <v>266</v>
      </c>
      <c r="F440" s="40"/>
      <c r="G440" s="10">
        <f>'Пр.6 ведом.20'!G199</f>
        <v>10</v>
      </c>
    </row>
    <row r="441" spans="1:8" ht="15.75" x14ac:dyDescent="0.25">
      <c r="A441" s="45" t="s">
        <v>163</v>
      </c>
      <c r="B441" s="20" t="s">
        <v>1155</v>
      </c>
      <c r="C441" s="40" t="s">
        <v>259</v>
      </c>
      <c r="D441" s="40" t="s">
        <v>230</v>
      </c>
      <c r="E441" s="40" t="s">
        <v>266</v>
      </c>
      <c r="F441" s="40" t="s">
        <v>657</v>
      </c>
      <c r="G441" s="10">
        <f>G440</f>
        <v>10</v>
      </c>
    </row>
    <row r="442" spans="1:8" ht="53.25" customHeight="1" x14ac:dyDescent="0.25">
      <c r="A442" s="41" t="s">
        <v>496</v>
      </c>
      <c r="B442" s="3" t="s">
        <v>497</v>
      </c>
      <c r="C442" s="68"/>
      <c r="D442" s="68"/>
      <c r="E442" s="68"/>
      <c r="F442" s="68"/>
      <c r="G442" s="4">
        <f>G443+G492</f>
        <v>48187.5</v>
      </c>
      <c r="H442" s="230">
        <v>49079.7</v>
      </c>
    </row>
    <row r="443" spans="1:8" ht="47.25" x14ac:dyDescent="0.25">
      <c r="A443" s="58" t="s">
        <v>508</v>
      </c>
      <c r="B443" s="7" t="s">
        <v>509</v>
      </c>
      <c r="C443" s="7"/>
      <c r="D443" s="7"/>
      <c r="E443" s="7"/>
      <c r="F443" s="3"/>
      <c r="G443" s="59">
        <f>G444+G459+G474+G485</f>
        <v>46187.5</v>
      </c>
    </row>
    <row r="444" spans="1:8" s="229" customFormat="1" ht="31.5" x14ac:dyDescent="0.25">
      <c r="A444" s="23" t="s">
        <v>1033</v>
      </c>
      <c r="B444" s="24" t="s">
        <v>1066</v>
      </c>
      <c r="C444" s="7"/>
      <c r="D444" s="7"/>
      <c r="E444" s="286"/>
      <c r="F444" s="214"/>
      <c r="G444" s="59">
        <f>G445</f>
        <v>44582</v>
      </c>
      <c r="H444" s="230"/>
    </row>
    <row r="445" spans="1:8" ht="17.25" customHeight="1" x14ac:dyDescent="0.25">
      <c r="A445" s="29" t="s">
        <v>505</v>
      </c>
      <c r="B445" s="40" t="s">
        <v>1066</v>
      </c>
      <c r="C445" s="2">
        <v>11</v>
      </c>
      <c r="D445" s="68"/>
      <c r="E445" s="68"/>
      <c r="F445" s="68"/>
      <c r="G445" s="10">
        <f t="shared" ref="G445" si="61">G446</f>
        <v>44582</v>
      </c>
    </row>
    <row r="446" spans="1:8" ht="19.5" customHeight="1" x14ac:dyDescent="0.25">
      <c r="A446" s="29" t="s">
        <v>507</v>
      </c>
      <c r="B446" s="40" t="s">
        <v>1066</v>
      </c>
      <c r="C446" s="40" t="s">
        <v>506</v>
      </c>
      <c r="D446" s="40" t="s">
        <v>133</v>
      </c>
      <c r="E446" s="71"/>
      <c r="F446" s="5"/>
      <c r="G446" s="10">
        <f>G447+G451+G455</f>
        <v>44582</v>
      </c>
    </row>
    <row r="447" spans="1:8" ht="47.25" x14ac:dyDescent="0.25">
      <c r="A447" s="25" t="s">
        <v>838</v>
      </c>
      <c r="B447" s="20" t="s">
        <v>1076</v>
      </c>
      <c r="C447" s="40" t="s">
        <v>506</v>
      </c>
      <c r="D447" s="40" t="s">
        <v>133</v>
      </c>
      <c r="E447" s="71"/>
      <c r="F447" s="5"/>
      <c r="G447" s="10">
        <f>G448</f>
        <v>13108</v>
      </c>
    </row>
    <row r="448" spans="1:8" ht="31.5" x14ac:dyDescent="0.25">
      <c r="A448" s="29" t="s">
        <v>287</v>
      </c>
      <c r="B448" s="20" t="s">
        <v>1076</v>
      </c>
      <c r="C448" s="40" t="s">
        <v>506</v>
      </c>
      <c r="D448" s="40" t="s">
        <v>133</v>
      </c>
      <c r="E448" s="40" t="s">
        <v>288</v>
      </c>
      <c r="F448" s="5"/>
      <c r="G448" s="10">
        <f>G449</f>
        <v>13108</v>
      </c>
    </row>
    <row r="449" spans="1:8" ht="15.75" x14ac:dyDescent="0.25">
      <c r="A449" s="29" t="s">
        <v>289</v>
      </c>
      <c r="B449" s="20" t="s">
        <v>1076</v>
      </c>
      <c r="C449" s="40" t="s">
        <v>506</v>
      </c>
      <c r="D449" s="40" t="s">
        <v>133</v>
      </c>
      <c r="E449" s="40" t="s">
        <v>290</v>
      </c>
      <c r="F449" s="5"/>
      <c r="G449" s="10">
        <f>'Пр.6 ведом.20'!G774</f>
        <v>13108</v>
      </c>
    </row>
    <row r="450" spans="1:8" s="229" customFormat="1" ht="31.5" x14ac:dyDescent="0.25">
      <c r="A450" s="70" t="s">
        <v>495</v>
      </c>
      <c r="B450" s="20" t="s">
        <v>1076</v>
      </c>
      <c r="C450" s="40" t="s">
        <v>506</v>
      </c>
      <c r="D450" s="40" t="s">
        <v>133</v>
      </c>
      <c r="E450" s="40" t="s">
        <v>290</v>
      </c>
      <c r="F450" s="5">
        <v>907</v>
      </c>
      <c r="G450" s="10">
        <f>G449</f>
        <v>13108</v>
      </c>
      <c r="H450" s="230"/>
    </row>
    <row r="451" spans="1:8" ht="31.5" x14ac:dyDescent="0.25">
      <c r="A451" s="25" t="s">
        <v>837</v>
      </c>
      <c r="B451" s="20" t="s">
        <v>1077</v>
      </c>
      <c r="C451" s="40" t="s">
        <v>506</v>
      </c>
      <c r="D451" s="40" t="s">
        <v>133</v>
      </c>
      <c r="E451" s="40"/>
      <c r="F451" s="5"/>
      <c r="G451" s="10">
        <f>G452</f>
        <v>12897</v>
      </c>
    </row>
    <row r="452" spans="1:8" ht="31.5" x14ac:dyDescent="0.25">
      <c r="A452" s="25" t="s">
        <v>287</v>
      </c>
      <c r="B452" s="20" t="s">
        <v>1077</v>
      </c>
      <c r="C452" s="40" t="s">
        <v>506</v>
      </c>
      <c r="D452" s="40" t="s">
        <v>133</v>
      </c>
      <c r="E452" s="40" t="s">
        <v>288</v>
      </c>
      <c r="F452" s="5"/>
      <c r="G452" s="10">
        <f>G453</f>
        <v>12897</v>
      </c>
    </row>
    <row r="453" spans="1:8" ht="15.75" x14ac:dyDescent="0.25">
      <c r="A453" s="25" t="s">
        <v>289</v>
      </c>
      <c r="B453" s="20" t="s">
        <v>1077</v>
      </c>
      <c r="C453" s="40" t="s">
        <v>506</v>
      </c>
      <c r="D453" s="40" t="s">
        <v>133</v>
      </c>
      <c r="E453" s="40" t="s">
        <v>290</v>
      </c>
      <c r="F453" s="5"/>
      <c r="G453" s="10">
        <f>'Пр.6 ведом.20'!G777</f>
        <v>12897</v>
      </c>
    </row>
    <row r="454" spans="1:8" s="229" customFormat="1" ht="31.5" x14ac:dyDescent="0.25">
      <c r="A454" s="70" t="s">
        <v>495</v>
      </c>
      <c r="B454" s="20" t="s">
        <v>1077</v>
      </c>
      <c r="C454" s="40" t="s">
        <v>506</v>
      </c>
      <c r="D454" s="40" t="s">
        <v>133</v>
      </c>
      <c r="E454" s="40" t="s">
        <v>290</v>
      </c>
      <c r="F454" s="5">
        <v>907</v>
      </c>
      <c r="G454" s="10">
        <f>G453</f>
        <v>12897</v>
      </c>
      <c r="H454" s="230"/>
    </row>
    <row r="455" spans="1:8" ht="47.25" x14ac:dyDescent="0.25">
      <c r="A455" s="25" t="s">
        <v>836</v>
      </c>
      <c r="B455" s="20" t="s">
        <v>1078</v>
      </c>
      <c r="C455" s="40" t="s">
        <v>506</v>
      </c>
      <c r="D455" s="40" t="s">
        <v>133</v>
      </c>
      <c r="E455" s="40"/>
      <c r="F455" s="5"/>
      <c r="G455" s="10">
        <f>G456</f>
        <v>18577</v>
      </c>
    </row>
    <row r="456" spans="1:8" ht="31.5" x14ac:dyDescent="0.25">
      <c r="A456" s="25" t="s">
        <v>287</v>
      </c>
      <c r="B456" s="20" t="s">
        <v>1078</v>
      </c>
      <c r="C456" s="40" t="s">
        <v>506</v>
      </c>
      <c r="D456" s="40" t="s">
        <v>133</v>
      </c>
      <c r="E456" s="40" t="s">
        <v>288</v>
      </c>
      <c r="F456" s="5"/>
      <c r="G456" s="10">
        <f>G457</f>
        <v>18577</v>
      </c>
    </row>
    <row r="457" spans="1:8" ht="15.75" x14ac:dyDescent="0.25">
      <c r="A457" s="25" t="s">
        <v>289</v>
      </c>
      <c r="B457" s="20" t="s">
        <v>1078</v>
      </c>
      <c r="C457" s="40" t="s">
        <v>506</v>
      </c>
      <c r="D457" s="40" t="s">
        <v>133</v>
      </c>
      <c r="E457" s="40" t="s">
        <v>290</v>
      </c>
      <c r="F457" s="5"/>
      <c r="G457" s="10">
        <f>'Пр.6 ведом.20'!G780</f>
        <v>18577</v>
      </c>
    </row>
    <row r="458" spans="1:8" s="229" customFormat="1" ht="31.5" x14ac:dyDescent="0.25">
      <c r="A458" s="70" t="s">
        <v>495</v>
      </c>
      <c r="B458" s="20" t="s">
        <v>1078</v>
      </c>
      <c r="C458" s="40" t="s">
        <v>506</v>
      </c>
      <c r="D458" s="40" t="s">
        <v>133</v>
      </c>
      <c r="E458" s="40" t="s">
        <v>290</v>
      </c>
      <c r="F458" s="5">
        <v>907</v>
      </c>
      <c r="G458" s="10">
        <f>G457</f>
        <v>18577</v>
      </c>
      <c r="H458" s="230"/>
    </row>
    <row r="459" spans="1:8" s="229" customFormat="1" ht="31.5" x14ac:dyDescent="0.25">
      <c r="A459" s="23" t="s">
        <v>1079</v>
      </c>
      <c r="B459" s="24" t="s">
        <v>1080</v>
      </c>
      <c r="C459" s="7"/>
      <c r="D459" s="7"/>
      <c r="E459" s="7"/>
      <c r="F459" s="214"/>
      <c r="G459" s="59">
        <f>G460</f>
        <v>36</v>
      </c>
      <c r="H459" s="230"/>
    </row>
    <row r="460" spans="1:8" s="229" customFormat="1" ht="15.75" x14ac:dyDescent="0.25">
      <c r="A460" s="29" t="s">
        <v>505</v>
      </c>
      <c r="B460" s="40" t="s">
        <v>1080</v>
      </c>
      <c r="C460" s="2">
        <v>11</v>
      </c>
      <c r="D460" s="68"/>
      <c r="E460" s="68"/>
      <c r="F460" s="68"/>
      <c r="G460" s="10">
        <f t="shared" ref="G460" si="62">G461</f>
        <v>36</v>
      </c>
      <c r="H460" s="230"/>
    </row>
    <row r="461" spans="1:8" s="229" customFormat="1" ht="16.5" x14ac:dyDescent="0.25">
      <c r="A461" s="29" t="s">
        <v>507</v>
      </c>
      <c r="B461" s="40" t="s">
        <v>1080</v>
      </c>
      <c r="C461" s="40" t="s">
        <v>506</v>
      </c>
      <c r="D461" s="40" t="s">
        <v>133</v>
      </c>
      <c r="E461" s="71"/>
      <c r="F461" s="5"/>
      <c r="G461" s="10">
        <f>G462+G466+G470</f>
        <v>36</v>
      </c>
      <c r="H461" s="230"/>
    </row>
    <row r="462" spans="1:8" ht="31.5" hidden="1" customHeight="1" x14ac:dyDescent="0.25">
      <c r="A462" s="29" t="s">
        <v>293</v>
      </c>
      <c r="B462" s="20" t="s">
        <v>1084</v>
      </c>
      <c r="C462" s="40" t="s">
        <v>506</v>
      </c>
      <c r="D462" s="40" t="s">
        <v>133</v>
      </c>
      <c r="E462" s="40"/>
      <c r="F462" s="5"/>
      <c r="G462" s="10">
        <f t="shared" ref="G462:G463" si="63">G463</f>
        <v>0</v>
      </c>
    </row>
    <row r="463" spans="1:8" ht="31.5" hidden="1" customHeight="1" x14ac:dyDescent="0.25">
      <c r="A463" s="29" t="s">
        <v>287</v>
      </c>
      <c r="B463" s="20" t="s">
        <v>1084</v>
      </c>
      <c r="C463" s="40" t="s">
        <v>506</v>
      </c>
      <c r="D463" s="40" t="s">
        <v>133</v>
      </c>
      <c r="E463" s="40" t="s">
        <v>288</v>
      </c>
      <c r="F463" s="5"/>
      <c r="G463" s="10">
        <f t="shared" si="63"/>
        <v>0</v>
      </c>
    </row>
    <row r="464" spans="1:8" ht="15.75" hidden="1" customHeight="1" x14ac:dyDescent="0.25">
      <c r="A464" s="29" t="s">
        <v>289</v>
      </c>
      <c r="B464" s="20" t="s">
        <v>1084</v>
      </c>
      <c r="C464" s="40" t="s">
        <v>506</v>
      </c>
      <c r="D464" s="40" t="s">
        <v>133</v>
      </c>
      <c r="E464" s="40" t="s">
        <v>290</v>
      </c>
      <c r="F464" s="5"/>
      <c r="G464" s="10">
        <f>'Пр.6 ведом.20'!G784</f>
        <v>0</v>
      </c>
    </row>
    <row r="465" spans="1:8" s="229" customFormat="1" ht="34.5" hidden="1" customHeight="1" x14ac:dyDescent="0.25">
      <c r="A465" s="70" t="s">
        <v>495</v>
      </c>
      <c r="B465" s="20" t="s">
        <v>1084</v>
      </c>
      <c r="C465" s="40" t="s">
        <v>506</v>
      </c>
      <c r="D465" s="40" t="s">
        <v>133</v>
      </c>
      <c r="E465" s="40" t="s">
        <v>290</v>
      </c>
      <c r="F465" s="5">
        <v>907</v>
      </c>
      <c r="G465" s="10">
        <f>G464</f>
        <v>0</v>
      </c>
      <c r="H465" s="230"/>
    </row>
    <row r="466" spans="1:8" ht="31.5" hidden="1" customHeight="1" x14ac:dyDescent="0.25">
      <c r="A466" s="29" t="s">
        <v>295</v>
      </c>
      <c r="B466" s="20" t="s">
        <v>1085</v>
      </c>
      <c r="C466" s="40" t="s">
        <v>506</v>
      </c>
      <c r="D466" s="40" t="s">
        <v>133</v>
      </c>
      <c r="E466" s="40"/>
      <c r="F466" s="5"/>
      <c r="G466" s="10">
        <f t="shared" ref="G466:G467" si="64">G467</f>
        <v>0</v>
      </c>
    </row>
    <row r="467" spans="1:8" ht="31.5" hidden="1" customHeight="1" x14ac:dyDescent="0.25">
      <c r="A467" s="29" t="s">
        <v>287</v>
      </c>
      <c r="B467" s="20" t="s">
        <v>1085</v>
      </c>
      <c r="C467" s="40" t="s">
        <v>506</v>
      </c>
      <c r="D467" s="40" t="s">
        <v>133</v>
      </c>
      <c r="E467" s="40" t="s">
        <v>288</v>
      </c>
      <c r="F467" s="5"/>
      <c r="G467" s="10">
        <f t="shared" si="64"/>
        <v>0</v>
      </c>
    </row>
    <row r="468" spans="1:8" ht="15.75" hidden="1" customHeight="1" x14ac:dyDescent="0.25">
      <c r="A468" s="29" t="s">
        <v>289</v>
      </c>
      <c r="B468" s="20" t="s">
        <v>1085</v>
      </c>
      <c r="C468" s="40" t="s">
        <v>506</v>
      </c>
      <c r="D468" s="40" t="s">
        <v>133</v>
      </c>
      <c r="E468" s="40" t="s">
        <v>290</v>
      </c>
      <c r="F468" s="5"/>
      <c r="G468" s="10">
        <f>'Пр.6 ведом.20'!G787</f>
        <v>0</v>
      </c>
    </row>
    <row r="469" spans="1:8" s="229" customFormat="1" ht="36" hidden="1" customHeight="1" x14ac:dyDescent="0.25">
      <c r="A469" s="70" t="s">
        <v>495</v>
      </c>
      <c r="B469" s="20" t="s">
        <v>1085</v>
      </c>
      <c r="C469" s="40" t="s">
        <v>506</v>
      </c>
      <c r="D469" s="40" t="s">
        <v>133</v>
      </c>
      <c r="E469" s="40" t="s">
        <v>290</v>
      </c>
      <c r="F469" s="5">
        <v>907</v>
      </c>
      <c r="G469" s="10">
        <f>G468</f>
        <v>0</v>
      </c>
      <c r="H469" s="230"/>
    </row>
    <row r="470" spans="1:8" s="229" customFormat="1" ht="15.75" customHeight="1" x14ac:dyDescent="0.25">
      <c r="A470" s="25" t="s">
        <v>877</v>
      </c>
      <c r="B470" s="20" t="s">
        <v>1086</v>
      </c>
      <c r="C470" s="40" t="s">
        <v>506</v>
      </c>
      <c r="D470" s="40" t="s">
        <v>133</v>
      </c>
      <c r="E470" s="40"/>
      <c r="F470" s="5"/>
      <c r="G470" s="10">
        <f>G471</f>
        <v>36</v>
      </c>
      <c r="H470" s="230"/>
    </row>
    <row r="471" spans="1:8" s="229" customFormat="1" ht="31.5" x14ac:dyDescent="0.25">
      <c r="A471" s="25" t="s">
        <v>287</v>
      </c>
      <c r="B471" s="20" t="s">
        <v>1086</v>
      </c>
      <c r="C471" s="40" t="s">
        <v>506</v>
      </c>
      <c r="D471" s="40" t="s">
        <v>133</v>
      </c>
      <c r="E471" s="40" t="s">
        <v>288</v>
      </c>
      <c r="F471" s="5"/>
      <c r="G471" s="10">
        <f>G472</f>
        <v>36</v>
      </c>
      <c r="H471" s="230"/>
    </row>
    <row r="472" spans="1:8" s="229" customFormat="1" ht="15.75" customHeight="1" x14ac:dyDescent="0.25">
      <c r="A472" s="25" t="s">
        <v>289</v>
      </c>
      <c r="B472" s="20" t="s">
        <v>1086</v>
      </c>
      <c r="C472" s="40" t="s">
        <v>506</v>
      </c>
      <c r="D472" s="40" t="s">
        <v>133</v>
      </c>
      <c r="E472" s="40" t="s">
        <v>290</v>
      </c>
      <c r="F472" s="5"/>
      <c r="G472" s="10">
        <f>'Пр.6 ведом.20'!G790</f>
        <v>36</v>
      </c>
      <c r="H472" s="230"/>
    </row>
    <row r="473" spans="1:8" s="229" customFormat="1" ht="33" customHeight="1" x14ac:dyDescent="0.25">
      <c r="A473" s="70" t="s">
        <v>495</v>
      </c>
      <c r="B473" s="20" t="s">
        <v>1086</v>
      </c>
      <c r="C473" s="40" t="s">
        <v>506</v>
      </c>
      <c r="D473" s="40" t="s">
        <v>133</v>
      </c>
      <c r="E473" s="40" t="s">
        <v>290</v>
      </c>
      <c r="F473" s="5">
        <v>907</v>
      </c>
      <c r="G473" s="10">
        <f>G472</f>
        <v>36</v>
      </c>
      <c r="H473" s="230"/>
    </row>
    <row r="474" spans="1:8" s="229" customFormat="1" ht="36" customHeight="1" x14ac:dyDescent="0.25">
      <c r="A474" s="23" t="s">
        <v>1081</v>
      </c>
      <c r="B474" s="24" t="s">
        <v>1083</v>
      </c>
      <c r="C474" s="7"/>
      <c r="D474" s="7"/>
      <c r="E474" s="7"/>
      <c r="F474" s="214"/>
      <c r="G474" s="59">
        <f>G475</f>
        <v>756</v>
      </c>
      <c r="H474" s="230"/>
    </row>
    <row r="475" spans="1:8" s="229" customFormat="1" ht="18" customHeight="1" x14ac:dyDescent="0.25">
      <c r="A475" s="29" t="s">
        <v>505</v>
      </c>
      <c r="B475" s="40" t="s">
        <v>1083</v>
      </c>
      <c r="C475" s="2">
        <v>11</v>
      </c>
      <c r="D475" s="68"/>
      <c r="E475" s="68"/>
      <c r="F475" s="68"/>
      <c r="G475" s="10">
        <f t="shared" ref="G475" si="65">G476</f>
        <v>756</v>
      </c>
      <c r="H475" s="230"/>
    </row>
    <row r="476" spans="1:8" s="229" customFormat="1" ht="18" customHeight="1" x14ac:dyDescent="0.25">
      <c r="A476" s="29" t="s">
        <v>507</v>
      </c>
      <c r="B476" s="40" t="s">
        <v>1083</v>
      </c>
      <c r="C476" s="40" t="s">
        <v>506</v>
      </c>
      <c r="D476" s="40" t="s">
        <v>133</v>
      </c>
      <c r="E476" s="71"/>
      <c r="F476" s="5"/>
      <c r="G476" s="10">
        <f>G477+G481</f>
        <v>756</v>
      </c>
      <c r="H476" s="230"/>
    </row>
    <row r="477" spans="1:8" ht="31.5" hidden="1" customHeight="1" x14ac:dyDescent="0.25">
      <c r="A477" s="29" t="s">
        <v>299</v>
      </c>
      <c r="B477" s="20" t="s">
        <v>1087</v>
      </c>
      <c r="C477" s="40" t="s">
        <v>506</v>
      </c>
      <c r="D477" s="40" t="s">
        <v>133</v>
      </c>
      <c r="E477" s="40"/>
      <c r="F477" s="5"/>
      <c r="G477" s="10">
        <f t="shared" ref="G477:G478" si="66">G478</f>
        <v>0</v>
      </c>
    </row>
    <row r="478" spans="1:8" ht="31.5" hidden="1" customHeight="1" x14ac:dyDescent="0.25">
      <c r="A478" s="29" t="s">
        <v>287</v>
      </c>
      <c r="B478" s="20" t="s">
        <v>1087</v>
      </c>
      <c r="C478" s="40" t="s">
        <v>506</v>
      </c>
      <c r="D478" s="40" t="s">
        <v>133</v>
      </c>
      <c r="E478" s="40" t="s">
        <v>288</v>
      </c>
      <c r="F478" s="5"/>
      <c r="G478" s="10">
        <f t="shared" si="66"/>
        <v>0</v>
      </c>
    </row>
    <row r="479" spans="1:8" ht="15.75" hidden="1" customHeight="1" x14ac:dyDescent="0.25">
      <c r="A479" s="29" t="s">
        <v>289</v>
      </c>
      <c r="B479" s="20" t="s">
        <v>1087</v>
      </c>
      <c r="C479" s="40" t="s">
        <v>506</v>
      </c>
      <c r="D479" s="40" t="s">
        <v>133</v>
      </c>
      <c r="E479" s="40" t="s">
        <v>290</v>
      </c>
      <c r="F479" s="5"/>
      <c r="G479" s="10">
        <f>'Пр.6 ведом.20'!G794</f>
        <v>0</v>
      </c>
    </row>
    <row r="480" spans="1:8" s="229" customFormat="1" ht="15.75" hidden="1" customHeight="1" x14ac:dyDescent="0.25">
      <c r="A480" s="70" t="s">
        <v>495</v>
      </c>
      <c r="B480" s="20" t="s">
        <v>1087</v>
      </c>
      <c r="C480" s="40" t="s">
        <v>506</v>
      </c>
      <c r="D480" s="40" t="s">
        <v>133</v>
      </c>
      <c r="E480" s="40" t="s">
        <v>290</v>
      </c>
      <c r="F480" s="5">
        <v>907</v>
      </c>
      <c r="G480" s="10">
        <f>G479</f>
        <v>0</v>
      </c>
      <c r="H480" s="230"/>
    </row>
    <row r="481" spans="1:8" ht="31.5" x14ac:dyDescent="0.25">
      <c r="A481" s="45" t="s">
        <v>786</v>
      </c>
      <c r="B481" s="20" t="s">
        <v>1088</v>
      </c>
      <c r="C481" s="40" t="s">
        <v>506</v>
      </c>
      <c r="D481" s="40" t="s">
        <v>133</v>
      </c>
      <c r="E481" s="40"/>
      <c r="F481" s="5"/>
      <c r="G481" s="10">
        <f t="shared" ref="G481:G482" si="67">G482</f>
        <v>756</v>
      </c>
    </row>
    <row r="482" spans="1:8" ht="31.5" x14ac:dyDescent="0.25">
      <c r="A482" s="31" t="s">
        <v>287</v>
      </c>
      <c r="B482" s="20" t="s">
        <v>1088</v>
      </c>
      <c r="C482" s="40" t="s">
        <v>506</v>
      </c>
      <c r="D482" s="40" t="s">
        <v>133</v>
      </c>
      <c r="E482" s="40" t="s">
        <v>288</v>
      </c>
      <c r="F482" s="5"/>
      <c r="G482" s="10">
        <f t="shared" si="67"/>
        <v>756</v>
      </c>
    </row>
    <row r="483" spans="1:8" ht="15.75" x14ac:dyDescent="0.25">
      <c r="A483" s="31" t="s">
        <v>289</v>
      </c>
      <c r="B483" s="20" t="s">
        <v>1088</v>
      </c>
      <c r="C483" s="40" t="s">
        <v>506</v>
      </c>
      <c r="D483" s="40" t="s">
        <v>133</v>
      </c>
      <c r="E483" s="40" t="s">
        <v>290</v>
      </c>
      <c r="F483" s="5"/>
      <c r="G483" s="10">
        <f>'Пр.6 ведом.20'!G797</f>
        <v>756</v>
      </c>
    </row>
    <row r="484" spans="1:8" s="229" customFormat="1" ht="31.5" x14ac:dyDescent="0.25">
      <c r="A484" s="70" t="s">
        <v>495</v>
      </c>
      <c r="B484" s="20" t="s">
        <v>1088</v>
      </c>
      <c r="C484" s="40" t="s">
        <v>506</v>
      </c>
      <c r="D484" s="40" t="s">
        <v>133</v>
      </c>
      <c r="E484" s="40" t="s">
        <v>290</v>
      </c>
      <c r="F484" s="5">
        <v>907</v>
      </c>
      <c r="G484" s="10">
        <f>G483</f>
        <v>756</v>
      </c>
      <c r="H484" s="230"/>
    </row>
    <row r="485" spans="1:8" s="229" customFormat="1" ht="47.25" x14ac:dyDescent="0.25">
      <c r="A485" s="23" t="s">
        <v>973</v>
      </c>
      <c r="B485" s="24" t="s">
        <v>1089</v>
      </c>
      <c r="C485" s="7"/>
      <c r="D485" s="7"/>
      <c r="E485" s="7"/>
      <c r="F485" s="214"/>
      <c r="G485" s="59">
        <f>G486</f>
        <v>813.5</v>
      </c>
      <c r="H485" s="230"/>
    </row>
    <row r="486" spans="1:8" s="229" customFormat="1" ht="15.75" x14ac:dyDescent="0.25">
      <c r="A486" s="29" t="s">
        <v>505</v>
      </c>
      <c r="B486" s="40" t="s">
        <v>1089</v>
      </c>
      <c r="C486" s="2">
        <v>11</v>
      </c>
      <c r="D486" s="68"/>
      <c r="E486" s="68"/>
      <c r="F486" s="68"/>
      <c r="G486" s="10">
        <f t="shared" ref="G486" si="68">G487</f>
        <v>813.5</v>
      </c>
      <c r="H486" s="230"/>
    </row>
    <row r="487" spans="1:8" s="229" customFormat="1" ht="16.5" x14ac:dyDescent="0.25">
      <c r="A487" s="29" t="s">
        <v>507</v>
      </c>
      <c r="B487" s="40" t="s">
        <v>1089</v>
      </c>
      <c r="C487" s="40" t="s">
        <v>506</v>
      </c>
      <c r="D487" s="40" t="s">
        <v>133</v>
      </c>
      <c r="E487" s="71"/>
      <c r="F487" s="5"/>
      <c r="G487" s="10">
        <f>G488</f>
        <v>813.5</v>
      </c>
      <c r="H487" s="230"/>
    </row>
    <row r="488" spans="1:8" s="229" customFormat="1" ht="94.5" x14ac:dyDescent="0.25">
      <c r="A488" s="31" t="s">
        <v>479</v>
      </c>
      <c r="B488" s="20" t="s">
        <v>1090</v>
      </c>
      <c r="C488" s="40" t="s">
        <v>506</v>
      </c>
      <c r="D488" s="40" t="s">
        <v>133</v>
      </c>
      <c r="E488" s="40"/>
      <c r="F488" s="5"/>
      <c r="G488" s="10">
        <f>G489</f>
        <v>813.5</v>
      </c>
      <c r="H488" s="230"/>
    </row>
    <row r="489" spans="1:8" s="229" customFormat="1" ht="31.5" x14ac:dyDescent="0.25">
      <c r="A489" s="25" t="s">
        <v>287</v>
      </c>
      <c r="B489" s="20" t="s">
        <v>1090</v>
      </c>
      <c r="C489" s="40" t="s">
        <v>506</v>
      </c>
      <c r="D489" s="40" t="s">
        <v>133</v>
      </c>
      <c r="E489" s="40" t="s">
        <v>288</v>
      </c>
      <c r="F489" s="5"/>
      <c r="G489" s="10">
        <f>G490</f>
        <v>813.5</v>
      </c>
      <c r="H489" s="230"/>
    </row>
    <row r="490" spans="1:8" s="229" customFormat="1" ht="15.75" x14ac:dyDescent="0.25">
      <c r="A490" s="25" t="s">
        <v>289</v>
      </c>
      <c r="B490" s="20" t="s">
        <v>1090</v>
      </c>
      <c r="C490" s="40" t="s">
        <v>506</v>
      </c>
      <c r="D490" s="40" t="s">
        <v>133</v>
      </c>
      <c r="E490" s="40" t="s">
        <v>290</v>
      </c>
      <c r="F490" s="5"/>
      <c r="G490" s="10">
        <f>'Пр.5 Рд,пр, ЦС,ВР 20'!F945</f>
        <v>813.5</v>
      </c>
      <c r="H490" s="230"/>
    </row>
    <row r="491" spans="1:8" s="229" customFormat="1" ht="31.5" x14ac:dyDescent="0.25">
      <c r="A491" s="70" t="s">
        <v>495</v>
      </c>
      <c r="B491" s="20" t="s">
        <v>1090</v>
      </c>
      <c r="C491" s="40" t="s">
        <v>506</v>
      </c>
      <c r="D491" s="40" t="s">
        <v>133</v>
      </c>
      <c r="E491" s="40" t="s">
        <v>290</v>
      </c>
      <c r="F491" s="5">
        <v>907</v>
      </c>
      <c r="G491" s="10">
        <f>G490</f>
        <v>813.5</v>
      </c>
      <c r="H491" s="230"/>
    </row>
    <row r="492" spans="1:8" ht="47.25" x14ac:dyDescent="0.25">
      <c r="A492" s="58" t="s">
        <v>516</v>
      </c>
      <c r="B492" s="7" t="s">
        <v>517</v>
      </c>
      <c r="C492" s="40"/>
      <c r="D492" s="40"/>
      <c r="E492" s="7"/>
      <c r="F492" s="214"/>
      <c r="G492" s="4">
        <f>G493</f>
        <v>2000</v>
      </c>
    </row>
    <row r="493" spans="1:8" s="229" customFormat="1" ht="31.5" x14ac:dyDescent="0.25">
      <c r="A493" s="58" t="s">
        <v>1091</v>
      </c>
      <c r="B493" s="7" t="s">
        <v>1092</v>
      </c>
      <c r="C493" s="7"/>
      <c r="D493" s="7"/>
      <c r="E493" s="7"/>
      <c r="F493" s="214"/>
      <c r="G493" s="4">
        <f>G494</f>
        <v>2000</v>
      </c>
      <c r="H493" s="230"/>
    </row>
    <row r="494" spans="1:8" ht="15.75" x14ac:dyDescent="0.25">
      <c r="A494" s="29" t="s">
        <v>505</v>
      </c>
      <c r="B494" s="40" t="s">
        <v>1092</v>
      </c>
      <c r="C494" s="40" t="s">
        <v>506</v>
      </c>
      <c r="D494" s="40"/>
      <c r="E494" s="40"/>
      <c r="F494" s="5"/>
      <c r="G494" s="6">
        <f>G495</f>
        <v>2000</v>
      </c>
    </row>
    <row r="495" spans="1:8" ht="31.5" x14ac:dyDescent="0.25">
      <c r="A495" s="25" t="s">
        <v>515</v>
      </c>
      <c r="B495" s="40" t="s">
        <v>1092</v>
      </c>
      <c r="C495" s="40" t="s">
        <v>506</v>
      </c>
      <c r="D495" s="40" t="s">
        <v>249</v>
      </c>
      <c r="E495" s="40"/>
      <c r="F495" s="5"/>
      <c r="G495" s="6">
        <f>G496</f>
        <v>2000</v>
      </c>
    </row>
    <row r="496" spans="1:8" ht="15.75" x14ac:dyDescent="0.25">
      <c r="A496" s="29" t="s">
        <v>1093</v>
      </c>
      <c r="B496" s="40" t="s">
        <v>1247</v>
      </c>
      <c r="C496" s="40" t="s">
        <v>506</v>
      </c>
      <c r="D496" s="40" t="s">
        <v>249</v>
      </c>
      <c r="E496" s="40"/>
      <c r="F496" s="5"/>
      <c r="G496" s="6">
        <f>G497+G500</f>
        <v>2000</v>
      </c>
    </row>
    <row r="497" spans="1:9" ht="78.75" x14ac:dyDescent="0.25">
      <c r="A497" s="25" t="s">
        <v>142</v>
      </c>
      <c r="B497" s="40" t="s">
        <v>1247</v>
      </c>
      <c r="C497" s="40" t="s">
        <v>506</v>
      </c>
      <c r="D497" s="40" t="s">
        <v>249</v>
      </c>
      <c r="E497" s="40" t="s">
        <v>143</v>
      </c>
      <c r="F497" s="5"/>
      <c r="G497" s="6">
        <f t="shared" ref="G497" si="69">G498</f>
        <v>1500</v>
      </c>
    </row>
    <row r="498" spans="1:9" ht="24" customHeight="1" x14ac:dyDescent="0.25">
      <c r="A498" s="25" t="s">
        <v>357</v>
      </c>
      <c r="B498" s="40" t="s">
        <v>1247</v>
      </c>
      <c r="C498" s="40" t="s">
        <v>506</v>
      </c>
      <c r="D498" s="40" t="s">
        <v>249</v>
      </c>
      <c r="E498" s="40" t="s">
        <v>224</v>
      </c>
      <c r="F498" s="5"/>
      <c r="G498" s="6">
        <f>'Пр.6 ведом.20'!G833</f>
        <v>1500</v>
      </c>
    </row>
    <row r="499" spans="1:9" s="229" customFormat="1" ht="24" customHeight="1" x14ac:dyDescent="0.25">
      <c r="A499" s="70" t="s">
        <v>495</v>
      </c>
      <c r="B499" s="40" t="s">
        <v>1247</v>
      </c>
      <c r="C499" s="40" t="s">
        <v>506</v>
      </c>
      <c r="D499" s="40" t="s">
        <v>249</v>
      </c>
      <c r="E499" s="40" t="s">
        <v>224</v>
      </c>
      <c r="F499" s="5">
        <v>907</v>
      </c>
      <c r="G499" s="10">
        <f>G498</f>
        <v>1500</v>
      </c>
      <c r="H499" s="230"/>
    </row>
    <row r="500" spans="1:9" ht="31.5" x14ac:dyDescent="0.25">
      <c r="A500" s="29" t="s">
        <v>146</v>
      </c>
      <c r="B500" s="40" t="s">
        <v>1247</v>
      </c>
      <c r="C500" s="40" t="s">
        <v>506</v>
      </c>
      <c r="D500" s="40" t="s">
        <v>249</v>
      </c>
      <c r="E500" s="40" t="s">
        <v>147</v>
      </c>
      <c r="F500" s="5"/>
      <c r="G500" s="6">
        <f t="shared" ref="G500" si="70">G501</f>
        <v>500</v>
      </c>
    </row>
    <row r="501" spans="1:9" ht="31.5" x14ac:dyDescent="0.25">
      <c r="A501" s="29" t="s">
        <v>148</v>
      </c>
      <c r="B501" s="40" t="s">
        <v>1247</v>
      </c>
      <c r="C501" s="40" t="s">
        <v>506</v>
      </c>
      <c r="D501" s="40" t="s">
        <v>249</v>
      </c>
      <c r="E501" s="40" t="s">
        <v>149</v>
      </c>
      <c r="F501" s="5"/>
      <c r="G501" s="6">
        <f>'Пр.6 ведом.20'!G835</f>
        <v>500</v>
      </c>
    </row>
    <row r="502" spans="1:9" ht="31.5" x14ac:dyDescent="0.25">
      <c r="A502" s="70" t="s">
        <v>495</v>
      </c>
      <c r="B502" s="40" t="s">
        <v>1247</v>
      </c>
      <c r="C502" s="40" t="s">
        <v>506</v>
      </c>
      <c r="D502" s="40" t="s">
        <v>249</v>
      </c>
      <c r="E502" s="40" t="s">
        <v>149</v>
      </c>
      <c r="F502" s="5">
        <v>907</v>
      </c>
      <c r="G502" s="10">
        <f>G501</f>
        <v>500</v>
      </c>
    </row>
    <row r="503" spans="1:9" ht="31.5" x14ac:dyDescent="0.25">
      <c r="A503" s="41" t="s">
        <v>281</v>
      </c>
      <c r="B503" s="7" t="s">
        <v>282</v>
      </c>
      <c r="C503" s="72"/>
      <c r="D503" s="72"/>
      <c r="E503" s="72"/>
      <c r="F503" s="3"/>
      <c r="G503" s="59">
        <f>G504+G549+G599</f>
        <v>67759.13</v>
      </c>
      <c r="H503" s="231">
        <v>64965.4</v>
      </c>
      <c r="I503" s="288">
        <f>H503-G503</f>
        <v>-2793.7300000000032</v>
      </c>
    </row>
    <row r="504" spans="1:9" ht="54" customHeight="1" x14ac:dyDescent="0.25">
      <c r="A504" s="41" t="s">
        <v>316</v>
      </c>
      <c r="B504" s="7" t="s">
        <v>317</v>
      </c>
      <c r="C504" s="7"/>
      <c r="D504" s="7"/>
      <c r="E504" s="72"/>
      <c r="F504" s="3"/>
      <c r="G504" s="59">
        <f>G505+G518+G528+G535+G542</f>
        <v>26699.79</v>
      </c>
    </row>
    <row r="505" spans="1:9" s="229" customFormat="1" ht="38.25" customHeight="1" x14ac:dyDescent="0.25">
      <c r="A505" s="23" t="s">
        <v>958</v>
      </c>
      <c r="B505" s="24" t="s">
        <v>959</v>
      </c>
      <c r="C505" s="7"/>
      <c r="D505" s="7"/>
      <c r="E505" s="7"/>
      <c r="F505" s="3"/>
      <c r="G505" s="59">
        <f>G506</f>
        <v>23784</v>
      </c>
      <c r="H505" s="230"/>
    </row>
    <row r="506" spans="1:9" ht="15.75" x14ac:dyDescent="0.25">
      <c r="A506" s="73" t="s">
        <v>313</v>
      </c>
      <c r="B506" s="40" t="s">
        <v>959</v>
      </c>
      <c r="C506" s="40" t="s">
        <v>314</v>
      </c>
      <c r="D506" s="73"/>
      <c r="E506" s="73"/>
      <c r="F506" s="2"/>
      <c r="G506" s="10">
        <f>G507</f>
        <v>23784</v>
      </c>
    </row>
    <row r="507" spans="1:9" ht="15.75" x14ac:dyDescent="0.25">
      <c r="A507" s="73" t="s">
        <v>315</v>
      </c>
      <c r="B507" s="40" t="s">
        <v>959</v>
      </c>
      <c r="C507" s="40" t="s">
        <v>314</v>
      </c>
      <c r="D507" s="40" t="s">
        <v>133</v>
      </c>
      <c r="E507" s="73"/>
      <c r="F507" s="2"/>
      <c r="G507" s="10">
        <f>G508</f>
        <v>23784</v>
      </c>
    </row>
    <row r="508" spans="1:9" ht="15.75" x14ac:dyDescent="0.25">
      <c r="A508" s="25" t="s">
        <v>832</v>
      </c>
      <c r="B508" s="20" t="s">
        <v>957</v>
      </c>
      <c r="C508" s="40" t="s">
        <v>314</v>
      </c>
      <c r="D508" s="40" t="s">
        <v>133</v>
      </c>
      <c r="E508" s="40"/>
      <c r="F508" s="2"/>
      <c r="G508" s="10">
        <f>G509+G512+G515</f>
        <v>23784</v>
      </c>
    </row>
    <row r="509" spans="1:9" ht="78.75" x14ac:dyDescent="0.25">
      <c r="A509" s="25" t="s">
        <v>142</v>
      </c>
      <c r="B509" s="20" t="s">
        <v>957</v>
      </c>
      <c r="C509" s="40" t="s">
        <v>314</v>
      </c>
      <c r="D509" s="40" t="s">
        <v>133</v>
      </c>
      <c r="E509" s="40" t="s">
        <v>143</v>
      </c>
      <c r="F509" s="2"/>
      <c r="G509" s="10">
        <f>G510</f>
        <v>20032</v>
      </c>
    </row>
    <row r="510" spans="1:9" ht="15.75" x14ac:dyDescent="0.25">
      <c r="A510" s="25" t="s">
        <v>223</v>
      </c>
      <c r="B510" s="20" t="s">
        <v>957</v>
      </c>
      <c r="C510" s="40" t="s">
        <v>314</v>
      </c>
      <c r="D510" s="40" t="s">
        <v>133</v>
      </c>
      <c r="E510" s="40" t="s">
        <v>224</v>
      </c>
      <c r="F510" s="2"/>
      <c r="G510" s="10">
        <f>'Пр.6 ведом.20'!G339</f>
        <v>20032</v>
      </c>
    </row>
    <row r="511" spans="1:9" s="229" customFormat="1" ht="47.25" x14ac:dyDescent="0.25">
      <c r="A511" s="25" t="s">
        <v>1280</v>
      </c>
      <c r="B511" s="20" t="s">
        <v>957</v>
      </c>
      <c r="C511" s="40" t="s">
        <v>314</v>
      </c>
      <c r="D511" s="40" t="s">
        <v>133</v>
      </c>
      <c r="E511" s="40" t="s">
        <v>224</v>
      </c>
      <c r="F511" s="2">
        <v>903</v>
      </c>
      <c r="G511" s="10">
        <f>G510</f>
        <v>20032</v>
      </c>
      <c r="H511" s="230"/>
    </row>
    <row r="512" spans="1:9" ht="31.5" x14ac:dyDescent="0.25">
      <c r="A512" s="25" t="s">
        <v>146</v>
      </c>
      <c r="B512" s="20" t="s">
        <v>957</v>
      </c>
      <c r="C512" s="40" t="s">
        <v>314</v>
      </c>
      <c r="D512" s="40" t="s">
        <v>133</v>
      </c>
      <c r="E512" s="40" t="s">
        <v>147</v>
      </c>
      <c r="F512" s="2"/>
      <c r="G512" s="10">
        <f>G513</f>
        <v>3715</v>
      </c>
    </row>
    <row r="513" spans="1:8" ht="31.5" x14ac:dyDescent="0.25">
      <c r="A513" s="25" t="s">
        <v>148</v>
      </c>
      <c r="B513" s="20" t="s">
        <v>957</v>
      </c>
      <c r="C513" s="40" t="s">
        <v>314</v>
      </c>
      <c r="D513" s="40" t="s">
        <v>133</v>
      </c>
      <c r="E513" s="40" t="s">
        <v>149</v>
      </c>
      <c r="F513" s="2"/>
      <c r="G513" s="10">
        <f>'Пр.6 ведом.20'!G341</f>
        <v>3715</v>
      </c>
    </row>
    <row r="514" spans="1:8" s="229" customFormat="1" ht="47.25" x14ac:dyDescent="0.25">
      <c r="A514" s="25" t="s">
        <v>1280</v>
      </c>
      <c r="B514" s="20" t="s">
        <v>957</v>
      </c>
      <c r="C514" s="40" t="s">
        <v>314</v>
      </c>
      <c r="D514" s="40" t="s">
        <v>133</v>
      </c>
      <c r="E514" s="40" t="s">
        <v>149</v>
      </c>
      <c r="F514" s="2">
        <v>903</v>
      </c>
      <c r="G514" s="10">
        <f>G513</f>
        <v>3715</v>
      </c>
      <c r="H514" s="230"/>
    </row>
    <row r="515" spans="1:8" ht="15.75" customHeight="1" x14ac:dyDescent="0.25">
      <c r="A515" s="25" t="s">
        <v>150</v>
      </c>
      <c r="B515" s="20" t="s">
        <v>957</v>
      </c>
      <c r="C515" s="40" t="s">
        <v>314</v>
      </c>
      <c r="D515" s="40" t="s">
        <v>133</v>
      </c>
      <c r="E515" s="40" t="s">
        <v>160</v>
      </c>
      <c r="F515" s="2"/>
      <c r="G515" s="10">
        <f>G516</f>
        <v>37</v>
      </c>
    </row>
    <row r="516" spans="1:8" ht="15.75" customHeight="1" x14ac:dyDescent="0.25">
      <c r="A516" s="25" t="s">
        <v>152</v>
      </c>
      <c r="B516" s="20" t="s">
        <v>957</v>
      </c>
      <c r="C516" s="40" t="s">
        <v>314</v>
      </c>
      <c r="D516" s="40" t="s">
        <v>133</v>
      </c>
      <c r="E516" s="40" t="s">
        <v>153</v>
      </c>
      <c r="F516" s="2"/>
      <c r="G516" s="10">
        <f>'Пр.6 ведом.20'!G343</f>
        <v>37</v>
      </c>
    </row>
    <row r="517" spans="1:8" s="229" customFormat="1" ht="50.25" customHeight="1" x14ac:dyDescent="0.25">
      <c r="A517" s="25" t="s">
        <v>1280</v>
      </c>
      <c r="B517" s="20" t="s">
        <v>957</v>
      </c>
      <c r="C517" s="40" t="s">
        <v>314</v>
      </c>
      <c r="D517" s="40" t="s">
        <v>133</v>
      </c>
      <c r="E517" s="40" t="s">
        <v>153</v>
      </c>
      <c r="F517" s="2">
        <v>903</v>
      </c>
      <c r="G517" s="10">
        <f>G516</f>
        <v>37</v>
      </c>
      <c r="H517" s="230"/>
    </row>
    <row r="518" spans="1:8" s="229" customFormat="1" ht="31.5" customHeight="1" x14ac:dyDescent="0.25">
      <c r="A518" s="279" t="s">
        <v>972</v>
      </c>
      <c r="B518" s="24" t="s">
        <v>960</v>
      </c>
      <c r="C518" s="7"/>
      <c r="D518" s="7"/>
      <c r="E518" s="7"/>
      <c r="F518" s="3"/>
      <c r="G518" s="59">
        <f>G521+G525</f>
        <v>250</v>
      </c>
      <c r="H518" s="230"/>
    </row>
    <row r="519" spans="1:8" s="229" customFormat="1" ht="16.5" customHeight="1" x14ac:dyDescent="0.25">
      <c r="A519" s="73" t="s">
        <v>313</v>
      </c>
      <c r="B519" s="40" t="s">
        <v>960</v>
      </c>
      <c r="C519" s="40" t="s">
        <v>314</v>
      </c>
      <c r="D519" s="73"/>
      <c r="E519" s="73"/>
      <c r="F519" s="2"/>
      <c r="G519" s="10">
        <f>G520</f>
        <v>250</v>
      </c>
      <c r="H519" s="230"/>
    </row>
    <row r="520" spans="1:8" s="229" customFormat="1" ht="16.5" customHeight="1" x14ac:dyDescent="0.25">
      <c r="A520" s="73" t="s">
        <v>315</v>
      </c>
      <c r="B520" s="40" t="s">
        <v>960</v>
      </c>
      <c r="C520" s="40" t="s">
        <v>314</v>
      </c>
      <c r="D520" s="40" t="s">
        <v>133</v>
      </c>
      <c r="E520" s="73"/>
      <c r="F520" s="2"/>
      <c r="G520" s="10">
        <f>G521+G525</f>
        <v>250</v>
      </c>
      <c r="H520" s="230"/>
    </row>
    <row r="521" spans="1:8" s="229" customFormat="1" ht="41.25" hidden="1" customHeight="1" x14ac:dyDescent="0.25">
      <c r="A521" s="31" t="s">
        <v>861</v>
      </c>
      <c r="B521" s="20" t="s">
        <v>961</v>
      </c>
      <c r="C521" s="40" t="s">
        <v>314</v>
      </c>
      <c r="D521" s="40" t="s">
        <v>133</v>
      </c>
      <c r="E521" s="40"/>
      <c r="F521" s="2"/>
      <c r="G521" s="10">
        <f>G522</f>
        <v>0</v>
      </c>
      <c r="H521" s="230"/>
    </row>
    <row r="522" spans="1:8" s="229" customFormat="1" ht="83.25" hidden="1" customHeight="1" x14ac:dyDescent="0.25">
      <c r="A522" s="25" t="s">
        <v>142</v>
      </c>
      <c r="B522" s="20" t="s">
        <v>961</v>
      </c>
      <c r="C522" s="40" t="s">
        <v>314</v>
      </c>
      <c r="D522" s="40" t="s">
        <v>133</v>
      </c>
      <c r="E522" s="40" t="s">
        <v>143</v>
      </c>
      <c r="F522" s="2"/>
      <c r="G522" s="10">
        <f>G523</f>
        <v>0</v>
      </c>
      <c r="H522" s="230"/>
    </row>
    <row r="523" spans="1:8" s="229" customFormat="1" ht="15.75" hidden="1" customHeight="1" x14ac:dyDescent="0.25">
      <c r="A523" s="25" t="s">
        <v>223</v>
      </c>
      <c r="B523" s="20" t="s">
        <v>961</v>
      </c>
      <c r="C523" s="40" t="s">
        <v>314</v>
      </c>
      <c r="D523" s="40" t="s">
        <v>133</v>
      </c>
      <c r="E523" s="40" t="s">
        <v>224</v>
      </c>
      <c r="F523" s="2"/>
      <c r="G523" s="10">
        <f>'Пр.5 Рд,пр, ЦС,ВР 20'!F769</f>
        <v>0</v>
      </c>
      <c r="H523" s="230"/>
    </row>
    <row r="524" spans="1:8" s="229" customFormat="1" ht="15.75" hidden="1" customHeight="1" x14ac:dyDescent="0.25">
      <c r="A524" s="25" t="s">
        <v>1280</v>
      </c>
      <c r="B524" s="20" t="s">
        <v>961</v>
      </c>
      <c r="C524" s="40" t="s">
        <v>314</v>
      </c>
      <c r="D524" s="40" t="s">
        <v>133</v>
      </c>
      <c r="E524" s="40" t="s">
        <v>224</v>
      </c>
      <c r="F524" s="2">
        <v>903</v>
      </c>
      <c r="G524" s="10">
        <f>G523</f>
        <v>0</v>
      </c>
      <c r="H524" s="230"/>
    </row>
    <row r="525" spans="1:8" s="229" customFormat="1" ht="40.5" customHeight="1" x14ac:dyDescent="0.25">
      <c r="A525" s="25" t="s">
        <v>146</v>
      </c>
      <c r="B525" s="20" t="s">
        <v>961</v>
      </c>
      <c r="C525" s="40" t="s">
        <v>314</v>
      </c>
      <c r="D525" s="40" t="s">
        <v>133</v>
      </c>
      <c r="E525" s="40" t="s">
        <v>147</v>
      </c>
      <c r="F525" s="2"/>
      <c r="G525" s="10">
        <f>G526</f>
        <v>250</v>
      </c>
      <c r="H525" s="230"/>
    </row>
    <row r="526" spans="1:8" s="229" customFormat="1" ht="40.5" customHeight="1" x14ac:dyDescent="0.25">
      <c r="A526" s="25" t="s">
        <v>148</v>
      </c>
      <c r="B526" s="20" t="s">
        <v>961</v>
      </c>
      <c r="C526" s="40" t="s">
        <v>314</v>
      </c>
      <c r="D526" s="40" t="s">
        <v>133</v>
      </c>
      <c r="E526" s="40" t="s">
        <v>149</v>
      </c>
      <c r="F526" s="2"/>
      <c r="G526" s="10">
        <f>'Пр.5 Рд,пр, ЦС,ВР 20'!F771</f>
        <v>250</v>
      </c>
      <c r="H526" s="230"/>
    </row>
    <row r="527" spans="1:8" s="229" customFormat="1" ht="46.5" customHeight="1" x14ac:dyDescent="0.25">
      <c r="A527" s="25" t="s">
        <v>1280</v>
      </c>
      <c r="B527" s="20" t="s">
        <v>961</v>
      </c>
      <c r="C527" s="40" t="s">
        <v>314</v>
      </c>
      <c r="D527" s="40" t="s">
        <v>133</v>
      </c>
      <c r="E527" s="40" t="s">
        <v>149</v>
      </c>
      <c r="F527" s="2">
        <v>903</v>
      </c>
      <c r="G527" s="10">
        <f>G526</f>
        <v>250</v>
      </c>
      <c r="H527" s="230"/>
    </row>
    <row r="528" spans="1:8" s="229" customFormat="1" ht="35.25" customHeight="1" x14ac:dyDescent="0.25">
      <c r="A528" s="23" t="s">
        <v>1081</v>
      </c>
      <c r="B528" s="24" t="s">
        <v>1170</v>
      </c>
      <c r="C528" s="7"/>
      <c r="D528" s="7"/>
      <c r="E528" s="7"/>
      <c r="F528" s="3"/>
      <c r="G528" s="59">
        <f>G531</f>
        <v>588</v>
      </c>
      <c r="H528" s="230"/>
    </row>
    <row r="529" spans="1:8" s="229" customFormat="1" ht="16.5" customHeight="1" x14ac:dyDescent="0.25">
      <c r="A529" s="73" t="s">
        <v>313</v>
      </c>
      <c r="B529" s="40" t="s">
        <v>1170</v>
      </c>
      <c r="C529" s="40" t="s">
        <v>314</v>
      </c>
      <c r="D529" s="73"/>
      <c r="E529" s="73"/>
      <c r="F529" s="2"/>
      <c r="G529" s="10">
        <f>G530</f>
        <v>1412.29</v>
      </c>
      <c r="H529" s="230"/>
    </row>
    <row r="530" spans="1:8" s="229" customFormat="1" ht="18.75" customHeight="1" x14ac:dyDescent="0.25">
      <c r="A530" s="73" t="s">
        <v>315</v>
      </c>
      <c r="B530" s="40" t="s">
        <v>1170</v>
      </c>
      <c r="C530" s="40" t="s">
        <v>314</v>
      </c>
      <c r="D530" s="40" t="s">
        <v>133</v>
      </c>
      <c r="E530" s="73"/>
      <c r="F530" s="2"/>
      <c r="G530" s="10">
        <f>G531+G535</f>
        <v>1412.29</v>
      </c>
      <c r="H530" s="230"/>
    </row>
    <row r="531" spans="1:8" s="229" customFormat="1" ht="43.5" customHeight="1" x14ac:dyDescent="0.25">
      <c r="A531" s="25" t="s">
        <v>886</v>
      </c>
      <c r="B531" s="20" t="s">
        <v>1171</v>
      </c>
      <c r="C531" s="40" t="s">
        <v>314</v>
      </c>
      <c r="D531" s="40" t="s">
        <v>133</v>
      </c>
      <c r="E531" s="40"/>
      <c r="F531" s="2"/>
      <c r="G531" s="10">
        <f>G532</f>
        <v>588</v>
      </c>
      <c r="H531" s="230"/>
    </row>
    <row r="532" spans="1:8" s="229" customFormat="1" ht="81" customHeight="1" x14ac:dyDescent="0.25">
      <c r="A532" s="25" t="s">
        <v>142</v>
      </c>
      <c r="B532" s="20" t="s">
        <v>1171</v>
      </c>
      <c r="C532" s="40" t="s">
        <v>314</v>
      </c>
      <c r="D532" s="40" t="s">
        <v>133</v>
      </c>
      <c r="E532" s="40" t="s">
        <v>143</v>
      </c>
      <c r="F532" s="2"/>
      <c r="G532" s="10">
        <f>G533</f>
        <v>588</v>
      </c>
      <c r="H532" s="230"/>
    </row>
    <row r="533" spans="1:8" s="229" customFormat="1" ht="38.25" customHeight="1" x14ac:dyDescent="0.25">
      <c r="A533" s="25" t="s">
        <v>144</v>
      </c>
      <c r="B533" s="20" t="s">
        <v>1171</v>
      </c>
      <c r="C533" s="40" t="s">
        <v>314</v>
      </c>
      <c r="D533" s="40" t="s">
        <v>133</v>
      </c>
      <c r="E533" s="40" t="s">
        <v>224</v>
      </c>
      <c r="F533" s="2"/>
      <c r="G533" s="10">
        <f>'Пр.5 Рд,пр, ЦС,ВР 20'!F775</f>
        <v>588</v>
      </c>
      <c r="H533" s="230"/>
    </row>
    <row r="534" spans="1:8" s="229" customFormat="1" ht="47.25" customHeight="1" x14ac:dyDescent="0.25">
      <c r="A534" s="25" t="s">
        <v>1280</v>
      </c>
      <c r="B534" s="20" t="s">
        <v>1171</v>
      </c>
      <c r="C534" s="40" t="s">
        <v>314</v>
      </c>
      <c r="D534" s="40" t="s">
        <v>133</v>
      </c>
      <c r="E534" s="40" t="s">
        <v>224</v>
      </c>
      <c r="F534" s="2">
        <v>903</v>
      </c>
      <c r="G534" s="10">
        <f>G533</f>
        <v>588</v>
      </c>
      <c r="H534" s="230"/>
    </row>
    <row r="535" spans="1:8" s="229" customFormat="1" ht="48" customHeight="1" x14ac:dyDescent="0.25">
      <c r="A535" s="280" t="s">
        <v>973</v>
      </c>
      <c r="B535" s="24" t="s">
        <v>1172</v>
      </c>
      <c r="C535" s="7"/>
      <c r="D535" s="7"/>
      <c r="E535" s="7"/>
      <c r="F535" s="3"/>
      <c r="G535" s="59">
        <f>G538</f>
        <v>824.29</v>
      </c>
      <c r="H535" s="230"/>
    </row>
    <row r="536" spans="1:8" s="229" customFormat="1" ht="17.25" customHeight="1" x14ac:dyDescent="0.25">
      <c r="A536" s="73" t="s">
        <v>313</v>
      </c>
      <c r="B536" s="40" t="s">
        <v>1172</v>
      </c>
      <c r="C536" s="40" t="s">
        <v>314</v>
      </c>
      <c r="D536" s="73"/>
      <c r="E536" s="73"/>
      <c r="F536" s="2"/>
      <c r="G536" s="10">
        <f>G537</f>
        <v>824.29</v>
      </c>
      <c r="H536" s="230"/>
    </row>
    <row r="537" spans="1:8" s="229" customFormat="1" ht="18" customHeight="1" x14ac:dyDescent="0.25">
      <c r="A537" s="73" t="s">
        <v>315</v>
      </c>
      <c r="B537" s="40" t="s">
        <v>1172</v>
      </c>
      <c r="C537" s="40" t="s">
        <v>314</v>
      </c>
      <c r="D537" s="40" t="s">
        <v>133</v>
      </c>
      <c r="E537" s="73"/>
      <c r="F537" s="2"/>
      <c r="G537" s="10">
        <f>G538</f>
        <v>824.29</v>
      </c>
      <c r="H537" s="230"/>
    </row>
    <row r="538" spans="1:8" s="229" customFormat="1" ht="100.5" customHeight="1" x14ac:dyDescent="0.25">
      <c r="A538" s="31" t="s">
        <v>308</v>
      </c>
      <c r="B538" s="20" t="s">
        <v>1173</v>
      </c>
      <c r="C538" s="40" t="s">
        <v>314</v>
      </c>
      <c r="D538" s="40" t="s">
        <v>133</v>
      </c>
      <c r="E538" s="40"/>
      <c r="F538" s="2"/>
      <c r="G538" s="10">
        <f>G539</f>
        <v>824.29</v>
      </c>
      <c r="H538" s="230"/>
    </row>
    <row r="539" spans="1:8" s="229" customFormat="1" ht="82.5" customHeight="1" x14ac:dyDescent="0.25">
      <c r="A539" s="25" t="s">
        <v>142</v>
      </c>
      <c r="B539" s="20" t="s">
        <v>1173</v>
      </c>
      <c r="C539" s="40" t="s">
        <v>314</v>
      </c>
      <c r="D539" s="40" t="s">
        <v>133</v>
      </c>
      <c r="E539" s="40" t="s">
        <v>143</v>
      </c>
      <c r="F539" s="2"/>
      <c r="G539" s="10">
        <f>G540</f>
        <v>824.29</v>
      </c>
      <c r="H539" s="230"/>
    </row>
    <row r="540" spans="1:8" s="229" customFormat="1" ht="15.75" customHeight="1" x14ac:dyDescent="0.25">
      <c r="A540" s="25" t="s">
        <v>223</v>
      </c>
      <c r="B540" s="20" t="s">
        <v>1173</v>
      </c>
      <c r="C540" s="40" t="s">
        <v>314</v>
      </c>
      <c r="D540" s="40" t="s">
        <v>133</v>
      </c>
      <c r="E540" s="40" t="s">
        <v>224</v>
      </c>
      <c r="F540" s="2"/>
      <c r="G540" s="10">
        <f>'Пр.5 Рд,пр, ЦС,ВР 20'!F779</f>
        <v>824.29</v>
      </c>
      <c r="H540" s="230"/>
    </row>
    <row r="541" spans="1:8" s="229" customFormat="1" ht="53.25" customHeight="1" x14ac:dyDescent="0.25">
      <c r="A541" s="25" t="s">
        <v>1280</v>
      </c>
      <c r="B541" s="20" t="s">
        <v>1173</v>
      </c>
      <c r="C541" s="40" t="s">
        <v>314</v>
      </c>
      <c r="D541" s="40" t="s">
        <v>133</v>
      </c>
      <c r="E541" s="40" t="s">
        <v>224</v>
      </c>
      <c r="F541" s="2">
        <v>903</v>
      </c>
      <c r="G541" s="10">
        <f>G540</f>
        <v>824.29</v>
      </c>
      <c r="H541" s="230"/>
    </row>
    <row r="542" spans="1:8" s="229" customFormat="1" ht="41.25" customHeight="1" x14ac:dyDescent="0.25">
      <c r="A542" s="369" t="s">
        <v>1430</v>
      </c>
      <c r="B542" s="24" t="s">
        <v>1431</v>
      </c>
      <c r="C542" s="24"/>
      <c r="D542" s="24"/>
      <c r="E542" s="40"/>
      <c r="F542" s="2"/>
      <c r="G542" s="59">
        <f>G545</f>
        <v>1253.5</v>
      </c>
      <c r="H542" s="230"/>
    </row>
    <row r="543" spans="1:8" s="229" customFormat="1" ht="19.5" customHeight="1" x14ac:dyDescent="0.25">
      <c r="A543" s="68" t="s">
        <v>313</v>
      </c>
      <c r="B543" s="20" t="s">
        <v>1431</v>
      </c>
      <c r="C543" s="20" t="s">
        <v>314</v>
      </c>
      <c r="D543" s="20"/>
      <c r="E543" s="40"/>
      <c r="F543" s="2"/>
      <c r="G543" s="10">
        <f>G544</f>
        <v>1253.5</v>
      </c>
      <c r="H543" s="230"/>
    </row>
    <row r="544" spans="1:8" s="229" customFormat="1" ht="18" customHeight="1" x14ac:dyDescent="0.25">
      <c r="A544" s="68" t="s">
        <v>315</v>
      </c>
      <c r="B544" s="20" t="s">
        <v>1431</v>
      </c>
      <c r="C544" s="20" t="s">
        <v>314</v>
      </c>
      <c r="D544" s="20" t="s">
        <v>133</v>
      </c>
      <c r="E544" s="40"/>
      <c r="F544" s="2"/>
      <c r="G544" s="10">
        <f>G545</f>
        <v>1253.5</v>
      </c>
      <c r="H544" s="230"/>
    </row>
    <row r="545" spans="1:9" s="229" customFormat="1" ht="49.5" customHeight="1" x14ac:dyDescent="0.25">
      <c r="A545" s="370" t="s">
        <v>1432</v>
      </c>
      <c r="B545" s="20" t="s">
        <v>1433</v>
      </c>
      <c r="C545" s="20" t="s">
        <v>314</v>
      </c>
      <c r="D545" s="20" t="s">
        <v>133</v>
      </c>
      <c r="E545" s="40"/>
      <c r="F545" s="2"/>
      <c r="G545" s="10">
        <f>G546</f>
        <v>1253.5</v>
      </c>
      <c r="H545" s="230"/>
    </row>
    <row r="546" spans="1:9" s="229" customFormat="1" ht="35.25" customHeight="1" x14ac:dyDescent="0.25">
      <c r="A546" s="25" t="s">
        <v>146</v>
      </c>
      <c r="B546" s="20" t="s">
        <v>1433</v>
      </c>
      <c r="C546" s="20" t="s">
        <v>314</v>
      </c>
      <c r="D546" s="20" t="s">
        <v>133</v>
      </c>
      <c r="E546" s="40" t="s">
        <v>147</v>
      </c>
      <c r="F546" s="2"/>
      <c r="G546" s="10">
        <f>G547</f>
        <v>1253.5</v>
      </c>
      <c r="H546" s="230"/>
    </row>
    <row r="547" spans="1:9" s="229" customFormat="1" ht="36" customHeight="1" x14ac:dyDescent="0.25">
      <c r="A547" s="25" t="s">
        <v>148</v>
      </c>
      <c r="B547" s="20" t="s">
        <v>1433</v>
      </c>
      <c r="C547" s="20" t="s">
        <v>314</v>
      </c>
      <c r="D547" s="20" t="s">
        <v>133</v>
      </c>
      <c r="E547" s="40" t="s">
        <v>149</v>
      </c>
      <c r="F547" s="2"/>
      <c r="G547" s="10">
        <f>'Пр.6 ведом.20'!G361</f>
        <v>1253.5</v>
      </c>
      <c r="H547" s="230"/>
    </row>
    <row r="548" spans="1:9" s="229" customFormat="1" ht="50.25" customHeight="1" x14ac:dyDescent="0.25">
      <c r="A548" s="25" t="s">
        <v>1280</v>
      </c>
      <c r="B548" s="20" t="s">
        <v>1433</v>
      </c>
      <c r="C548" s="20" t="s">
        <v>314</v>
      </c>
      <c r="D548" s="20" t="s">
        <v>133</v>
      </c>
      <c r="E548" s="40" t="s">
        <v>149</v>
      </c>
      <c r="F548" s="2">
        <v>903</v>
      </c>
      <c r="G548" s="10">
        <f>G542</f>
        <v>1253.5</v>
      </c>
      <c r="H548" s="230"/>
    </row>
    <row r="549" spans="1:9" ht="31.5" x14ac:dyDescent="0.25">
      <c r="A549" s="41" t="s">
        <v>327</v>
      </c>
      <c r="B549" s="7" t="s">
        <v>328</v>
      </c>
      <c r="C549" s="7"/>
      <c r="D549" s="7"/>
      <c r="E549" s="7"/>
      <c r="F549" s="75"/>
      <c r="G549" s="59">
        <f>G550+G563+G570+G577+G588</f>
        <v>24415.71</v>
      </c>
      <c r="H549" s="230">
        <v>22439.4</v>
      </c>
      <c r="I549" s="22">
        <f>H549-G549</f>
        <v>-1976.3099999999977</v>
      </c>
    </row>
    <row r="550" spans="1:9" s="229" customFormat="1" ht="41.25" customHeight="1" x14ac:dyDescent="0.25">
      <c r="A550" s="23" t="s">
        <v>958</v>
      </c>
      <c r="B550" s="24" t="s">
        <v>962</v>
      </c>
      <c r="C550" s="7"/>
      <c r="D550" s="7"/>
      <c r="E550" s="7"/>
      <c r="F550" s="3"/>
      <c r="G550" s="59">
        <f>G551</f>
        <v>22194</v>
      </c>
      <c r="H550" s="230"/>
    </row>
    <row r="551" spans="1:9" ht="15.75" x14ac:dyDescent="0.25">
      <c r="A551" s="73" t="s">
        <v>313</v>
      </c>
      <c r="B551" s="40" t="s">
        <v>962</v>
      </c>
      <c r="C551" s="40" t="s">
        <v>314</v>
      </c>
      <c r="D551" s="40"/>
      <c r="E551" s="40"/>
      <c r="F551" s="74"/>
      <c r="G551" s="10">
        <f t="shared" ref="G551" si="71">G552</f>
        <v>22194</v>
      </c>
    </row>
    <row r="552" spans="1:9" ht="15.75" x14ac:dyDescent="0.25">
      <c r="A552" s="73" t="s">
        <v>315</v>
      </c>
      <c r="B552" s="40" t="s">
        <v>962</v>
      </c>
      <c r="C552" s="40" t="s">
        <v>314</v>
      </c>
      <c r="D552" s="40" t="s">
        <v>133</v>
      </c>
      <c r="E552" s="40"/>
      <c r="F552" s="74"/>
      <c r="G552" s="10">
        <f>G553</f>
        <v>22194</v>
      </c>
    </row>
    <row r="553" spans="1:9" ht="15.75" x14ac:dyDescent="0.25">
      <c r="A553" s="25" t="s">
        <v>832</v>
      </c>
      <c r="B553" s="20" t="s">
        <v>963</v>
      </c>
      <c r="C553" s="40" t="s">
        <v>314</v>
      </c>
      <c r="D553" s="40" t="s">
        <v>133</v>
      </c>
      <c r="E553" s="40"/>
      <c r="F553" s="2"/>
      <c r="G553" s="10">
        <f>G554+G557+G560</f>
        <v>22194</v>
      </c>
    </row>
    <row r="554" spans="1:9" ht="78.75" x14ac:dyDescent="0.25">
      <c r="A554" s="25" t="s">
        <v>142</v>
      </c>
      <c r="B554" s="20" t="s">
        <v>963</v>
      </c>
      <c r="C554" s="40" t="s">
        <v>314</v>
      </c>
      <c r="D554" s="40" t="s">
        <v>133</v>
      </c>
      <c r="E554" s="40" t="s">
        <v>143</v>
      </c>
      <c r="F554" s="2"/>
      <c r="G554" s="10">
        <f>G555</f>
        <v>19218</v>
      </c>
    </row>
    <row r="555" spans="1:9" ht="15.75" x14ac:dyDescent="0.25">
      <c r="A555" s="25" t="s">
        <v>223</v>
      </c>
      <c r="B555" s="20" t="s">
        <v>963</v>
      </c>
      <c r="C555" s="40" t="s">
        <v>314</v>
      </c>
      <c r="D555" s="40" t="s">
        <v>133</v>
      </c>
      <c r="E555" s="40" t="s">
        <v>224</v>
      </c>
      <c r="F555" s="2"/>
      <c r="G555" s="10">
        <f>'Пр.6 ведом.20'!G366</f>
        <v>19218</v>
      </c>
    </row>
    <row r="556" spans="1:9" s="229" customFormat="1" ht="47.25" x14ac:dyDescent="0.25">
      <c r="A556" s="25" t="s">
        <v>1280</v>
      </c>
      <c r="B556" s="20" t="s">
        <v>963</v>
      </c>
      <c r="C556" s="40" t="s">
        <v>314</v>
      </c>
      <c r="D556" s="40" t="s">
        <v>133</v>
      </c>
      <c r="E556" s="40" t="s">
        <v>224</v>
      </c>
      <c r="F556" s="2">
        <v>903</v>
      </c>
      <c r="G556" s="10">
        <f>G555</f>
        <v>19218</v>
      </c>
      <c r="H556" s="230"/>
    </row>
    <row r="557" spans="1:9" ht="31.5" x14ac:dyDescent="0.25">
      <c r="A557" s="25" t="s">
        <v>146</v>
      </c>
      <c r="B557" s="20" t="s">
        <v>963</v>
      </c>
      <c r="C557" s="40" t="s">
        <v>314</v>
      </c>
      <c r="D557" s="40" t="s">
        <v>133</v>
      </c>
      <c r="E557" s="40" t="s">
        <v>147</v>
      </c>
      <c r="F557" s="2"/>
      <c r="G557" s="10">
        <f>G558</f>
        <v>2950</v>
      </c>
    </row>
    <row r="558" spans="1:9" ht="31.5" x14ac:dyDescent="0.25">
      <c r="A558" s="25" t="s">
        <v>148</v>
      </c>
      <c r="B558" s="20" t="s">
        <v>963</v>
      </c>
      <c r="C558" s="40" t="s">
        <v>314</v>
      </c>
      <c r="D558" s="40" t="s">
        <v>133</v>
      </c>
      <c r="E558" s="40" t="s">
        <v>149</v>
      </c>
      <c r="F558" s="2"/>
      <c r="G558" s="10">
        <f>'Пр.6 ведом.20'!G368</f>
        <v>2950</v>
      </c>
    </row>
    <row r="559" spans="1:9" s="229" customFormat="1" ht="47.25" x14ac:dyDescent="0.25">
      <c r="A559" s="25" t="s">
        <v>1280</v>
      </c>
      <c r="B559" s="20" t="s">
        <v>963</v>
      </c>
      <c r="C559" s="40" t="s">
        <v>314</v>
      </c>
      <c r="D559" s="40" t="s">
        <v>133</v>
      </c>
      <c r="E559" s="40" t="s">
        <v>149</v>
      </c>
      <c r="F559" s="2">
        <v>903</v>
      </c>
      <c r="G559" s="10">
        <f>G558</f>
        <v>2950</v>
      </c>
      <c r="H559" s="230"/>
    </row>
    <row r="560" spans="1:9" ht="15.75" customHeight="1" x14ac:dyDescent="0.25">
      <c r="A560" s="25" t="s">
        <v>150</v>
      </c>
      <c r="B560" s="20" t="s">
        <v>963</v>
      </c>
      <c r="C560" s="40" t="s">
        <v>314</v>
      </c>
      <c r="D560" s="40" t="s">
        <v>133</v>
      </c>
      <c r="E560" s="40" t="s">
        <v>160</v>
      </c>
      <c r="F560" s="2"/>
      <c r="G560" s="10">
        <f>G561</f>
        <v>26</v>
      </c>
    </row>
    <row r="561" spans="1:8" ht="15.75" customHeight="1" x14ac:dyDescent="0.25">
      <c r="A561" s="25" t="s">
        <v>152</v>
      </c>
      <c r="B561" s="20" t="s">
        <v>963</v>
      </c>
      <c r="C561" s="40" t="s">
        <v>314</v>
      </c>
      <c r="D561" s="40" t="s">
        <v>133</v>
      </c>
      <c r="E561" s="40" t="s">
        <v>153</v>
      </c>
      <c r="F561" s="2"/>
      <c r="G561" s="10">
        <f>'Пр.6 ведом.20'!G370</f>
        <v>26</v>
      </c>
    </row>
    <row r="562" spans="1:8" s="229" customFormat="1" ht="50.25" customHeight="1" x14ac:dyDescent="0.25">
      <c r="A562" s="25" t="s">
        <v>1280</v>
      </c>
      <c r="B562" s="20" t="s">
        <v>963</v>
      </c>
      <c r="C562" s="40" t="s">
        <v>314</v>
      </c>
      <c r="D562" s="40" t="s">
        <v>133</v>
      </c>
      <c r="E562" s="40" t="s">
        <v>153</v>
      </c>
      <c r="F562" s="2">
        <v>903</v>
      </c>
      <c r="G562" s="10">
        <f>G561</f>
        <v>26</v>
      </c>
      <c r="H562" s="230"/>
    </row>
    <row r="563" spans="1:8" s="229" customFormat="1" ht="30.75" customHeight="1" x14ac:dyDescent="0.25">
      <c r="A563" s="23" t="s">
        <v>975</v>
      </c>
      <c r="B563" s="24" t="s">
        <v>964</v>
      </c>
      <c r="C563" s="7"/>
      <c r="D563" s="7"/>
      <c r="E563" s="7"/>
      <c r="F563" s="3"/>
      <c r="G563" s="59">
        <f>G566</f>
        <v>50</v>
      </c>
      <c r="H563" s="230"/>
    </row>
    <row r="564" spans="1:8" s="229" customFormat="1" ht="15.75" customHeight="1" x14ac:dyDescent="0.25">
      <c r="A564" s="73" t="s">
        <v>313</v>
      </c>
      <c r="B564" s="40" t="s">
        <v>964</v>
      </c>
      <c r="C564" s="40" t="s">
        <v>314</v>
      </c>
      <c r="D564" s="40"/>
      <c r="E564" s="40"/>
      <c r="F564" s="74"/>
      <c r="G564" s="10">
        <f t="shared" ref="G564" si="72">G565</f>
        <v>50</v>
      </c>
      <c r="H564" s="230"/>
    </row>
    <row r="565" spans="1:8" s="229" customFormat="1" ht="18" customHeight="1" x14ac:dyDescent="0.25">
      <c r="A565" s="73" t="s">
        <v>315</v>
      </c>
      <c r="B565" s="40" t="s">
        <v>964</v>
      </c>
      <c r="C565" s="40" t="s">
        <v>314</v>
      </c>
      <c r="D565" s="40" t="s">
        <v>133</v>
      </c>
      <c r="E565" s="40"/>
      <c r="F565" s="74"/>
      <c r="G565" s="10">
        <f>G566</f>
        <v>50</v>
      </c>
      <c r="H565" s="230"/>
    </row>
    <row r="566" spans="1:8" s="229" customFormat="1" ht="33.75" customHeight="1" x14ac:dyDescent="0.25">
      <c r="A566" s="25" t="s">
        <v>867</v>
      </c>
      <c r="B566" s="20" t="s">
        <v>965</v>
      </c>
      <c r="C566" s="40" t="s">
        <v>314</v>
      </c>
      <c r="D566" s="40" t="s">
        <v>133</v>
      </c>
      <c r="E566" s="40"/>
      <c r="F566" s="2"/>
      <c r="G566" s="10">
        <f>G567</f>
        <v>50</v>
      </c>
      <c r="H566" s="230"/>
    </row>
    <row r="567" spans="1:8" s="229" customFormat="1" ht="36.75" customHeight="1" x14ac:dyDescent="0.25">
      <c r="A567" s="25" t="s">
        <v>146</v>
      </c>
      <c r="B567" s="20" t="s">
        <v>965</v>
      </c>
      <c r="C567" s="40" t="s">
        <v>314</v>
      </c>
      <c r="D567" s="40" t="s">
        <v>133</v>
      </c>
      <c r="E567" s="40" t="s">
        <v>147</v>
      </c>
      <c r="F567" s="2"/>
      <c r="G567" s="10">
        <f>G568</f>
        <v>50</v>
      </c>
      <c r="H567" s="230"/>
    </row>
    <row r="568" spans="1:8" s="229" customFormat="1" ht="33" customHeight="1" x14ac:dyDescent="0.25">
      <c r="A568" s="25" t="s">
        <v>148</v>
      </c>
      <c r="B568" s="20" t="s">
        <v>965</v>
      </c>
      <c r="C568" s="40" t="s">
        <v>314</v>
      </c>
      <c r="D568" s="40" t="s">
        <v>133</v>
      </c>
      <c r="E568" s="40" t="s">
        <v>149</v>
      </c>
      <c r="F568" s="2"/>
      <c r="G568" s="10">
        <f>'Пр.6 ведом.20'!G374</f>
        <v>50</v>
      </c>
      <c r="H568" s="230"/>
    </row>
    <row r="569" spans="1:8" s="229" customFormat="1" ht="48" customHeight="1" x14ac:dyDescent="0.25">
      <c r="A569" s="25" t="s">
        <v>1280</v>
      </c>
      <c r="B569" s="20" t="s">
        <v>965</v>
      </c>
      <c r="C569" s="40" t="s">
        <v>314</v>
      </c>
      <c r="D569" s="40" t="s">
        <v>133</v>
      </c>
      <c r="E569" s="40" t="s">
        <v>149</v>
      </c>
      <c r="F569" s="2">
        <v>903</v>
      </c>
      <c r="G569" s="10">
        <f>G568</f>
        <v>50</v>
      </c>
      <c r="H569" s="230"/>
    </row>
    <row r="570" spans="1:8" s="229" customFormat="1" ht="36.75" customHeight="1" x14ac:dyDescent="0.25">
      <c r="A570" s="23" t="s">
        <v>1081</v>
      </c>
      <c r="B570" s="24" t="s">
        <v>966</v>
      </c>
      <c r="C570" s="7"/>
      <c r="D570" s="7"/>
      <c r="E570" s="7"/>
      <c r="F570" s="3"/>
      <c r="G570" s="59">
        <f>G573</f>
        <v>507</v>
      </c>
      <c r="H570" s="230"/>
    </row>
    <row r="571" spans="1:8" s="229" customFormat="1" ht="16.5" customHeight="1" x14ac:dyDescent="0.25">
      <c r="A571" s="73" t="s">
        <v>313</v>
      </c>
      <c r="B571" s="40" t="s">
        <v>966</v>
      </c>
      <c r="C571" s="40" t="s">
        <v>314</v>
      </c>
      <c r="D571" s="40"/>
      <c r="E571" s="40"/>
      <c r="F571" s="74"/>
      <c r="G571" s="10">
        <f t="shared" ref="G571" si="73">G572</f>
        <v>507</v>
      </c>
      <c r="H571" s="230"/>
    </row>
    <row r="572" spans="1:8" s="229" customFormat="1" ht="18.75" customHeight="1" x14ac:dyDescent="0.25">
      <c r="A572" s="73" t="s">
        <v>315</v>
      </c>
      <c r="B572" s="40" t="s">
        <v>966</v>
      </c>
      <c r="C572" s="40" t="s">
        <v>314</v>
      </c>
      <c r="D572" s="40" t="s">
        <v>133</v>
      </c>
      <c r="E572" s="40"/>
      <c r="F572" s="74"/>
      <c r="G572" s="10">
        <f>G573</f>
        <v>507</v>
      </c>
      <c r="H572" s="230"/>
    </row>
    <row r="573" spans="1:8" s="229" customFormat="1" ht="44.25" customHeight="1" x14ac:dyDescent="0.25">
      <c r="A573" s="25" t="s">
        <v>886</v>
      </c>
      <c r="B573" s="20" t="s">
        <v>1263</v>
      </c>
      <c r="C573" s="40" t="s">
        <v>314</v>
      </c>
      <c r="D573" s="40" t="s">
        <v>133</v>
      </c>
      <c r="E573" s="40"/>
      <c r="F573" s="2"/>
      <c r="G573" s="10">
        <f>G574</f>
        <v>507</v>
      </c>
      <c r="H573" s="230"/>
    </row>
    <row r="574" spans="1:8" s="229" customFormat="1" ht="78" customHeight="1" x14ac:dyDescent="0.25">
      <c r="A574" s="25" t="s">
        <v>142</v>
      </c>
      <c r="B574" s="20" t="s">
        <v>1263</v>
      </c>
      <c r="C574" s="40" t="s">
        <v>314</v>
      </c>
      <c r="D574" s="40" t="s">
        <v>133</v>
      </c>
      <c r="E574" s="40" t="s">
        <v>143</v>
      </c>
      <c r="F574" s="2"/>
      <c r="G574" s="10">
        <f>G575</f>
        <v>507</v>
      </c>
      <c r="H574" s="230"/>
    </row>
    <row r="575" spans="1:8" s="229" customFormat="1" ht="33" customHeight="1" x14ac:dyDescent="0.25">
      <c r="A575" s="25" t="s">
        <v>144</v>
      </c>
      <c r="B575" s="20" t="s">
        <v>1263</v>
      </c>
      <c r="C575" s="40" t="s">
        <v>314</v>
      </c>
      <c r="D575" s="40" t="s">
        <v>133</v>
      </c>
      <c r="E575" s="40" t="s">
        <v>224</v>
      </c>
      <c r="F575" s="2"/>
      <c r="G575" s="10">
        <f>'Пр.6 ведом.20'!G378</f>
        <v>507</v>
      </c>
      <c r="H575" s="230"/>
    </row>
    <row r="576" spans="1:8" s="229" customFormat="1" ht="44.25" customHeight="1" x14ac:dyDescent="0.25">
      <c r="A576" s="25" t="s">
        <v>1280</v>
      </c>
      <c r="B576" s="20" t="s">
        <v>1263</v>
      </c>
      <c r="C576" s="40" t="s">
        <v>314</v>
      </c>
      <c r="D576" s="40" t="s">
        <v>133</v>
      </c>
      <c r="E576" s="40" t="s">
        <v>224</v>
      </c>
      <c r="F576" s="2">
        <v>903</v>
      </c>
      <c r="G576" s="10">
        <f>G575</f>
        <v>507</v>
      </c>
      <c r="H576" s="230"/>
    </row>
    <row r="577" spans="1:8" s="229" customFormat="1" ht="32.25" customHeight="1" x14ac:dyDescent="0.25">
      <c r="A577" s="23" t="s">
        <v>1169</v>
      </c>
      <c r="B577" s="24" t="s">
        <v>967</v>
      </c>
      <c r="C577" s="7"/>
      <c r="D577" s="7"/>
      <c r="E577" s="7"/>
      <c r="F577" s="3"/>
      <c r="G577" s="59">
        <f>G580+G584</f>
        <v>68.7</v>
      </c>
      <c r="H577" s="230"/>
    </row>
    <row r="578" spans="1:8" s="229" customFormat="1" ht="17.25" customHeight="1" x14ac:dyDescent="0.25">
      <c r="A578" s="68" t="s">
        <v>313</v>
      </c>
      <c r="B578" s="40" t="s">
        <v>967</v>
      </c>
      <c r="C578" s="40" t="s">
        <v>314</v>
      </c>
      <c r="D578" s="40"/>
      <c r="E578" s="40"/>
      <c r="F578" s="74"/>
      <c r="G578" s="10">
        <f t="shared" ref="G578" si="74">G579</f>
        <v>68.7</v>
      </c>
      <c r="H578" s="230"/>
    </row>
    <row r="579" spans="1:8" s="229" customFormat="1" ht="21" customHeight="1" x14ac:dyDescent="0.25">
      <c r="A579" s="68" t="s">
        <v>315</v>
      </c>
      <c r="B579" s="40" t="s">
        <v>967</v>
      </c>
      <c r="C579" s="40" t="s">
        <v>314</v>
      </c>
      <c r="D579" s="40" t="s">
        <v>133</v>
      </c>
      <c r="E579" s="40"/>
      <c r="F579" s="74"/>
      <c r="G579" s="10">
        <f>G580+G584</f>
        <v>68.7</v>
      </c>
      <c r="H579" s="230"/>
    </row>
    <row r="580" spans="1:8" s="229" customFormat="1" ht="15.75" customHeight="1" x14ac:dyDescent="0.25">
      <c r="A580" s="25" t="s">
        <v>344</v>
      </c>
      <c r="B580" s="20" t="s">
        <v>1264</v>
      </c>
      <c r="C580" s="40" t="s">
        <v>314</v>
      </c>
      <c r="D580" s="40" t="s">
        <v>133</v>
      </c>
      <c r="E580" s="40"/>
      <c r="F580" s="2"/>
      <c r="G580" s="10">
        <f>G581</f>
        <v>3.5</v>
      </c>
      <c r="H580" s="230"/>
    </row>
    <row r="581" spans="1:8" s="229" customFormat="1" ht="34.5" customHeight="1" x14ac:dyDescent="0.25">
      <c r="A581" s="25" t="s">
        <v>146</v>
      </c>
      <c r="B581" s="20" t="s">
        <v>1264</v>
      </c>
      <c r="C581" s="40" t="s">
        <v>314</v>
      </c>
      <c r="D581" s="40" t="s">
        <v>133</v>
      </c>
      <c r="E581" s="40" t="s">
        <v>147</v>
      </c>
      <c r="F581" s="2"/>
      <c r="G581" s="10">
        <f>G582</f>
        <v>3.5</v>
      </c>
      <c r="H581" s="230"/>
    </row>
    <row r="582" spans="1:8" s="229" customFormat="1" ht="32.25" customHeight="1" x14ac:dyDescent="0.25">
      <c r="A582" s="25" t="s">
        <v>148</v>
      </c>
      <c r="B582" s="20" t="s">
        <v>1264</v>
      </c>
      <c r="C582" s="40" t="s">
        <v>314</v>
      </c>
      <c r="D582" s="40" t="s">
        <v>133</v>
      </c>
      <c r="E582" s="40" t="s">
        <v>149</v>
      </c>
      <c r="F582" s="2"/>
      <c r="G582" s="10">
        <f>'Пр.6 ведом.20'!G382</f>
        <v>3.5</v>
      </c>
      <c r="H582" s="230"/>
    </row>
    <row r="583" spans="1:8" s="229" customFormat="1" ht="50.25" customHeight="1" x14ac:dyDescent="0.25">
      <c r="A583" s="25" t="s">
        <v>1280</v>
      </c>
      <c r="B583" s="20" t="s">
        <v>1264</v>
      </c>
      <c r="C583" s="40" t="s">
        <v>314</v>
      </c>
      <c r="D583" s="40" t="s">
        <v>133</v>
      </c>
      <c r="E583" s="40" t="s">
        <v>149</v>
      </c>
      <c r="F583" s="2">
        <v>903</v>
      </c>
      <c r="G583" s="10">
        <f>G582</f>
        <v>3.5</v>
      </c>
      <c r="H583" s="230"/>
    </row>
    <row r="584" spans="1:8" s="229" customFormat="1" ht="15.75" customHeight="1" x14ac:dyDescent="0.25">
      <c r="A584" s="25" t="s">
        <v>344</v>
      </c>
      <c r="B584" s="20" t="s">
        <v>1265</v>
      </c>
      <c r="C584" s="40" t="s">
        <v>314</v>
      </c>
      <c r="D584" s="40" t="s">
        <v>133</v>
      </c>
      <c r="E584" s="40"/>
      <c r="F584" s="2"/>
      <c r="G584" s="10">
        <f>G585</f>
        <v>65.2</v>
      </c>
      <c r="H584" s="230"/>
    </row>
    <row r="585" spans="1:8" s="229" customFormat="1" ht="36.75" customHeight="1" x14ac:dyDescent="0.25">
      <c r="A585" s="25" t="s">
        <v>146</v>
      </c>
      <c r="B585" s="20" t="s">
        <v>1265</v>
      </c>
      <c r="C585" s="40" t="s">
        <v>314</v>
      </c>
      <c r="D585" s="40" t="s">
        <v>133</v>
      </c>
      <c r="E585" s="40" t="s">
        <v>147</v>
      </c>
      <c r="F585" s="2"/>
      <c r="G585" s="10">
        <f>G586</f>
        <v>65.2</v>
      </c>
      <c r="H585" s="230"/>
    </row>
    <row r="586" spans="1:8" s="229" customFormat="1" ht="37.5" customHeight="1" x14ac:dyDescent="0.25">
      <c r="A586" s="25" t="s">
        <v>148</v>
      </c>
      <c r="B586" s="20" t="s">
        <v>1265</v>
      </c>
      <c r="C586" s="40" t="s">
        <v>314</v>
      </c>
      <c r="D586" s="40" t="s">
        <v>133</v>
      </c>
      <c r="E586" s="40" t="s">
        <v>149</v>
      </c>
      <c r="F586" s="2"/>
      <c r="G586" s="10">
        <f>'Пр.6 ведом.20'!G385</f>
        <v>65.2</v>
      </c>
      <c r="H586" s="230"/>
    </row>
    <row r="587" spans="1:8" s="229" customFormat="1" ht="51.75" customHeight="1" x14ac:dyDescent="0.25">
      <c r="A587" s="25" t="s">
        <v>1280</v>
      </c>
      <c r="B587" s="20" t="s">
        <v>1265</v>
      </c>
      <c r="C587" s="40" t="s">
        <v>314</v>
      </c>
      <c r="D587" s="40" t="s">
        <v>133</v>
      </c>
      <c r="E587" s="40" t="s">
        <v>149</v>
      </c>
      <c r="F587" s="2">
        <v>903</v>
      </c>
      <c r="G587" s="10">
        <f>G586</f>
        <v>65.2</v>
      </c>
      <c r="H587" s="230"/>
    </row>
    <row r="588" spans="1:8" s="229" customFormat="1" ht="49.5" customHeight="1" x14ac:dyDescent="0.25">
      <c r="A588" s="280" t="s">
        <v>973</v>
      </c>
      <c r="B588" s="24" t="s">
        <v>1266</v>
      </c>
      <c r="C588" s="7"/>
      <c r="D588" s="7"/>
      <c r="E588" s="7"/>
      <c r="F588" s="3"/>
      <c r="G588" s="59">
        <f>G589</f>
        <v>1596.01</v>
      </c>
      <c r="H588" s="230"/>
    </row>
    <row r="589" spans="1:8" s="229" customFormat="1" ht="18" customHeight="1" x14ac:dyDescent="0.25">
      <c r="A589" s="68" t="s">
        <v>313</v>
      </c>
      <c r="B589" s="40" t="s">
        <v>1266</v>
      </c>
      <c r="C589" s="40" t="s">
        <v>314</v>
      </c>
      <c r="D589" s="40"/>
      <c r="E589" s="40"/>
      <c r="F589" s="74"/>
      <c r="G589" s="10">
        <f t="shared" ref="G589" si="75">G590</f>
        <v>1596.01</v>
      </c>
      <c r="H589" s="230"/>
    </row>
    <row r="590" spans="1:8" s="229" customFormat="1" ht="18.75" customHeight="1" x14ac:dyDescent="0.25">
      <c r="A590" s="68" t="s">
        <v>315</v>
      </c>
      <c r="B590" s="40" t="s">
        <v>1266</v>
      </c>
      <c r="C590" s="40" t="s">
        <v>314</v>
      </c>
      <c r="D590" s="40" t="s">
        <v>133</v>
      </c>
      <c r="E590" s="40"/>
      <c r="F590" s="74"/>
      <c r="G590" s="10">
        <f>G591+G595</f>
        <v>1596.01</v>
      </c>
      <c r="H590" s="230"/>
    </row>
    <row r="591" spans="1:8" s="229" customFormat="1" ht="66" customHeight="1" x14ac:dyDescent="0.25">
      <c r="A591" s="25" t="s">
        <v>346</v>
      </c>
      <c r="B591" s="20" t="s">
        <v>1267</v>
      </c>
      <c r="C591" s="40" t="s">
        <v>314</v>
      </c>
      <c r="D591" s="40" t="s">
        <v>133</v>
      </c>
      <c r="E591" s="40"/>
      <c r="F591" s="2"/>
      <c r="G591" s="10">
        <f>G592</f>
        <v>319.7</v>
      </c>
      <c r="H591" s="230"/>
    </row>
    <row r="592" spans="1:8" s="229" customFormat="1" ht="77.25" customHeight="1" x14ac:dyDescent="0.25">
      <c r="A592" s="25" t="s">
        <v>142</v>
      </c>
      <c r="B592" s="20" t="s">
        <v>1267</v>
      </c>
      <c r="C592" s="40" t="s">
        <v>314</v>
      </c>
      <c r="D592" s="40" t="s">
        <v>133</v>
      </c>
      <c r="E592" s="40" t="s">
        <v>143</v>
      </c>
      <c r="F592" s="2"/>
      <c r="G592" s="10">
        <f>G593</f>
        <v>319.7</v>
      </c>
      <c r="H592" s="230"/>
    </row>
    <row r="593" spans="1:8" s="229" customFormat="1" ht="20.25" customHeight="1" x14ac:dyDescent="0.25">
      <c r="A593" s="25" t="s">
        <v>223</v>
      </c>
      <c r="B593" s="20" t="s">
        <v>1267</v>
      </c>
      <c r="C593" s="40" t="s">
        <v>314</v>
      </c>
      <c r="D593" s="40" t="s">
        <v>133</v>
      </c>
      <c r="E593" s="40" t="s">
        <v>224</v>
      </c>
      <c r="F593" s="2"/>
      <c r="G593" s="10">
        <f>'Пр.6 ведом.20'!G389</f>
        <v>319.7</v>
      </c>
      <c r="H593" s="230"/>
    </row>
    <row r="594" spans="1:8" s="229" customFormat="1" ht="51.75" customHeight="1" x14ac:dyDescent="0.25">
      <c r="A594" s="25" t="s">
        <v>1280</v>
      </c>
      <c r="B594" s="20" t="s">
        <v>1267</v>
      </c>
      <c r="C594" s="40" t="s">
        <v>314</v>
      </c>
      <c r="D594" s="40" t="s">
        <v>133</v>
      </c>
      <c r="E594" s="40" t="s">
        <v>224</v>
      </c>
      <c r="F594" s="2">
        <v>903</v>
      </c>
      <c r="G594" s="10">
        <f>G593</f>
        <v>319.7</v>
      </c>
      <c r="H594" s="230"/>
    </row>
    <row r="595" spans="1:8" s="229" customFormat="1" ht="95.25" customHeight="1" x14ac:dyDescent="0.25">
      <c r="A595" s="31" t="s">
        <v>308</v>
      </c>
      <c r="B595" s="20" t="s">
        <v>1268</v>
      </c>
      <c r="C595" s="40" t="s">
        <v>314</v>
      </c>
      <c r="D595" s="40" t="s">
        <v>133</v>
      </c>
      <c r="E595" s="40"/>
      <c r="F595" s="2"/>
      <c r="G595" s="10">
        <f>G596</f>
        <v>1276.31</v>
      </c>
      <c r="H595" s="230"/>
    </row>
    <row r="596" spans="1:8" s="229" customFormat="1" ht="30.75" customHeight="1" x14ac:dyDescent="0.25">
      <c r="A596" s="25" t="s">
        <v>142</v>
      </c>
      <c r="B596" s="20" t="s">
        <v>1268</v>
      </c>
      <c r="C596" s="40" t="s">
        <v>314</v>
      </c>
      <c r="D596" s="40" t="s">
        <v>133</v>
      </c>
      <c r="E596" s="40" t="s">
        <v>143</v>
      </c>
      <c r="F596" s="2"/>
      <c r="G596" s="10">
        <f>G597</f>
        <v>1276.31</v>
      </c>
      <c r="H596" s="230"/>
    </row>
    <row r="597" spans="1:8" s="229" customFormat="1" ht="22.5" customHeight="1" x14ac:dyDescent="0.25">
      <c r="A597" s="25" t="s">
        <v>223</v>
      </c>
      <c r="B597" s="20" t="s">
        <v>1268</v>
      </c>
      <c r="C597" s="40" t="s">
        <v>314</v>
      </c>
      <c r="D597" s="40" t="s">
        <v>133</v>
      </c>
      <c r="E597" s="40" t="s">
        <v>224</v>
      </c>
      <c r="F597" s="2"/>
      <c r="G597" s="10">
        <f>'Пр.6 ведом.20'!G392</f>
        <v>1276.31</v>
      </c>
      <c r="H597" s="230"/>
    </row>
    <row r="598" spans="1:8" s="229" customFormat="1" ht="48.75" customHeight="1" x14ac:dyDescent="0.25">
      <c r="A598" s="25" t="s">
        <v>1280</v>
      </c>
      <c r="B598" s="20" t="s">
        <v>1268</v>
      </c>
      <c r="C598" s="40" t="s">
        <v>314</v>
      </c>
      <c r="D598" s="40" t="s">
        <v>133</v>
      </c>
      <c r="E598" s="40" t="s">
        <v>224</v>
      </c>
      <c r="F598" s="2">
        <v>903</v>
      </c>
      <c r="G598" s="10">
        <f>G597</f>
        <v>1276.31</v>
      </c>
      <c r="H598" s="230"/>
    </row>
    <row r="599" spans="1:8" s="229" customFormat="1" ht="51.75" customHeight="1" x14ac:dyDescent="0.25">
      <c r="A599" s="23" t="s">
        <v>283</v>
      </c>
      <c r="B599" s="24" t="s">
        <v>284</v>
      </c>
      <c r="C599" s="7"/>
      <c r="D599" s="7"/>
      <c r="E599" s="7"/>
      <c r="F599" s="3"/>
      <c r="G599" s="59">
        <f>G600+G613+G620+G630+G637</f>
        <v>16643.63</v>
      </c>
      <c r="H599" s="230"/>
    </row>
    <row r="600" spans="1:8" s="229" customFormat="1" ht="37.5" customHeight="1" x14ac:dyDescent="0.25">
      <c r="A600" s="23" t="s">
        <v>943</v>
      </c>
      <c r="B600" s="24" t="s">
        <v>944</v>
      </c>
      <c r="C600" s="7"/>
      <c r="D600" s="7"/>
      <c r="E600" s="7"/>
      <c r="F600" s="3"/>
      <c r="G600" s="59">
        <f>G601</f>
        <v>15011</v>
      </c>
      <c r="H600" s="230"/>
    </row>
    <row r="601" spans="1:8" s="229" customFormat="1" ht="15.75" customHeight="1" x14ac:dyDescent="0.25">
      <c r="A601" s="25" t="s">
        <v>278</v>
      </c>
      <c r="B601" s="20" t="s">
        <v>944</v>
      </c>
      <c r="C601" s="40" t="s">
        <v>279</v>
      </c>
      <c r="D601" s="40"/>
      <c r="E601" s="40"/>
      <c r="F601" s="2"/>
      <c r="G601" s="10">
        <f>G602</f>
        <v>15011</v>
      </c>
      <c r="H601" s="230"/>
    </row>
    <row r="602" spans="1:8" s="229" customFormat="1" ht="20.25" customHeight="1" x14ac:dyDescent="0.25">
      <c r="A602" s="25" t="s">
        <v>280</v>
      </c>
      <c r="B602" s="20" t="s">
        <v>944</v>
      </c>
      <c r="C602" s="40" t="s">
        <v>279</v>
      </c>
      <c r="D602" s="40" t="s">
        <v>230</v>
      </c>
      <c r="E602" s="40"/>
      <c r="F602" s="2"/>
      <c r="G602" s="10">
        <f>G603</f>
        <v>15011</v>
      </c>
      <c r="H602" s="230"/>
    </row>
    <row r="603" spans="1:8" s="229" customFormat="1" ht="18.75" customHeight="1" x14ac:dyDescent="0.25">
      <c r="A603" s="25" t="s">
        <v>832</v>
      </c>
      <c r="B603" s="20" t="s">
        <v>942</v>
      </c>
      <c r="C603" s="40" t="s">
        <v>279</v>
      </c>
      <c r="D603" s="40" t="s">
        <v>230</v>
      </c>
      <c r="E603" s="40"/>
      <c r="F603" s="2"/>
      <c r="G603" s="10">
        <f>G604+G607+G610</f>
        <v>15011</v>
      </c>
      <c r="H603" s="230"/>
    </row>
    <row r="604" spans="1:8" s="229" customFormat="1" ht="86.25" customHeight="1" x14ac:dyDescent="0.25">
      <c r="A604" s="25" t="s">
        <v>142</v>
      </c>
      <c r="B604" s="20" t="s">
        <v>942</v>
      </c>
      <c r="C604" s="40" t="s">
        <v>279</v>
      </c>
      <c r="D604" s="40" t="s">
        <v>230</v>
      </c>
      <c r="E604" s="20" t="s">
        <v>143</v>
      </c>
      <c r="F604" s="2"/>
      <c r="G604" s="10">
        <f>G605</f>
        <v>13393</v>
      </c>
      <c r="H604" s="230"/>
    </row>
    <row r="605" spans="1:8" s="229" customFormat="1" ht="15.75" customHeight="1" x14ac:dyDescent="0.25">
      <c r="A605" s="46" t="s">
        <v>357</v>
      </c>
      <c r="B605" s="20" t="s">
        <v>942</v>
      </c>
      <c r="C605" s="40" t="s">
        <v>279</v>
      </c>
      <c r="D605" s="40" t="s">
        <v>230</v>
      </c>
      <c r="E605" s="20" t="s">
        <v>224</v>
      </c>
      <c r="F605" s="2"/>
      <c r="G605" s="10">
        <f>'Пр.6 ведом.20'!G278</f>
        <v>13393</v>
      </c>
      <c r="H605" s="230"/>
    </row>
    <row r="606" spans="1:8" s="229" customFormat="1" ht="48" customHeight="1" x14ac:dyDescent="0.25">
      <c r="A606" s="25" t="s">
        <v>1280</v>
      </c>
      <c r="B606" s="20" t="s">
        <v>942</v>
      </c>
      <c r="C606" s="40" t="s">
        <v>279</v>
      </c>
      <c r="D606" s="40" t="s">
        <v>230</v>
      </c>
      <c r="E606" s="20" t="s">
        <v>224</v>
      </c>
      <c r="F606" s="2">
        <v>903</v>
      </c>
      <c r="G606" s="10">
        <f>G605</f>
        <v>13393</v>
      </c>
      <c r="H606" s="230"/>
    </row>
    <row r="607" spans="1:8" s="229" customFormat="1" ht="36" customHeight="1" x14ac:dyDescent="0.25">
      <c r="A607" s="25" t="s">
        <v>146</v>
      </c>
      <c r="B607" s="20" t="s">
        <v>942</v>
      </c>
      <c r="C607" s="40" t="s">
        <v>279</v>
      </c>
      <c r="D607" s="40" t="s">
        <v>230</v>
      </c>
      <c r="E607" s="20" t="s">
        <v>147</v>
      </c>
      <c r="F607" s="2"/>
      <c r="G607" s="10">
        <f>G608</f>
        <v>1540</v>
      </c>
      <c r="H607" s="230"/>
    </row>
    <row r="608" spans="1:8" s="229" customFormat="1" ht="29.25" customHeight="1" x14ac:dyDescent="0.25">
      <c r="A608" s="25" t="s">
        <v>148</v>
      </c>
      <c r="B608" s="20" t="s">
        <v>942</v>
      </c>
      <c r="C608" s="40" t="s">
        <v>279</v>
      </c>
      <c r="D608" s="40" t="s">
        <v>230</v>
      </c>
      <c r="E608" s="20" t="s">
        <v>149</v>
      </c>
      <c r="F608" s="2"/>
      <c r="G608" s="10">
        <f>'Пр.6 ведом.20'!G280</f>
        <v>1540</v>
      </c>
      <c r="H608" s="230"/>
    </row>
    <row r="609" spans="1:8" s="229" customFormat="1" ht="48" customHeight="1" x14ac:dyDescent="0.25">
      <c r="A609" s="25" t="s">
        <v>1280</v>
      </c>
      <c r="B609" s="20" t="s">
        <v>942</v>
      </c>
      <c r="C609" s="40" t="s">
        <v>279</v>
      </c>
      <c r="D609" s="40" t="s">
        <v>230</v>
      </c>
      <c r="E609" s="20" t="s">
        <v>149</v>
      </c>
      <c r="F609" s="2">
        <v>903</v>
      </c>
      <c r="G609" s="10">
        <f>G608</f>
        <v>1540</v>
      </c>
      <c r="H609" s="230"/>
    </row>
    <row r="610" spans="1:8" s="229" customFormat="1" ht="15.75" customHeight="1" x14ac:dyDescent="0.25">
      <c r="A610" s="25" t="s">
        <v>150</v>
      </c>
      <c r="B610" s="20" t="s">
        <v>942</v>
      </c>
      <c r="C610" s="40" t="s">
        <v>279</v>
      </c>
      <c r="D610" s="40" t="s">
        <v>230</v>
      </c>
      <c r="E610" s="20" t="s">
        <v>160</v>
      </c>
      <c r="F610" s="2"/>
      <c r="G610" s="10">
        <f>G611</f>
        <v>78</v>
      </c>
      <c r="H610" s="230"/>
    </row>
    <row r="611" spans="1:8" s="229" customFormat="1" ht="15.75" customHeight="1" x14ac:dyDescent="0.25">
      <c r="A611" s="25" t="s">
        <v>726</v>
      </c>
      <c r="B611" s="20" t="s">
        <v>942</v>
      </c>
      <c r="C611" s="40" t="s">
        <v>279</v>
      </c>
      <c r="D611" s="40" t="s">
        <v>230</v>
      </c>
      <c r="E611" s="20" t="s">
        <v>153</v>
      </c>
      <c r="F611" s="2"/>
      <c r="G611" s="10">
        <f>'Пр.6 ведом.20'!G282</f>
        <v>78</v>
      </c>
      <c r="H611" s="230"/>
    </row>
    <row r="612" spans="1:8" s="229" customFormat="1" ht="54.75" customHeight="1" x14ac:dyDescent="0.25">
      <c r="A612" s="25" t="s">
        <v>1280</v>
      </c>
      <c r="B612" s="20" t="s">
        <v>942</v>
      </c>
      <c r="C612" s="40" t="s">
        <v>279</v>
      </c>
      <c r="D612" s="40" t="s">
        <v>230</v>
      </c>
      <c r="E612" s="20" t="s">
        <v>153</v>
      </c>
      <c r="F612" s="2">
        <v>903</v>
      </c>
      <c r="G612" s="10">
        <f>G611</f>
        <v>78</v>
      </c>
      <c r="H612" s="230"/>
    </row>
    <row r="613" spans="1:8" s="229" customFormat="1" ht="48" customHeight="1" x14ac:dyDescent="0.25">
      <c r="A613" s="278" t="s">
        <v>1196</v>
      </c>
      <c r="B613" s="24" t="s">
        <v>946</v>
      </c>
      <c r="C613" s="7"/>
      <c r="D613" s="7"/>
      <c r="E613" s="24"/>
      <c r="F613" s="3"/>
      <c r="G613" s="59">
        <f>G616</f>
        <v>45</v>
      </c>
      <c r="H613" s="230"/>
    </row>
    <row r="614" spans="1:8" s="229" customFormat="1" ht="18" customHeight="1" x14ac:dyDescent="0.25">
      <c r="A614" s="25" t="s">
        <v>278</v>
      </c>
      <c r="B614" s="20" t="s">
        <v>946</v>
      </c>
      <c r="C614" s="40" t="s">
        <v>279</v>
      </c>
      <c r="D614" s="40"/>
      <c r="E614" s="40"/>
      <c r="F614" s="2"/>
      <c r="G614" s="10">
        <f>G615</f>
        <v>45</v>
      </c>
      <c r="H614" s="230"/>
    </row>
    <row r="615" spans="1:8" s="229" customFormat="1" ht="15.75" customHeight="1" x14ac:dyDescent="0.25">
      <c r="A615" s="25" t="s">
        <v>280</v>
      </c>
      <c r="B615" s="20" t="s">
        <v>946</v>
      </c>
      <c r="C615" s="40" t="s">
        <v>279</v>
      </c>
      <c r="D615" s="40" t="s">
        <v>230</v>
      </c>
      <c r="E615" s="40"/>
      <c r="F615" s="2"/>
      <c r="G615" s="10">
        <f>G616</f>
        <v>45</v>
      </c>
      <c r="H615" s="230"/>
    </row>
    <row r="616" spans="1:8" s="229" customFormat="1" ht="15.75" customHeight="1" x14ac:dyDescent="0.25">
      <c r="A616" s="216" t="s">
        <v>831</v>
      </c>
      <c r="B616" s="20" t="s">
        <v>945</v>
      </c>
      <c r="C616" s="40" t="s">
        <v>279</v>
      </c>
      <c r="D616" s="40" t="s">
        <v>230</v>
      </c>
      <c r="E616" s="20"/>
      <c r="F616" s="2"/>
      <c r="G616" s="10">
        <f>G617</f>
        <v>45</v>
      </c>
      <c r="H616" s="230"/>
    </row>
    <row r="617" spans="1:8" s="229" customFormat="1" ht="15.75" customHeight="1" x14ac:dyDescent="0.25">
      <c r="A617" s="25" t="s">
        <v>263</v>
      </c>
      <c r="B617" s="20" t="s">
        <v>945</v>
      </c>
      <c r="C617" s="40" t="s">
        <v>279</v>
      </c>
      <c r="D617" s="40" t="s">
        <v>230</v>
      </c>
      <c r="E617" s="20" t="s">
        <v>264</v>
      </c>
      <c r="F617" s="2"/>
      <c r="G617" s="10">
        <f>G618</f>
        <v>45</v>
      </c>
      <c r="H617" s="230"/>
    </row>
    <row r="618" spans="1:8" s="229" customFormat="1" ht="15.75" customHeight="1" x14ac:dyDescent="0.25">
      <c r="A618" s="25" t="s">
        <v>866</v>
      </c>
      <c r="B618" s="20" t="s">
        <v>945</v>
      </c>
      <c r="C618" s="40" t="s">
        <v>279</v>
      </c>
      <c r="D618" s="40" t="s">
        <v>230</v>
      </c>
      <c r="E618" s="20" t="s">
        <v>865</v>
      </c>
      <c r="F618" s="2"/>
      <c r="G618" s="10">
        <f>'Пр.6 ведом.20'!G286</f>
        <v>45</v>
      </c>
      <c r="H618" s="230"/>
    </row>
    <row r="619" spans="1:8" s="229" customFormat="1" ht="49.5" customHeight="1" x14ac:dyDescent="0.25">
      <c r="A619" s="25" t="s">
        <v>1280</v>
      </c>
      <c r="B619" s="20" t="s">
        <v>945</v>
      </c>
      <c r="C619" s="40" t="s">
        <v>279</v>
      </c>
      <c r="D619" s="40" t="s">
        <v>230</v>
      </c>
      <c r="E619" s="20" t="s">
        <v>865</v>
      </c>
      <c r="F619" s="2">
        <v>903</v>
      </c>
      <c r="G619" s="10">
        <f>G618</f>
        <v>45</v>
      </c>
      <c r="H619" s="230"/>
    </row>
    <row r="620" spans="1:8" s="229" customFormat="1" ht="53.25" customHeight="1" x14ac:dyDescent="0.25">
      <c r="A620" s="283" t="s">
        <v>1174</v>
      </c>
      <c r="B620" s="24" t="s">
        <v>947</v>
      </c>
      <c r="C620" s="7"/>
      <c r="D620" s="7"/>
      <c r="E620" s="24"/>
      <c r="F620" s="3"/>
      <c r="G620" s="59">
        <f>G623</f>
        <v>250.00000000000003</v>
      </c>
      <c r="H620" s="230"/>
    </row>
    <row r="621" spans="1:8" s="229" customFormat="1" ht="16.5" customHeight="1" x14ac:dyDescent="0.25">
      <c r="A621" s="25" t="s">
        <v>278</v>
      </c>
      <c r="B621" s="20" t="s">
        <v>947</v>
      </c>
      <c r="C621" s="40" t="s">
        <v>279</v>
      </c>
      <c r="D621" s="40"/>
      <c r="E621" s="40"/>
      <c r="F621" s="2"/>
      <c r="G621" s="10">
        <f>G622</f>
        <v>250.00000000000003</v>
      </c>
      <c r="H621" s="230"/>
    </row>
    <row r="622" spans="1:8" s="229" customFormat="1" ht="16.5" customHeight="1" x14ac:dyDescent="0.25">
      <c r="A622" s="25" t="s">
        <v>280</v>
      </c>
      <c r="B622" s="20" t="s">
        <v>947</v>
      </c>
      <c r="C622" s="40" t="s">
        <v>279</v>
      </c>
      <c r="D622" s="40" t="s">
        <v>230</v>
      </c>
      <c r="E622" s="40"/>
      <c r="F622" s="2"/>
      <c r="G622" s="10">
        <f>G623</f>
        <v>250.00000000000003</v>
      </c>
      <c r="H622" s="230"/>
    </row>
    <row r="623" spans="1:8" s="229" customFormat="1" ht="34.5" customHeight="1" x14ac:dyDescent="0.25">
      <c r="A623" s="31" t="s">
        <v>861</v>
      </c>
      <c r="B623" s="20" t="s">
        <v>948</v>
      </c>
      <c r="C623" s="40" t="s">
        <v>279</v>
      </c>
      <c r="D623" s="40" t="s">
        <v>230</v>
      </c>
      <c r="E623" s="20"/>
      <c r="F623" s="2"/>
      <c r="G623" s="10">
        <f>G624+G627</f>
        <v>250.00000000000003</v>
      </c>
      <c r="H623" s="230"/>
    </row>
    <row r="624" spans="1:8" s="229" customFormat="1" ht="84" customHeight="1" x14ac:dyDescent="0.25">
      <c r="A624" s="25" t="s">
        <v>142</v>
      </c>
      <c r="B624" s="20" t="s">
        <v>948</v>
      </c>
      <c r="C624" s="40" t="s">
        <v>279</v>
      </c>
      <c r="D624" s="40" t="s">
        <v>230</v>
      </c>
      <c r="E624" s="20" t="s">
        <v>143</v>
      </c>
      <c r="F624" s="2"/>
      <c r="G624" s="10">
        <f>G625</f>
        <v>250.00000000000003</v>
      </c>
      <c r="H624" s="230"/>
    </row>
    <row r="625" spans="1:8" s="229" customFormat="1" ht="15.75" customHeight="1" x14ac:dyDescent="0.25">
      <c r="A625" s="46" t="s">
        <v>357</v>
      </c>
      <c r="B625" s="20" t="s">
        <v>948</v>
      </c>
      <c r="C625" s="40" t="s">
        <v>279</v>
      </c>
      <c r="D625" s="40" t="s">
        <v>230</v>
      </c>
      <c r="E625" s="20" t="s">
        <v>224</v>
      </c>
      <c r="F625" s="2"/>
      <c r="G625" s="10">
        <f>'Пр.6 ведом.20'!G290</f>
        <v>250.00000000000003</v>
      </c>
      <c r="H625" s="230"/>
    </row>
    <row r="626" spans="1:8" s="229" customFormat="1" ht="49.5" customHeight="1" x14ac:dyDescent="0.25">
      <c r="A626" s="25" t="s">
        <v>1280</v>
      </c>
      <c r="B626" s="20" t="s">
        <v>948</v>
      </c>
      <c r="C626" s="40" t="s">
        <v>279</v>
      </c>
      <c r="D626" s="40" t="s">
        <v>230</v>
      </c>
      <c r="E626" s="20" t="s">
        <v>224</v>
      </c>
      <c r="F626" s="2">
        <v>903</v>
      </c>
      <c r="G626" s="10">
        <f>G625</f>
        <v>250.00000000000003</v>
      </c>
      <c r="H626" s="230"/>
    </row>
    <row r="627" spans="1:8" s="229" customFormat="1" ht="36.75" hidden="1" customHeight="1" x14ac:dyDescent="0.25">
      <c r="A627" s="25" t="s">
        <v>146</v>
      </c>
      <c r="B627" s="20" t="s">
        <v>948</v>
      </c>
      <c r="C627" s="40" t="s">
        <v>279</v>
      </c>
      <c r="D627" s="40" t="s">
        <v>230</v>
      </c>
      <c r="E627" s="20" t="s">
        <v>147</v>
      </c>
      <c r="F627" s="2"/>
      <c r="G627" s="10">
        <f>G628</f>
        <v>0</v>
      </c>
      <c r="H627" s="230"/>
    </row>
    <row r="628" spans="1:8" s="229" customFormat="1" ht="15.75" hidden="1" customHeight="1" x14ac:dyDescent="0.25">
      <c r="A628" s="25" t="s">
        <v>148</v>
      </c>
      <c r="B628" s="20" t="s">
        <v>948</v>
      </c>
      <c r="C628" s="40" t="s">
        <v>279</v>
      </c>
      <c r="D628" s="40" t="s">
        <v>230</v>
      </c>
      <c r="E628" s="20" t="s">
        <v>149</v>
      </c>
      <c r="F628" s="2"/>
      <c r="G628" s="10">
        <f>'Пр.6 ведом.20'!G292</f>
        <v>0</v>
      </c>
      <c r="H628" s="230"/>
    </row>
    <row r="629" spans="1:8" s="229" customFormat="1" ht="48" hidden="1" customHeight="1" x14ac:dyDescent="0.25">
      <c r="A629" s="25" t="s">
        <v>1280</v>
      </c>
      <c r="B629" s="20" t="s">
        <v>948</v>
      </c>
      <c r="C629" s="40" t="s">
        <v>279</v>
      </c>
      <c r="D629" s="40" t="s">
        <v>230</v>
      </c>
      <c r="E629" s="20" t="s">
        <v>149</v>
      </c>
      <c r="F629" s="2">
        <v>903</v>
      </c>
      <c r="G629" s="10">
        <f>G628</f>
        <v>0</v>
      </c>
      <c r="H629" s="230"/>
    </row>
    <row r="630" spans="1:8" s="229" customFormat="1" ht="36.75" customHeight="1" x14ac:dyDescent="0.25">
      <c r="A630" s="23" t="s">
        <v>1081</v>
      </c>
      <c r="B630" s="24" t="s">
        <v>953</v>
      </c>
      <c r="C630" s="7"/>
      <c r="D630" s="7"/>
      <c r="E630" s="24"/>
      <c r="F630" s="3"/>
      <c r="G630" s="59">
        <f>G633</f>
        <v>336</v>
      </c>
      <c r="H630" s="230"/>
    </row>
    <row r="631" spans="1:8" s="229" customFormat="1" ht="17.25" customHeight="1" x14ac:dyDescent="0.25">
      <c r="A631" s="25" t="s">
        <v>278</v>
      </c>
      <c r="B631" s="20" t="s">
        <v>953</v>
      </c>
      <c r="C631" s="40" t="s">
        <v>279</v>
      </c>
      <c r="D631" s="40"/>
      <c r="E631" s="40"/>
      <c r="F631" s="2"/>
      <c r="G631" s="10">
        <f>G632</f>
        <v>336</v>
      </c>
      <c r="H631" s="230"/>
    </row>
    <row r="632" spans="1:8" s="229" customFormat="1" ht="18.75" customHeight="1" x14ac:dyDescent="0.25">
      <c r="A632" s="25" t="s">
        <v>280</v>
      </c>
      <c r="B632" s="20" t="s">
        <v>953</v>
      </c>
      <c r="C632" s="40" t="s">
        <v>279</v>
      </c>
      <c r="D632" s="40" t="s">
        <v>230</v>
      </c>
      <c r="E632" s="40"/>
      <c r="F632" s="2"/>
      <c r="G632" s="10">
        <f>G633</f>
        <v>336</v>
      </c>
      <c r="H632" s="230"/>
    </row>
    <row r="633" spans="1:8" s="229" customFormat="1" ht="49.5" customHeight="1" x14ac:dyDescent="0.25">
      <c r="A633" s="25" t="s">
        <v>886</v>
      </c>
      <c r="B633" s="20" t="s">
        <v>1274</v>
      </c>
      <c r="C633" s="40" t="s">
        <v>279</v>
      </c>
      <c r="D633" s="40" t="s">
        <v>230</v>
      </c>
      <c r="E633" s="20"/>
      <c r="F633" s="2"/>
      <c r="G633" s="10">
        <f>G634</f>
        <v>336</v>
      </c>
      <c r="H633" s="230"/>
    </row>
    <row r="634" spans="1:8" s="229" customFormat="1" ht="83.25" customHeight="1" x14ac:dyDescent="0.25">
      <c r="A634" s="25" t="s">
        <v>142</v>
      </c>
      <c r="B634" s="20" t="s">
        <v>1274</v>
      </c>
      <c r="C634" s="40" t="s">
        <v>279</v>
      </c>
      <c r="D634" s="40" t="s">
        <v>230</v>
      </c>
      <c r="E634" s="20" t="s">
        <v>143</v>
      </c>
      <c r="F634" s="2"/>
      <c r="G634" s="10">
        <f>G635</f>
        <v>336</v>
      </c>
      <c r="H634" s="230"/>
    </row>
    <row r="635" spans="1:8" s="229" customFormat="1" ht="36" customHeight="1" x14ac:dyDescent="0.25">
      <c r="A635" s="25" t="s">
        <v>144</v>
      </c>
      <c r="B635" s="20" t="s">
        <v>1274</v>
      </c>
      <c r="C635" s="40" t="s">
        <v>279</v>
      </c>
      <c r="D635" s="40" t="s">
        <v>230</v>
      </c>
      <c r="E635" s="20" t="s">
        <v>224</v>
      </c>
      <c r="F635" s="2"/>
      <c r="G635" s="10">
        <f>'Пр.6 ведом.20'!G296</f>
        <v>336</v>
      </c>
      <c r="H635" s="230"/>
    </row>
    <row r="636" spans="1:8" s="229" customFormat="1" ht="53.25" customHeight="1" x14ac:dyDescent="0.25">
      <c r="A636" s="25" t="s">
        <v>1280</v>
      </c>
      <c r="B636" s="20" t="s">
        <v>1274</v>
      </c>
      <c r="C636" s="40" t="s">
        <v>279</v>
      </c>
      <c r="D636" s="40" t="s">
        <v>230</v>
      </c>
      <c r="E636" s="20" t="s">
        <v>224</v>
      </c>
      <c r="F636" s="2">
        <v>903</v>
      </c>
      <c r="G636" s="10">
        <f>G635</f>
        <v>336</v>
      </c>
      <c r="H636" s="230"/>
    </row>
    <row r="637" spans="1:8" s="229" customFormat="1" ht="48" customHeight="1" x14ac:dyDescent="0.25">
      <c r="A637" s="23" t="s">
        <v>973</v>
      </c>
      <c r="B637" s="24" t="s">
        <v>1275</v>
      </c>
      <c r="C637" s="7"/>
      <c r="D637" s="7"/>
      <c r="E637" s="24"/>
      <c r="F637" s="3"/>
      <c r="G637" s="59">
        <f>G640+G644+G648</f>
        <v>1001.6300000000001</v>
      </c>
      <c r="H637" s="230"/>
    </row>
    <row r="638" spans="1:8" s="229" customFormat="1" ht="18.75" customHeight="1" x14ac:dyDescent="0.25">
      <c r="A638" s="25" t="s">
        <v>278</v>
      </c>
      <c r="B638" s="20" t="s">
        <v>1275</v>
      </c>
      <c r="C638" s="40" t="s">
        <v>279</v>
      </c>
      <c r="D638" s="40"/>
      <c r="E638" s="40"/>
      <c r="F638" s="2"/>
      <c r="G638" s="10">
        <f>G639</f>
        <v>1001.6300000000001</v>
      </c>
      <c r="H638" s="230"/>
    </row>
    <row r="639" spans="1:8" s="229" customFormat="1" ht="19.5" customHeight="1" x14ac:dyDescent="0.25">
      <c r="A639" s="25" t="s">
        <v>280</v>
      </c>
      <c r="B639" s="20" t="s">
        <v>1275</v>
      </c>
      <c r="C639" s="40" t="s">
        <v>279</v>
      </c>
      <c r="D639" s="40" t="s">
        <v>230</v>
      </c>
      <c r="E639" s="40"/>
      <c r="F639" s="2"/>
      <c r="G639" s="10">
        <f>G640+G644+G648</f>
        <v>1001.6300000000001</v>
      </c>
      <c r="H639" s="230"/>
    </row>
    <row r="640" spans="1:8" s="229" customFormat="1" ht="66.75" customHeight="1" x14ac:dyDescent="0.25">
      <c r="A640" s="31" t="s">
        <v>304</v>
      </c>
      <c r="B640" s="20" t="s">
        <v>1276</v>
      </c>
      <c r="C640" s="40" t="s">
        <v>279</v>
      </c>
      <c r="D640" s="40" t="s">
        <v>230</v>
      </c>
      <c r="E640" s="20"/>
      <c r="F640" s="2"/>
      <c r="G640" s="10">
        <f>G641</f>
        <v>100.8</v>
      </c>
      <c r="H640" s="230"/>
    </row>
    <row r="641" spans="1:8" s="229" customFormat="1" ht="87.75" customHeight="1" x14ac:dyDescent="0.25">
      <c r="A641" s="25" t="s">
        <v>142</v>
      </c>
      <c r="B641" s="20" t="s">
        <v>1276</v>
      </c>
      <c r="C641" s="40" t="s">
        <v>279</v>
      </c>
      <c r="D641" s="40" t="s">
        <v>230</v>
      </c>
      <c r="E641" s="20" t="s">
        <v>143</v>
      </c>
      <c r="F641" s="2"/>
      <c r="G641" s="10">
        <f>G642</f>
        <v>100.8</v>
      </c>
      <c r="H641" s="230"/>
    </row>
    <row r="642" spans="1:8" s="229" customFormat="1" ht="18.75" customHeight="1" x14ac:dyDescent="0.25">
      <c r="A642" s="46" t="s">
        <v>357</v>
      </c>
      <c r="B642" s="20" t="s">
        <v>1276</v>
      </c>
      <c r="C642" s="40" t="s">
        <v>279</v>
      </c>
      <c r="D642" s="40" t="s">
        <v>230</v>
      </c>
      <c r="E642" s="20" t="s">
        <v>224</v>
      </c>
      <c r="F642" s="2"/>
      <c r="G642" s="10">
        <f>'Пр.6 ведом.20'!G300</f>
        <v>100.8</v>
      </c>
      <c r="H642" s="230"/>
    </row>
    <row r="643" spans="1:8" s="229" customFormat="1" ht="55.5" customHeight="1" x14ac:dyDescent="0.25">
      <c r="A643" s="25" t="s">
        <v>1280</v>
      </c>
      <c r="B643" s="20" t="s">
        <v>1276</v>
      </c>
      <c r="C643" s="40" t="s">
        <v>279</v>
      </c>
      <c r="D643" s="40" t="s">
        <v>230</v>
      </c>
      <c r="E643" s="20" t="s">
        <v>224</v>
      </c>
      <c r="F643" s="2">
        <v>903</v>
      </c>
      <c r="G643" s="10">
        <f>G642</f>
        <v>100.8</v>
      </c>
      <c r="H643" s="230"/>
    </row>
    <row r="644" spans="1:8" s="229" customFormat="1" ht="70.5" customHeight="1" x14ac:dyDescent="0.25">
      <c r="A644" s="31" t="s">
        <v>306</v>
      </c>
      <c r="B644" s="20" t="s">
        <v>1277</v>
      </c>
      <c r="C644" s="40" t="s">
        <v>279</v>
      </c>
      <c r="D644" s="40" t="s">
        <v>230</v>
      </c>
      <c r="E644" s="20"/>
      <c r="F644" s="2"/>
      <c r="G644" s="10">
        <f>G645</f>
        <v>298.35000000000002</v>
      </c>
      <c r="H644" s="230"/>
    </row>
    <row r="645" spans="1:8" s="229" customFormat="1" ht="77.25" customHeight="1" x14ac:dyDescent="0.25">
      <c r="A645" s="25" t="s">
        <v>142</v>
      </c>
      <c r="B645" s="20" t="s">
        <v>1277</v>
      </c>
      <c r="C645" s="40" t="s">
        <v>279</v>
      </c>
      <c r="D645" s="40" t="s">
        <v>230</v>
      </c>
      <c r="E645" s="20" t="s">
        <v>143</v>
      </c>
      <c r="F645" s="2"/>
      <c r="G645" s="10">
        <f>G646</f>
        <v>298.35000000000002</v>
      </c>
      <c r="H645" s="230"/>
    </row>
    <row r="646" spans="1:8" s="229" customFormat="1" ht="20.25" customHeight="1" x14ac:dyDescent="0.25">
      <c r="A646" s="46" t="s">
        <v>357</v>
      </c>
      <c r="B646" s="20" t="s">
        <v>1277</v>
      </c>
      <c r="C646" s="40" t="s">
        <v>279</v>
      </c>
      <c r="D646" s="40" t="s">
        <v>230</v>
      </c>
      <c r="E646" s="20" t="s">
        <v>224</v>
      </c>
      <c r="F646" s="2"/>
      <c r="G646" s="10">
        <f>'Пр.6 ведом.20'!G303</f>
        <v>298.35000000000002</v>
      </c>
      <c r="H646" s="230"/>
    </row>
    <row r="647" spans="1:8" s="229" customFormat="1" ht="51.75" customHeight="1" x14ac:dyDescent="0.25">
      <c r="A647" s="25" t="s">
        <v>1280</v>
      </c>
      <c r="B647" s="20" t="s">
        <v>1277</v>
      </c>
      <c r="C647" s="40" t="s">
        <v>279</v>
      </c>
      <c r="D647" s="40" t="s">
        <v>230</v>
      </c>
      <c r="E647" s="20" t="s">
        <v>224</v>
      </c>
      <c r="F647" s="2">
        <v>903</v>
      </c>
      <c r="G647" s="10">
        <f>G646</f>
        <v>298.35000000000002</v>
      </c>
      <c r="H647" s="230"/>
    </row>
    <row r="648" spans="1:8" s="229" customFormat="1" ht="96" customHeight="1" x14ac:dyDescent="0.25">
      <c r="A648" s="31" t="s">
        <v>308</v>
      </c>
      <c r="B648" s="20" t="s">
        <v>1278</v>
      </c>
      <c r="C648" s="40" t="s">
        <v>279</v>
      </c>
      <c r="D648" s="40" t="s">
        <v>230</v>
      </c>
      <c r="E648" s="20"/>
      <c r="F648" s="2"/>
      <c r="G648" s="10">
        <f>G649</f>
        <v>602.48</v>
      </c>
      <c r="H648" s="230"/>
    </row>
    <row r="649" spans="1:8" s="229" customFormat="1" ht="79.5" customHeight="1" x14ac:dyDescent="0.25">
      <c r="A649" s="25" t="s">
        <v>142</v>
      </c>
      <c r="B649" s="20" t="s">
        <v>1278</v>
      </c>
      <c r="C649" s="40" t="s">
        <v>279</v>
      </c>
      <c r="D649" s="40" t="s">
        <v>230</v>
      </c>
      <c r="E649" s="20" t="s">
        <v>143</v>
      </c>
      <c r="F649" s="2"/>
      <c r="G649" s="10">
        <f>G650</f>
        <v>602.48</v>
      </c>
      <c r="H649" s="230"/>
    </row>
    <row r="650" spans="1:8" s="229" customFormat="1" ht="15.75" customHeight="1" x14ac:dyDescent="0.25">
      <c r="A650" s="46" t="s">
        <v>357</v>
      </c>
      <c r="B650" s="20" t="s">
        <v>1278</v>
      </c>
      <c r="C650" s="40" t="s">
        <v>279</v>
      </c>
      <c r="D650" s="40" t="s">
        <v>230</v>
      </c>
      <c r="E650" s="20" t="s">
        <v>224</v>
      </c>
      <c r="F650" s="2"/>
      <c r="G650" s="10">
        <f>'Пр.6 ведом.20'!G306</f>
        <v>602.48</v>
      </c>
      <c r="H650" s="230"/>
    </row>
    <row r="651" spans="1:8" s="229" customFormat="1" ht="49.5" customHeight="1" x14ac:dyDescent="0.25">
      <c r="A651" s="25" t="s">
        <v>1280</v>
      </c>
      <c r="B651" s="20" t="s">
        <v>1278</v>
      </c>
      <c r="C651" s="40" t="s">
        <v>279</v>
      </c>
      <c r="D651" s="40" t="s">
        <v>230</v>
      </c>
      <c r="E651" s="20" t="s">
        <v>224</v>
      </c>
      <c r="F651" s="2">
        <v>903</v>
      </c>
      <c r="G651" s="10">
        <f>G650</f>
        <v>602.48</v>
      </c>
      <c r="H651" s="230"/>
    </row>
    <row r="652" spans="1:8" s="1" customFormat="1" ht="51" customHeight="1" x14ac:dyDescent="0.25">
      <c r="A652" s="41" t="s">
        <v>820</v>
      </c>
      <c r="B652" s="7" t="s">
        <v>339</v>
      </c>
      <c r="C652" s="72"/>
      <c r="D652" s="72"/>
      <c r="E652" s="72"/>
      <c r="F652" s="72"/>
      <c r="G652" s="59">
        <f>G653</f>
        <v>157</v>
      </c>
      <c r="H652" s="230"/>
    </row>
    <row r="653" spans="1:8" s="230" customFormat="1" ht="64.5" customHeight="1" x14ac:dyDescent="0.25">
      <c r="A653" s="34" t="s">
        <v>1198</v>
      </c>
      <c r="B653" s="7" t="s">
        <v>1030</v>
      </c>
      <c r="C653" s="7"/>
      <c r="D653" s="7"/>
      <c r="E653" s="72"/>
      <c r="F653" s="72"/>
      <c r="G653" s="59">
        <f>G654+G660+G671+G677</f>
        <v>157</v>
      </c>
    </row>
    <row r="654" spans="1:8" s="230" customFormat="1" ht="18.75" customHeight="1" x14ac:dyDescent="0.25">
      <c r="A654" s="31" t="s">
        <v>405</v>
      </c>
      <c r="B654" s="40" t="s">
        <v>1030</v>
      </c>
      <c r="C654" s="40" t="s">
        <v>249</v>
      </c>
      <c r="D654" s="40"/>
      <c r="E654" s="72"/>
      <c r="F654" s="72"/>
      <c r="G654" s="10">
        <f>G655</f>
        <v>57</v>
      </c>
    </row>
    <row r="655" spans="1:8" s="230" customFormat="1" ht="37.5" customHeight="1" x14ac:dyDescent="0.25">
      <c r="A655" s="31" t="s">
        <v>584</v>
      </c>
      <c r="B655" s="40" t="s">
        <v>1030</v>
      </c>
      <c r="C655" s="40" t="s">
        <v>249</v>
      </c>
      <c r="D655" s="40" t="s">
        <v>249</v>
      </c>
      <c r="E655" s="72"/>
      <c r="F655" s="72"/>
      <c r="G655" s="10">
        <f>G656</f>
        <v>57</v>
      </c>
    </row>
    <row r="656" spans="1:8" s="230" customFormat="1" ht="51.75" customHeight="1" x14ac:dyDescent="0.25">
      <c r="A656" s="31" t="s">
        <v>1284</v>
      </c>
      <c r="B656" s="20" t="s">
        <v>1200</v>
      </c>
      <c r="C656" s="40" t="s">
        <v>249</v>
      </c>
      <c r="D656" s="40" t="s">
        <v>249</v>
      </c>
      <c r="E656" s="72"/>
      <c r="F656" s="72"/>
      <c r="G656" s="10">
        <f>G657</f>
        <v>57</v>
      </c>
    </row>
    <row r="657" spans="1:8" s="230" customFormat="1" ht="35.25" customHeight="1" x14ac:dyDescent="0.25">
      <c r="A657" s="25" t="s">
        <v>146</v>
      </c>
      <c r="B657" s="20" t="s">
        <v>1200</v>
      </c>
      <c r="C657" s="40" t="s">
        <v>249</v>
      </c>
      <c r="D657" s="40" t="s">
        <v>249</v>
      </c>
      <c r="E657" s="2">
        <v>200</v>
      </c>
      <c r="F657" s="72"/>
      <c r="G657" s="10">
        <f>G658</f>
        <v>57</v>
      </c>
    </row>
    <row r="658" spans="1:8" s="230" customFormat="1" ht="34.5" customHeight="1" x14ac:dyDescent="0.25">
      <c r="A658" s="25" t="s">
        <v>148</v>
      </c>
      <c r="B658" s="20" t="s">
        <v>1200</v>
      </c>
      <c r="C658" s="40" t="s">
        <v>249</v>
      </c>
      <c r="D658" s="40" t="s">
        <v>249</v>
      </c>
      <c r="E658" s="2">
        <v>240</v>
      </c>
      <c r="F658" s="72"/>
      <c r="G658" s="10">
        <f>G659</f>
        <v>57</v>
      </c>
    </row>
    <row r="659" spans="1:8" s="230" customFormat="1" ht="52.5" customHeight="1" x14ac:dyDescent="0.25">
      <c r="A659" s="31" t="s">
        <v>1321</v>
      </c>
      <c r="B659" s="20" t="s">
        <v>1200</v>
      </c>
      <c r="C659" s="40" t="s">
        <v>249</v>
      </c>
      <c r="D659" s="40" t="s">
        <v>249</v>
      </c>
      <c r="E659" s="2">
        <v>240</v>
      </c>
      <c r="F659" s="2">
        <v>908</v>
      </c>
      <c r="G659" s="10">
        <f>'Пр.6 ведом.20'!G1039</f>
        <v>57</v>
      </c>
    </row>
    <row r="660" spans="1:8" s="1" customFormat="1" ht="15.75" hidden="1" x14ac:dyDescent="0.25">
      <c r="A660" s="25" t="s">
        <v>278</v>
      </c>
      <c r="B660" s="40" t="s">
        <v>1030</v>
      </c>
      <c r="C660" s="40" t="s">
        <v>279</v>
      </c>
      <c r="D660" s="73"/>
      <c r="E660" s="73"/>
      <c r="F660" s="73"/>
      <c r="G660" s="10">
        <f>G661+G666</f>
        <v>0</v>
      </c>
      <c r="H660" s="230"/>
    </row>
    <row r="661" spans="1:8" s="1" customFormat="1" ht="15.75" hidden="1" x14ac:dyDescent="0.25">
      <c r="A661" s="25" t="s">
        <v>419</v>
      </c>
      <c r="B661" s="40" t="s">
        <v>1030</v>
      </c>
      <c r="C661" s="40" t="s">
        <v>279</v>
      </c>
      <c r="D661" s="40" t="s">
        <v>133</v>
      </c>
      <c r="E661" s="73"/>
      <c r="F661" s="73"/>
      <c r="G661" s="10">
        <f>G662</f>
        <v>0</v>
      </c>
      <c r="H661" s="230"/>
    </row>
    <row r="662" spans="1:8" s="1" customFormat="1" ht="47.25" hidden="1" x14ac:dyDescent="0.25">
      <c r="A662" s="31" t="s">
        <v>1285</v>
      </c>
      <c r="B662" s="20" t="s">
        <v>1031</v>
      </c>
      <c r="C662" s="40" t="s">
        <v>279</v>
      </c>
      <c r="D662" s="40" t="s">
        <v>133</v>
      </c>
      <c r="E662" s="72"/>
      <c r="F662" s="72"/>
      <c r="G662" s="10">
        <f>G663</f>
        <v>0</v>
      </c>
      <c r="H662" s="230"/>
    </row>
    <row r="663" spans="1:8" s="1" customFormat="1" ht="31.5" hidden="1" x14ac:dyDescent="0.25">
      <c r="A663" s="31" t="s">
        <v>287</v>
      </c>
      <c r="B663" s="20" t="s">
        <v>1031</v>
      </c>
      <c r="C663" s="40" t="s">
        <v>279</v>
      </c>
      <c r="D663" s="40" t="s">
        <v>133</v>
      </c>
      <c r="E663" s="40" t="s">
        <v>288</v>
      </c>
      <c r="F663" s="72"/>
      <c r="G663" s="10">
        <f>G664</f>
        <v>0</v>
      </c>
      <c r="H663" s="230"/>
    </row>
    <row r="664" spans="1:8" s="1" customFormat="1" ht="15.75" hidden="1" x14ac:dyDescent="0.25">
      <c r="A664" s="31" t="s">
        <v>289</v>
      </c>
      <c r="B664" s="20" t="s">
        <v>1031</v>
      </c>
      <c r="C664" s="40" t="s">
        <v>279</v>
      </c>
      <c r="D664" s="40" t="s">
        <v>133</v>
      </c>
      <c r="E664" s="40" t="s">
        <v>290</v>
      </c>
      <c r="F664" s="72"/>
      <c r="G664" s="10">
        <f>'Пр.6 ведом.20'!G603</f>
        <v>0</v>
      </c>
      <c r="H664" s="230"/>
    </row>
    <row r="665" spans="1:8" s="230" customFormat="1" ht="31.5" hidden="1" x14ac:dyDescent="0.25">
      <c r="A665" s="31" t="s">
        <v>418</v>
      </c>
      <c r="B665" s="20" t="s">
        <v>1031</v>
      </c>
      <c r="C665" s="40" t="s">
        <v>279</v>
      </c>
      <c r="D665" s="40" t="s">
        <v>133</v>
      </c>
      <c r="E665" s="40" t="s">
        <v>290</v>
      </c>
      <c r="F665" s="2">
        <v>906</v>
      </c>
      <c r="G665" s="10">
        <f>G664</f>
        <v>0</v>
      </c>
    </row>
    <row r="666" spans="1:8" s="1" customFormat="1" ht="15.75" hidden="1" x14ac:dyDescent="0.25">
      <c r="A666" s="29" t="s">
        <v>440</v>
      </c>
      <c r="B666" s="40" t="s">
        <v>1030</v>
      </c>
      <c r="C666" s="40" t="s">
        <v>279</v>
      </c>
      <c r="D666" s="40" t="s">
        <v>228</v>
      </c>
      <c r="E666" s="40"/>
      <c r="F666" s="73"/>
      <c r="G666" s="10">
        <f>G667</f>
        <v>0</v>
      </c>
      <c r="H666" s="230"/>
    </row>
    <row r="667" spans="1:8" s="1" customFormat="1" ht="47.25" hidden="1" x14ac:dyDescent="0.25">
      <c r="A667" s="31" t="s">
        <v>1285</v>
      </c>
      <c r="B667" s="20" t="s">
        <v>1031</v>
      </c>
      <c r="C667" s="40" t="s">
        <v>279</v>
      </c>
      <c r="D667" s="40" t="s">
        <v>228</v>
      </c>
      <c r="E667" s="40"/>
      <c r="F667" s="72"/>
      <c r="G667" s="10">
        <f>G668</f>
        <v>0</v>
      </c>
      <c r="H667" s="230"/>
    </row>
    <row r="668" spans="1:8" s="1" customFormat="1" ht="31.5" hidden="1" x14ac:dyDescent="0.25">
      <c r="A668" s="31" t="s">
        <v>287</v>
      </c>
      <c r="B668" s="20" t="s">
        <v>1031</v>
      </c>
      <c r="C668" s="40" t="s">
        <v>279</v>
      </c>
      <c r="D668" s="40" t="s">
        <v>228</v>
      </c>
      <c r="E668" s="40" t="s">
        <v>288</v>
      </c>
      <c r="F668" s="72"/>
      <c r="G668" s="10">
        <f>G669</f>
        <v>0</v>
      </c>
      <c r="H668" s="230"/>
    </row>
    <row r="669" spans="1:8" s="1" customFormat="1" ht="15.75" hidden="1" x14ac:dyDescent="0.25">
      <c r="A669" s="31" t="s">
        <v>289</v>
      </c>
      <c r="B669" s="20" t="s">
        <v>1031</v>
      </c>
      <c r="C669" s="40" t="s">
        <v>279</v>
      </c>
      <c r="D669" s="40" t="s">
        <v>228</v>
      </c>
      <c r="E669" s="40" t="s">
        <v>290</v>
      </c>
      <c r="F669" s="72"/>
      <c r="G669" s="10">
        <f>'Пр.6 ведом.20'!G681</f>
        <v>0</v>
      </c>
      <c r="H669" s="230"/>
    </row>
    <row r="670" spans="1:8" s="1" customFormat="1" ht="31.5" hidden="1" x14ac:dyDescent="0.25">
      <c r="A670" s="31" t="s">
        <v>418</v>
      </c>
      <c r="B670" s="20" t="s">
        <v>1031</v>
      </c>
      <c r="C670" s="40" t="s">
        <v>279</v>
      </c>
      <c r="D670" s="40" t="s">
        <v>228</v>
      </c>
      <c r="E670" s="40" t="s">
        <v>290</v>
      </c>
      <c r="F670" s="2">
        <v>906</v>
      </c>
      <c r="G670" s="10">
        <f>G669</f>
        <v>0</v>
      </c>
      <c r="H670" s="230"/>
    </row>
    <row r="671" spans="1:8" s="230" customFormat="1" ht="15.75" x14ac:dyDescent="0.25">
      <c r="A671" s="31" t="s">
        <v>313</v>
      </c>
      <c r="B671" s="20" t="s">
        <v>1030</v>
      </c>
      <c r="C671" s="40" t="s">
        <v>314</v>
      </c>
      <c r="D671" s="40"/>
      <c r="E671" s="40"/>
      <c r="F671" s="2"/>
      <c r="G671" s="10">
        <f>G672</f>
        <v>100</v>
      </c>
    </row>
    <row r="672" spans="1:8" s="230" customFormat="1" ht="15.75" x14ac:dyDescent="0.25">
      <c r="A672" s="31" t="s">
        <v>315</v>
      </c>
      <c r="B672" s="20" t="s">
        <v>1030</v>
      </c>
      <c r="C672" s="40" t="s">
        <v>314</v>
      </c>
      <c r="D672" s="40" t="s">
        <v>133</v>
      </c>
      <c r="E672" s="40"/>
      <c r="F672" s="2"/>
      <c r="G672" s="10">
        <f>G673</f>
        <v>100</v>
      </c>
    </row>
    <row r="673" spans="1:8" s="230" customFormat="1" ht="47.25" x14ac:dyDescent="0.25">
      <c r="A673" s="31" t="s">
        <v>1284</v>
      </c>
      <c r="B673" s="20" t="s">
        <v>1200</v>
      </c>
      <c r="C673" s="40" t="s">
        <v>314</v>
      </c>
      <c r="D673" s="40" t="s">
        <v>133</v>
      </c>
      <c r="E673" s="40"/>
      <c r="F673" s="2"/>
      <c r="G673" s="10">
        <f>G674</f>
        <v>100</v>
      </c>
    </row>
    <row r="674" spans="1:8" s="230" customFormat="1" ht="31.5" x14ac:dyDescent="0.25">
      <c r="A674" s="25" t="s">
        <v>146</v>
      </c>
      <c r="B674" s="20" t="s">
        <v>1200</v>
      </c>
      <c r="C674" s="40" t="s">
        <v>314</v>
      </c>
      <c r="D674" s="40" t="s">
        <v>133</v>
      </c>
      <c r="E674" s="40" t="s">
        <v>147</v>
      </c>
      <c r="F674" s="2"/>
      <c r="G674" s="10">
        <f>G675</f>
        <v>100</v>
      </c>
    </row>
    <row r="675" spans="1:8" s="230" customFormat="1" ht="31.5" x14ac:dyDescent="0.25">
      <c r="A675" s="25" t="s">
        <v>148</v>
      </c>
      <c r="B675" s="20" t="s">
        <v>1200</v>
      </c>
      <c r="C675" s="40" t="s">
        <v>314</v>
      </c>
      <c r="D675" s="40" t="s">
        <v>133</v>
      </c>
      <c r="E675" s="40" t="s">
        <v>149</v>
      </c>
      <c r="F675" s="2"/>
      <c r="G675" s="10">
        <f>'Пр.6 ведом.20'!G397</f>
        <v>100</v>
      </c>
    </row>
    <row r="676" spans="1:8" s="230" customFormat="1" ht="47.25" x14ac:dyDescent="0.25">
      <c r="A676" s="25" t="s">
        <v>276</v>
      </c>
      <c r="B676" s="20" t="s">
        <v>1200</v>
      </c>
      <c r="C676" s="40" t="s">
        <v>314</v>
      </c>
      <c r="D676" s="40" t="s">
        <v>133</v>
      </c>
      <c r="E676" s="40" t="s">
        <v>149</v>
      </c>
      <c r="F676" s="2">
        <v>903</v>
      </c>
      <c r="G676" s="10">
        <f>G675</f>
        <v>100</v>
      </c>
    </row>
    <row r="677" spans="1:8" s="1" customFormat="1" ht="15.75" hidden="1" customHeight="1" x14ac:dyDescent="0.25">
      <c r="A677" s="73" t="s">
        <v>505</v>
      </c>
      <c r="B677" s="40" t="s">
        <v>1030</v>
      </c>
      <c r="C677" s="40" t="s">
        <v>506</v>
      </c>
      <c r="D677" s="73"/>
      <c r="E677" s="73"/>
      <c r="F677" s="73"/>
      <c r="G677" s="10">
        <f t="shared" ref="G677" si="76">G678</f>
        <v>0</v>
      </c>
      <c r="H677" s="230"/>
    </row>
    <row r="678" spans="1:8" s="1" customFormat="1" ht="15.75" hidden="1" customHeight="1" x14ac:dyDescent="0.25">
      <c r="A678" s="73" t="s">
        <v>507</v>
      </c>
      <c r="B678" s="40" t="s">
        <v>1030</v>
      </c>
      <c r="C678" s="40" t="s">
        <v>506</v>
      </c>
      <c r="D678" s="40" t="s">
        <v>133</v>
      </c>
      <c r="E678" s="73"/>
      <c r="F678" s="73"/>
      <c r="G678" s="10">
        <f t="shared" ref="G678" si="77">G679</f>
        <v>0</v>
      </c>
      <c r="H678" s="230"/>
    </row>
    <row r="679" spans="1:8" s="1" customFormat="1" ht="47.25" hidden="1" customHeight="1" x14ac:dyDescent="0.25">
      <c r="A679" s="31" t="s">
        <v>1285</v>
      </c>
      <c r="B679" s="40" t="s">
        <v>1031</v>
      </c>
      <c r="C679" s="40" t="s">
        <v>506</v>
      </c>
      <c r="D679" s="40" t="s">
        <v>133</v>
      </c>
      <c r="E679" s="73"/>
      <c r="F679" s="73"/>
      <c r="G679" s="10">
        <f>G680</f>
        <v>0</v>
      </c>
      <c r="H679" s="230"/>
    </row>
    <row r="680" spans="1:8" s="1" customFormat="1" ht="31.5" hidden="1" customHeight="1" x14ac:dyDescent="0.25">
      <c r="A680" s="25" t="s">
        <v>287</v>
      </c>
      <c r="B680" s="40" t="s">
        <v>1031</v>
      </c>
      <c r="C680" s="40" t="s">
        <v>506</v>
      </c>
      <c r="D680" s="40" t="s">
        <v>133</v>
      </c>
      <c r="E680" s="40" t="s">
        <v>288</v>
      </c>
      <c r="F680" s="73"/>
      <c r="G680" s="10">
        <f>G681</f>
        <v>0</v>
      </c>
      <c r="H680" s="230"/>
    </row>
    <row r="681" spans="1:8" s="1" customFormat="1" ht="15.75" hidden="1" customHeight="1" x14ac:dyDescent="0.25">
      <c r="A681" s="25" t="s">
        <v>289</v>
      </c>
      <c r="B681" s="40" t="s">
        <v>1031</v>
      </c>
      <c r="C681" s="40" t="s">
        <v>506</v>
      </c>
      <c r="D681" s="40" t="s">
        <v>133</v>
      </c>
      <c r="E681" s="40" t="s">
        <v>290</v>
      </c>
      <c r="F681" s="73"/>
      <c r="G681" s="10"/>
      <c r="H681" s="230"/>
    </row>
    <row r="682" spans="1:8" s="1" customFormat="1" ht="31.5" hidden="1" customHeight="1" x14ac:dyDescent="0.25">
      <c r="A682" s="45" t="s">
        <v>495</v>
      </c>
      <c r="B682" s="40" t="s">
        <v>1031</v>
      </c>
      <c r="C682" s="40" t="s">
        <v>506</v>
      </c>
      <c r="D682" s="40" t="s">
        <v>133</v>
      </c>
      <c r="E682" s="40" t="s">
        <v>290</v>
      </c>
      <c r="F682" s="2">
        <v>907</v>
      </c>
      <c r="G682" s="10">
        <f>G681</f>
        <v>0</v>
      </c>
      <c r="H682" s="230"/>
    </row>
    <row r="683" spans="1:8" ht="47.25" x14ac:dyDescent="0.25">
      <c r="A683" s="41" t="s">
        <v>557</v>
      </c>
      <c r="B683" s="7" t="s">
        <v>558</v>
      </c>
      <c r="C683" s="2"/>
      <c r="D683" s="2"/>
      <c r="E683" s="2"/>
      <c r="F683" s="2"/>
      <c r="G683" s="59">
        <f t="shared" ref="G683" si="78">G684+G706</f>
        <v>3244.5</v>
      </c>
      <c r="H683" s="230">
        <v>4921.6000000000004</v>
      </c>
    </row>
    <row r="684" spans="1:8" ht="47.25" x14ac:dyDescent="0.25">
      <c r="A684" s="41" t="s">
        <v>559</v>
      </c>
      <c r="B684" s="7" t="s">
        <v>560</v>
      </c>
      <c r="C684" s="7"/>
      <c r="D684" s="7"/>
      <c r="E684" s="3"/>
      <c r="F684" s="3"/>
      <c r="G684" s="59">
        <f t="shared" ref="G684" si="79">G686</f>
        <v>940</v>
      </c>
    </row>
    <row r="685" spans="1:8" s="229" customFormat="1" ht="31.5" x14ac:dyDescent="0.25">
      <c r="A685" s="23" t="s">
        <v>1127</v>
      </c>
      <c r="B685" s="7" t="s">
        <v>1125</v>
      </c>
      <c r="C685" s="7"/>
      <c r="D685" s="7"/>
      <c r="E685" s="3"/>
      <c r="F685" s="3"/>
      <c r="G685" s="59">
        <f>G686</f>
        <v>940</v>
      </c>
      <c r="H685" s="230"/>
    </row>
    <row r="686" spans="1:8" ht="15.75" x14ac:dyDescent="0.25">
      <c r="A686" s="73" t="s">
        <v>405</v>
      </c>
      <c r="B686" s="40" t="s">
        <v>1125</v>
      </c>
      <c r="C686" s="40" t="s">
        <v>249</v>
      </c>
      <c r="D686" s="40"/>
      <c r="E686" s="2"/>
      <c r="F686" s="2"/>
      <c r="G686" s="10">
        <f t="shared" ref="G686" si="80">G687</f>
        <v>940</v>
      </c>
    </row>
    <row r="687" spans="1:8" ht="15.75" x14ac:dyDescent="0.25">
      <c r="A687" s="73" t="s">
        <v>556</v>
      </c>
      <c r="B687" s="40" t="s">
        <v>1125</v>
      </c>
      <c r="C687" s="40" t="s">
        <v>249</v>
      </c>
      <c r="D687" s="40" t="s">
        <v>230</v>
      </c>
      <c r="E687" s="2"/>
      <c r="F687" s="2"/>
      <c r="G687" s="10">
        <f t="shared" ref="G687" si="81">G688+G692+G702</f>
        <v>940</v>
      </c>
    </row>
    <row r="688" spans="1:8" ht="15.75" customHeight="1" x14ac:dyDescent="0.25">
      <c r="A688" s="25" t="s">
        <v>561</v>
      </c>
      <c r="B688" s="20" t="s">
        <v>1126</v>
      </c>
      <c r="C688" s="40" t="s">
        <v>249</v>
      </c>
      <c r="D688" s="40" t="s">
        <v>230</v>
      </c>
      <c r="E688" s="2"/>
      <c r="F688" s="2"/>
      <c r="G688" s="10">
        <f t="shared" ref="G688:G689" si="82">G689</f>
        <v>90</v>
      </c>
    </row>
    <row r="689" spans="1:8" ht="41.25" customHeight="1" x14ac:dyDescent="0.25">
      <c r="A689" s="25" t="s">
        <v>146</v>
      </c>
      <c r="B689" s="20" t="s">
        <v>1126</v>
      </c>
      <c r="C689" s="40" t="s">
        <v>249</v>
      </c>
      <c r="D689" s="40" t="s">
        <v>230</v>
      </c>
      <c r="E689" s="2">
        <v>200</v>
      </c>
      <c r="F689" s="2"/>
      <c r="G689" s="10">
        <f t="shared" si="82"/>
        <v>90</v>
      </c>
    </row>
    <row r="690" spans="1:8" ht="31.5" customHeight="1" x14ac:dyDescent="0.25">
      <c r="A690" s="25" t="s">
        <v>148</v>
      </c>
      <c r="B690" s="20" t="s">
        <v>1126</v>
      </c>
      <c r="C690" s="40" t="s">
        <v>249</v>
      </c>
      <c r="D690" s="40" t="s">
        <v>230</v>
      </c>
      <c r="E690" s="2">
        <v>240</v>
      </c>
      <c r="F690" s="2"/>
      <c r="G690" s="10">
        <f>'Пр.6 ведом.20'!G967</f>
        <v>90</v>
      </c>
    </row>
    <row r="691" spans="1:8" s="229" customFormat="1" ht="31.5" customHeight="1" x14ac:dyDescent="0.25">
      <c r="A691" s="45" t="s">
        <v>639</v>
      </c>
      <c r="B691" s="20" t="s">
        <v>1126</v>
      </c>
      <c r="C691" s="40" t="s">
        <v>249</v>
      </c>
      <c r="D691" s="40" t="s">
        <v>230</v>
      </c>
      <c r="E691" s="2">
        <v>240</v>
      </c>
      <c r="F691" s="2">
        <v>908</v>
      </c>
      <c r="G691" s="10">
        <f>G690</f>
        <v>90</v>
      </c>
      <c r="H691" s="230"/>
    </row>
    <row r="692" spans="1:8" ht="17.25" customHeight="1" x14ac:dyDescent="0.25">
      <c r="A692" s="25" t="s">
        <v>563</v>
      </c>
      <c r="B692" s="20" t="s">
        <v>1128</v>
      </c>
      <c r="C692" s="40" t="s">
        <v>249</v>
      </c>
      <c r="D692" s="40" t="s">
        <v>230</v>
      </c>
      <c r="E692" s="2"/>
      <c r="F692" s="2"/>
      <c r="G692" s="10">
        <f>G693+G696+G699</f>
        <v>650</v>
      </c>
    </row>
    <row r="693" spans="1:8" ht="31.5" x14ac:dyDescent="0.25">
      <c r="A693" s="25" t="s">
        <v>146</v>
      </c>
      <c r="B693" s="20" t="s">
        <v>1128</v>
      </c>
      <c r="C693" s="40" t="s">
        <v>249</v>
      </c>
      <c r="D693" s="40" t="s">
        <v>230</v>
      </c>
      <c r="E693" s="2">
        <v>200</v>
      </c>
      <c r="F693" s="2"/>
      <c r="G693" s="10">
        <f t="shared" ref="G693" si="83">G694</f>
        <v>650</v>
      </c>
    </row>
    <row r="694" spans="1:8" ht="31.5" x14ac:dyDescent="0.25">
      <c r="A694" s="25" t="s">
        <v>148</v>
      </c>
      <c r="B694" s="20" t="s">
        <v>1128</v>
      </c>
      <c r="C694" s="40" t="s">
        <v>249</v>
      </c>
      <c r="D694" s="40" t="s">
        <v>230</v>
      </c>
      <c r="E694" s="2">
        <v>240</v>
      </c>
      <c r="F694" s="2"/>
      <c r="G694" s="10">
        <f>'Пр.6 ведом.20'!G970</f>
        <v>650</v>
      </c>
    </row>
    <row r="695" spans="1:8" s="229" customFormat="1" ht="31.5" x14ac:dyDescent="0.25">
      <c r="A695" s="45" t="s">
        <v>639</v>
      </c>
      <c r="B695" s="20" t="s">
        <v>1128</v>
      </c>
      <c r="C695" s="40" t="s">
        <v>249</v>
      </c>
      <c r="D695" s="40" t="s">
        <v>230</v>
      </c>
      <c r="E695" s="2">
        <v>240</v>
      </c>
      <c r="F695" s="2">
        <v>908</v>
      </c>
      <c r="G695" s="10">
        <f>G694</f>
        <v>650</v>
      </c>
      <c r="H695" s="230"/>
    </row>
    <row r="696" spans="1:8" ht="15.75" hidden="1" x14ac:dyDescent="0.25">
      <c r="A696" s="25" t="s">
        <v>150</v>
      </c>
      <c r="B696" s="20" t="s">
        <v>1128</v>
      </c>
      <c r="C696" s="40" t="s">
        <v>249</v>
      </c>
      <c r="D696" s="40" t="s">
        <v>230</v>
      </c>
      <c r="E696" s="2">
        <v>800</v>
      </c>
      <c r="F696" s="2"/>
      <c r="G696" s="10">
        <f>G697</f>
        <v>0</v>
      </c>
    </row>
    <row r="697" spans="1:8" s="229" customFormat="1" ht="47.25" hidden="1" x14ac:dyDescent="0.25">
      <c r="A697" s="25" t="s">
        <v>883</v>
      </c>
      <c r="B697" s="20" t="s">
        <v>1128</v>
      </c>
      <c r="C697" s="40" t="s">
        <v>249</v>
      </c>
      <c r="D697" s="40" t="s">
        <v>230</v>
      </c>
      <c r="E697" s="2">
        <v>830</v>
      </c>
      <c r="F697" s="2"/>
      <c r="G697" s="10">
        <f>'Пр.5 Рд,пр, ЦС,ВР 20'!F411</f>
        <v>0</v>
      </c>
      <c r="H697" s="230"/>
    </row>
    <row r="698" spans="1:8" s="229" customFormat="1" ht="31.5" hidden="1" x14ac:dyDescent="0.25">
      <c r="A698" s="45" t="s">
        <v>639</v>
      </c>
      <c r="B698" s="20" t="s">
        <v>1128</v>
      </c>
      <c r="C698" s="40" t="s">
        <v>249</v>
      </c>
      <c r="D698" s="40" t="s">
        <v>230</v>
      </c>
      <c r="E698" s="2">
        <v>830</v>
      </c>
      <c r="F698" s="2">
        <v>908</v>
      </c>
      <c r="G698" s="10">
        <f>G697</f>
        <v>0</v>
      </c>
      <c r="H698" s="230"/>
    </row>
    <row r="699" spans="1:8" s="229" customFormat="1" ht="15.75" hidden="1" x14ac:dyDescent="0.25">
      <c r="A699" s="25" t="s">
        <v>150</v>
      </c>
      <c r="B699" s="20" t="s">
        <v>1128</v>
      </c>
      <c r="C699" s="40" t="s">
        <v>249</v>
      </c>
      <c r="D699" s="40" t="s">
        <v>230</v>
      </c>
      <c r="E699" s="2">
        <v>800</v>
      </c>
      <c r="F699" s="2"/>
      <c r="G699" s="10">
        <f>G700</f>
        <v>0</v>
      </c>
      <c r="H699" s="230"/>
    </row>
    <row r="700" spans="1:8" ht="15.75" hidden="1" x14ac:dyDescent="0.25">
      <c r="A700" s="25" t="s">
        <v>1281</v>
      </c>
      <c r="B700" s="20" t="s">
        <v>1128</v>
      </c>
      <c r="C700" s="40" t="s">
        <v>249</v>
      </c>
      <c r="D700" s="40" t="s">
        <v>230</v>
      </c>
      <c r="E700" s="2">
        <v>850</v>
      </c>
      <c r="F700" s="2"/>
      <c r="G700" s="10">
        <f>'Пр.5 Рд,пр, ЦС,ВР 20'!F412</f>
        <v>0</v>
      </c>
    </row>
    <row r="701" spans="1:8" s="229" customFormat="1" ht="31.5" hidden="1" x14ac:dyDescent="0.25">
      <c r="A701" s="45" t="s">
        <v>639</v>
      </c>
      <c r="B701" s="20" t="s">
        <v>1128</v>
      </c>
      <c r="C701" s="40" t="s">
        <v>249</v>
      </c>
      <c r="D701" s="40" t="s">
        <v>230</v>
      </c>
      <c r="E701" s="2">
        <v>850</v>
      </c>
      <c r="F701" s="2">
        <v>908</v>
      </c>
      <c r="G701" s="10">
        <f>G700</f>
        <v>0</v>
      </c>
      <c r="H701" s="230"/>
    </row>
    <row r="702" spans="1:8" ht="15.75" x14ac:dyDescent="0.25">
      <c r="A702" s="25" t="s">
        <v>565</v>
      </c>
      <c r="B702" s="20" t="s">
        <v>1129</v>
      </c>
      <c r="C702" s="40" t="s">
        <v>249</v>
      </c>
      <c r="D702" s="40" t="s">
        <v>230</v>
      </c>
      <c r="E702" s="2"/>
      <c r="F702" s="2"/>
      <c r="G702" s="10">
        <f t="shared" ref="G702" si="84">G703</f>
        <v>200</v>
      </c>
    </row>
    <row r="703" spans="1:8" ht="31.5" x14ac:dyDescent="0.25">
      <c r="A703" s="25" t="s">
        <v>146</v>
      </c>
      <c r="B703" s="20" t="s">
        <v>1129</v>
      </c>
      <c r="C703" s="40" t="s">
        <v>249</v>
      </c>
      <c r="D703" s="40" t="s">
        <v>230</v>
      </c>
      <c r="E703" s="2">
        <v>200</v>
      </c>
      <c r="F703" s="2"/>
      <c r="G703" s="10">
        <f>G704</f>
        <v>200</v>
      </c>
    </row>
    <row r="704" spans="1:8" ht="31.5" x14ac:dyDescent="0.25">
      <c r="A704" s="25" t="s">
        <v>148</v>
      </c>
      <c r="B704" s="20" t="s">
        <v>1129</v>
      </c>
      <c r="C704" s="40" t="s">
        <v>249</v>
      </c>
      <c r="D704" s="40" t="s">
        <v>230</v>
      </c>
      <c r="E704" s="2">
        <v>240</v>
      </c>
      <c r="F704" s="2"/>
      <c r="G704" s="10">
        <f>'Пр.6 ведом.20'!G976</f>
        <v>200</v>
      </c>
    </row>
    <row r="705" spans="1:8" ht="31.5" x14ac:dyDescent="0.25">
      <c r="A705" s="45" t="s">
        <v>639</v>
      </c>
      <c r="B705" s="20" t="s">
        <v>1129</v>
      </c>
      <c r="C705" s="40" t="s">
        <v>249</v>
      </c>
      <c r="D705" s="40" t="s">
        <v>230</v>
      </c>
      <c r="E705" s="2">
        <v>240</v>
      </c>
      <c r="F705" s="2">
        <v>908</v>
      </c>
      <c r="G705" s="10">
        <f>G704</f>
        <v>200</v>
      </c>
    </row>
    <row r="706" spans="1:8" ht="47.25" x14ac:dyDescent="0.25">
      <c r="A706" s="23" t="s">
        <v>567</v>
      </c>
      <c r="B706" s="7" t="s">
        <v>568</v>
      </c>
      <c r="C706" s="7"/>
      <c r="D706" s="7"/>
      <c r="E706" s="3"/>
      <c r="F706" s="3"/>
      <c r="G706" s="59">
        <f>G708+G729</f>
        <v>2304.5</v>
      </c>
    </row>
    <row r="707" spans="1:8" s="229" customFormat="1" ht="31.5" x14ac:dyDescent="0.25">
      <c r="A707" s="23" t="s">
        <v>1145</v>
      </c>
      <c r="B707" s="7" t="s">
        <v>1130</v>
      </c>
      <c r="C707" s="7"/>
      <c r="D707" s="7"/>
      <c r="E707" s="3"/>
      <c r="F707" s="3"/>
      <c r="G707" s="59">
        <f>G708</f>
        <v>390</v>
      </c>
      <c r="H707" s="230"/>
    </row>
    <row r="708" spans="1:8" ht="15.75" x14ac:dyDescent="0.25">
      <c r="A708" s="73" t="s">
        <v>405</v>
      </c>
      <c r="B708" s="40" t="s">
        <v>1130</v>
      </c>
      <c r="C708" s="40" t="s">
        <v>249</v>
      </c>
      <c r="D708" s="40"/>
      <c r="E708" s="2"/>
      <c r="F708" s="2"/>
      <c r="G708" s="10">
        <f t="shared" ref="G708" si="85">G709</f>
        <v>390</v>
      </c>
    </row>
    <row r="709" spans="1:8" ht="15.75" x14ac:dyDescent="0.25">
      <c r="A709" s="73" t="s">
        <v>556</v>
      </c>
      <c r="B709" s="40" t="s">
        <v>1130</v>
      </c>
      <c r="C709" s="40" t="s">
        <v>249</v>
      </c>
      <c r="D709" s="40" t="s">
        <v>230</v>
      </c>
      <c r="E709" s="2"/>
      <c r="F709" s="2"/>
      <c r="G709" s="10">
        <f>G725+G710+G714+G721</f>
        <v>390</v>
      </c>
    </row>
    <row r="710" spans="1:8" ht="15.75" x14ac:dyDescent="0.25">
      <c r="A710" s="25" t="s">
        <v>570</v>
      </c>
      <c r="B710" s="20" t="s">
        <v>1132</v>
      </c>
      <c r="C710" s="40" t="s">
        <v>249</v>
      </c>
      <c r="D710" s="40" t="s">
        <v>230</v>
      </c>
      <c r="E710" s="2"/>
      <c r="F710" s="2"/>
      <c r="G710" s="10">
        <f t="shared" ref="G710:G711" si="86">G711</f>
        <v>4</v>
      </c>
    </row>
    <row r="711" spans="1:8" ht="31.5" x14ac:dyDescent="0.25">
      <c r="A711" s="25" t="s">
        <v>146</v>
      </c>
      <c r="B711" s="20" t="s">
        <v>1132</v>
      </c>
      <c r="C711" s="40" t="s">
        <v>249</v>
      </c>
      <c r="D711" s="40" t="s">
        <v>230</v>
      </c>
      <c r="E711" s="2">
        <v>200</v>
      </c>
      <c r="F711" s="2"/>
      <c r="G711" s="10">
        <f t="shared" si="86"/>
        <v>4</v>
      </c>
    </row>
    <row r="712" spans="1:8" ht="31.5" x14ac:dyDescent="0.25">
      <c r="A712" s="25" t="s">
        <v>148</v>
      </c>
      <c r="B712" s="20" t="s">
        <v>1132</v>
      </c>
      <c r="C712" s="40" t="s">
        <v>249</v>
      </c>
      <c r="D712" s="40" t="s">
        <v>230</v>
      </c>
      <c r="E712" s="2">
        <v>240</v>
      </c>
      <c r="F712" s="2"/>
      <c r="G712" s="10">
        <f>'Пр.6 ведом.20'!G981</f>
        <v>4</v>
      </c>
    </row>
    <row r="713" spans="1:8" s="229" customFormat="1" ht="31.5" x14ac:dyDescent="0.25">
      <c r="A713" s="45" t="s">
        <v>639</v>
      </c>
      <c r="B713" s="20" t="s">
        <v>1132</v>
      </c>
      <c r="C713" s="40" t="s">
        <v>249</v>
      </c>
      <c r="D713" s="40" t="s">
        <v>230</v>
      </c>
      <c r="E713" s="2">
        <v>240</v>
      </c>
      <c r="F713" s="2">
        <v>908</v>
      </c>
      <c r="G713" s="10">
        <f>G712</f>
        <v>4</v>
      </c>
      <c r="H713" s="230"/>
    </row>
    <row r="714" spans="1:8" ht="47.25" x14ac:dyDescent="0.25">
      <c r="A714" s="45" t="s">
        <v>572</v>
      </c>
      <c r="B714" s="20" t="s">
        <v>1133</v>
      </c>
      <c r="C714" s="40" t="s">
        <v>249</v>
      </c>
      <c r="D714" s="40" t="s">
        <v>230</v>
      </c>
      <c r="E714" s="2"/>
      <c r="F714" s="2"/>
      <c r="G714" s="10">
        <f>G715+G718</f>
        <v>375</v>
      </c>
    </row>
    <row r="715" spans="1:8" ht="31.5" x14ac:dyDescent="0.25">
      <c r="A715" s="25" t="s">
        <v>146</v>
      </c>
      <c r="B715" s="20" t="s">
        <v>1133</v>
      </c>
      <c r="C715" s="40" t="s">
        <v>249</v>
      </c>
      <c r="D715" s="40" t="s">
        <v>230</v>
      </c>
      <c r="E715" s="2">
        <v>200</v>
      </c>
      <c r="F715" s="2"/>
      <c r="G715" s="10">
        <f t="shared" ref="G715" si="87">G716</f>
        <v>300</v>
      </c>
    </row>
    <row r="716" spans="1:8" ht="31.5" x14ac:dyDescent="0.25">
      <c r="A716" s="25" t="s">
        <v>148</v>
      </c>
      <c r="B716" s="20" t="s">
        <v>1133</v>
      </c>
      <c r="C716" s="40" t="s">
        <v>249</v>
      </c>
      <c r="D716" s="40" t="s">
        <v>230</v>
      </c>
      <c r="E716" s="2">
        <v>240</v>
      </c>
      <c r="F716" s="2"/>
      <c r="G716" s="10">
        <f>'Пр.6 ведом.20'!G984</f>
        <v>300</v>
      </c>
    </row>
    <row r="717" spans="1:8" s="229" customFormat="1" ht="31.5" x14ac:dyDescent="0.25">
      <c r="A717" s="45" t="s">
        <v>639</v>
      </c>
      <c r="B717" s="20" t="s">
        <v>1133</v>
      </c>
      <c r="C717" s="40" t="s">
        <v>249</v>
      </c>
      <c r="D717" s="40" t="s">
        <v>230</v>
      </c>
      <c r="E717" s="2">
        <v>240</v>
      </c>
      <c r="F717" s="2">
        <v>908</v>
      </c>
      <c r="G717" s="10">
        <f>G716</f>
        <v>300</v>
      </c>
      <c r="H717" s="230"/>
    </row>
    <row r="718" spans="1:8" s="229" customFormat="1" ht="15.75" x14ac:dyDescent="0.25">
      <c r="A718" s="29" t="s">
        <v>150</v>
      </c>
      <c r="B718" s="20" t="s">
        <v>1133</v>
      </c>
      <c r="C718" s="40" t="s">
        <v>249</v>
      </c>
      <c r="D718" s="40" t="s">
        <v>230</v>
      </c>
      <c r="E718" s="2">
        <v>800</v>
      </c>
      <c r="F718" s="2"/>
      <c r="G718" s="10">
        <f>G719</f>
        <v>75</v>
      </c>
      <c r="H718" s="230"/>
    </row>
    <row r="719" spans="1:8" s="229" customFormat="1" ht="15.75" x14ac:dyDescent="0.25">
      <c r="A719" s="25" t="s">
        <v>726</v>
      </c>
      <c r="B719" s="20" t="s">
        <v>1133</v>
      </c>
      <c r="C719" s="40" t="s">
        <v>249</v>
      </c>
      <c r="D719" s="40" t="s">
        <v>230</v>
      </c>
      <c r="E719" s="2">
        <v>850</v>
      </c>
      <c r="F719" s="2"/>
      <c r="G719" s="10">
        <f>'Пр.6 ведом.20'!G986</f>
        <v>75</v>
      </c>
      <c r="H719" s="230"/>
    </row>
    <row r="720" spans="1:8" s="229" customFormat="1" ht="31.5" x14ac:dyDescent="0.25">
      <c r="A720" s="45" t="s">
        <v>639</v>
      </c>
      <c r="B720" s="20" t="s">
        <v>1133</v>
      </c>
      <c r="C720" s="40" t="s">
        <v>249</v>
      </c>
      <c r="D720" s="40" t="s">
        <v>230</v>
      </c>
      <c r="E720" s="2">
        <v>850</v>
      </c>
      <c r="F720" s="2">
        <v>908</v>
      </c>
      <c r="G720" s="10">
        <f>G719</f>
        <v>75</v>
      </c>
      <c r="H720" s="230"/>
    </row>
    <row r="721" spans="1:8" ht="15.75" hidden="1" customHeight="1" x14ac:dyDescent="0.25">
      <c r="A721" s="45" t="s">
        <v>574</v>
      </c>
      <c r="B721" s="20" t="s">
        <v>1134</v>
      </c>
      <c r="C721" s="40" t="s">
        <v>249</v>
      </c>
      <c r="D721" s="40" t="s">
        <v>230</v>
      </c>
      <c r="E721" s="2"/>
      <c r="F721" s="2"/>
      <c r="G721" s="10">
        <f t="shared" ref="G721:G722" si="88">G722</f>
        <v>0</v>
      </c>
    </row>
    <row r="722" spans="1:8" ht="31.5" hidden="1" customHeight="1" x14ac:dyDescent="0.25">
      <c r="A722" s="25" t="s">
        <v>146</v>
      </c>
      <c r="B722" s="20" t="s">
        <v>1134</v>
      </c>
      <c r="C722" s="40" t="s">
        <v>249</v>
      </c>
      <c r="D722" s="40" t="s">
        <v>230</v>
      </c>
      <c r="E722" s="2">
        <v>200</v>
      </c>
      <c r="F722" s="2"/>
      <c r="G722" s="10">
        <f t="shared" si="88"/>
        <v>0</v>
      </c>
    </row>
    <row r="723" spans="1:8" ht="31.5" hidden="1" customHeight="1" x14ac:dyDescent="0.25">
      <c r="A723" s="25" t="s">
        <v>148</v>
      </c>
      <c r="B723" s="20" t="s">
        <v>1134</v>
      </c>
      <c r="C723" s="40" t="s">
        <v>249</v>
      </c>
      <c r="D723" s="40" t="s">
        <v>230</v>
      </c>
      <c r="E723" s="2">
        <v>240</v>
      </c>
      <c r="F723" s="2"/>
      <c r="G723" s="10">
        <f>'Пр.5 Рд,пр, ЦС,ВР 20'!F431</f>
        <v>0</v>
      </c>
    </row>
    <row r="724" spans="1:8" ht="31.5" hidden="1" x14ac:dyDescent="0.25">
      <c r="A724" s="45" t="s">
        <v>639</v>
      </c>
      <c r="B724" s="20" t="s">
        <v>1134</v>
      </c>
      <c r="C724" s="40" t="s">
        <v>249</v>
      </c>
      <c r="D724" s="40" t="s">
        <v>230</v>
      </c>
      <c r="E724" s="2">
        <v>850</v>
      </c>
      <c r="F724" s="2">
        <v>908</v>
      </c>
      <c r="G724" s="10">
        <f>G723</f>
        <v>0</v>
      </c>
    </row>
    <row r="725" spans="1:8" s="229" customFormat="1" ht="31.5" x14ac:dyDescent="0.25">
      <c r="A725" s="296" t="s">
        <v>1301</v>
      </c>
      <c r="B725" s="20" t="s">
        <v>1302</v>
      </c>
      <c r="C725" s="40" t="s">
        <v>249</v>
      </c>
      <c r="D725" s="40" t="s">
        <v>230</v>
      </c>
      <c r="E725" s="2"/>
      <c r="F725" s="2"/>
      <c r="G725" s="10">
        <f>G726</f>
        <v>11</v>
      </c>
      <c r="H725" s="230"/>
    </row>
    <row r="726" spans="1:8" s="229" customFormat="1" ht="31.5" x14ac:dyDescent="0.25">
      <c r="A726" s="25" t="s">
        <v>146</v>
      </c>
      <c r="B726" s="20" t="s">
        <v>1302</v>
      </c>
      <c r="C726" s="40" t="s">
        <v>249</v>
      </c>
      <c r="D726" s="40" t="s">
        <v>230</v>
      </c>
      <c r="E726" s="2">
        <v>200</v>
      </c>
      <c r="F726" s="2"/>
      <c r="G726" s="10">
        <f>G727</f>
        <v>11</v>
      </c>
      <c r="H726" s="230"/>
    </row>
    <row r="727" spans="1:8" s="229" customFormat="1" ht="31.5" x14ac:dyDescent="0.25">
      <c r="A727" s="25" t="s">
        <v>148</v>
      </c>
      <c r="B727" s="20" t="s">
        <v>1302</v>
      </c>
      <c r="C727" s="40" t="s">
        <v>249</v>
      </c>
      <c r="D727" s="40" t="s">
        <v>230</v>
      </c>
      <c r="E727" s="2">
        <v>240</v>
      </c>
      <c r="F727" s="2"/>
      <c r="G727" s="10">
        <f>'Пр.6 ведом.20'!G992</f>
        <v>11</v>
      </c>
      <c r="H727" s="230"/>
    </row>
    <row r="728" spans="1:8" s="229" customFormat="1" ht="31.5" x14ac:dyDescent="0.25">
      <c r="A728" s="45" t="s">
        <v>639</v>
      </c>
      <c r="B728" s="20" t="s">
        <v>1302</v>
      </c>
      <c r="C728" s="40" t="s">
        <v>249</v>
      </c>
      <c r="D728" s="40" t="s">
        <v>230</v>
      </c>
      <c r="E728" s="2">
        <v>240</v>
      </c>
      <c r="F728" s="2">
        <v>908</v>
      </c>
      <c r="G728" s="10">
        <f>G727</f>
        <v>11</v>
      </c>
      <c r="H728" s="230"/>
    </row>
    <row r="729" spans="1:8" s="229" customFormat="1" ht="31.5" x14ac:dyDescent="0.25">
      <c r="A729" s="23" t="s">
        <v>952</v>
      </c>
      <c r="B729" s="24" t="s">
        <v>1135</v>
      </c>
      <c r="C729" s="7"/>
      <c r="D729" s="7"/>
      <c r="E729" s="3"/>
      <c r="F729" s="3"/>
      <c r="G729" s="59">
        <f>G730</f>
        <v>1914.5</v>
      </c>
      <c r="H729" s="230"/>
    </row>
    <row r="730" spans="1:8" s="229" customFormat="1" ht="15.75" x14ac:dyDescent="0.25">
      <c r="A730" s="73" t="s">
        <v>405</v>
      </c>
      <c r="B730" s="40" t="s">
        <v>1135</v>
      </c>
      <c r="C730" s="40" t="s">
        <v>249</v>
      </c>
      <c r="D730" s="40"/>
      <c r="E730" s="2"/>
      <c r="F730" s="2"/>
      <c r="G730" s="10">
        <f t="shared" ref="G730" si="89">G731</f>
        <v>1914.5</v>
      </c>
      <c r="H730" s="230"/>
    </row>
    <row r="731" spans="1:8" s="229" customFormat="1" ht="15.75" x14ac:dyDescent="0.25">
      <c r="A731" s="73" t="s">
        <v>556</v>
      </c>
      <c r="B731" s="40" t="s">
        <v>1135</v>
      </c>
      <c r="C731" s="40" t="s">
        <v>249</v>
      </c>
      <c r="D731" s="40" t="s">
        <v>230</v>
      </c>
      <c r="E731" s="2"/>
      <c r="F731" s="2"/>
      <c r="G731" s="10">
        <f>G732+G736</f>
        <v>1914.5</v>
      </c>
      <c r="H731" s="230"/>
    </row>
    <row r="732" spans="1:8" s="229" customFormat="1" ht="31.5" hidden="1" x14ac:dyDescent="0.25">
      <c r="A732" s="25" t="s">
        <v>706</v>
      </c>
      <c r="B732" s="20" t="s">
        <v>1136</v>
      </c>
      <c r="C732" s="40" t="s">
        <v>249</v>
      </c>
      <c r="D732" s="40" t="s">
        <v>230</v>
      </c>
      <c r="E732" s="2"/>
      <c r="F732" s="2"/>
      <c r="G732" s="10">
        <f>G733</f>
        <v>0</v>
      </c>
      <c r="H732" s="230"/>
    </row>
    <row r="733" spans="1:8" s="229" customFormat="1" ht="31.5" hidden="1" x14ac:dyDescent="0.25">
      <c r="A733" s="25" t="s">
        <v>146</v>
      </c>
      <c r="B733" s="20" t="s">
        <v>1136</v>
      </c>
      <c r="C733" s="40" t="s">
        <v>249</v>
      </c>
      <c r="D733" s="40" t="s">
        <v>230</v>
      </c>
      <c r="E733" s="20" t="s">
        <v>147</v>
      </c>
      <c r="F733" s="2"/>
      <c r="G733" s="10">
        <f>G734</f>
        <v>0</v>
      </c>
      <c r="H733" s="230"/>
    </row>
    <row r="734" spans="1:8" s="229" customFormat="1" ht="31.5" hidden="1" x14ac:dyDescent="0.25">
      <c r="A734" s="25" t="s">
        <v>148</v>
      </c>
      <c r="B734" s="20" t="s">
        <v>1136</v>
      </c>
      <c r="C734" s="40" t="s">
        <v>249</v>
      </c>
      <c r="D734" s="40" t="s">
        <v>230</v>
      </c>
      <c r="E734" s="20" t="s">
        <v>149</v>
      </c>
      <c r="F734" s="2"/>
      <c r="G734" s="10">
        <f>'Пр.5 Рд,пр, ЦС,ВР 20'!F435</f>
        <v>0</v>
      </c>
      <c r="H734" s="230"/>
    </row>
    <row r="735" spans="1:8" s="229" customFormat="1" ht="31.5" hidden="1" x14ac:dyDescent="0.25">
      <c r="A735" s="45" t="s">
        <v>639</v>
      </c>
      <c r="B735" s="20" t="s">
        <v>1136</v>
      </c>
      <c r="C735" s="40" t="s">
        <v>249</v>
      </c>
      <c r="D735" s="40" t="s">
        <v>230</v>
      </c>
      <c r="E735" s="20" t="s">
        <v>149</v>
      </c>
      <c r="F735" s="2">
        <v>908</v>
      </c>
      <c r="G735" s="10">
        <f>G734</f>
        <v>0</v>
      </c>
      <c r="H735" s="230"/>
    </row>
    <row r="736" spans="1:8" s="229" customFormat="1" ht="63" x14ac:dyDescent="0.25">
      <c r="A736" s="25" t="s">
        <v>1260</v>
      </c>
      <c r="B736" s="20" t="s">
        <v>1261</v>
      </c>
      <c r="C736" s="40" t="s">
        <v>249</v>
      </c>
      <c r="D736" s="40" t="s">
        <v>230</v>
      </c>
      <c r="E736" s="20"/>
      <c r="F736" s="2"/>
      <c r="G736" s="10">
        <f>G737</f>
        <v>1914.5</v>
      </c>
      <c r="H736" s="230"/>
    </row>
    <row r="737" spans="1:8" s="229" customFormat="1" ht="31.5" x14ac:dyDescent="0.25">
      <c r="A737" s="25" t="s">
        <v>146</v>
      </c>
      <c r="B737" s="20" t="s">
        <v>1261</v>
      </c>
      <c r="C737" s="40" t="s">
        <v>249</v>
      </c>
      <c r="D737" s="40" t="s">
        <v>230</v>
      </c>
      <c r="E737" s="20" t="s">
        <v>147</v>
      </c>
      <c r="F737" s="2"/>
      <c r="G737" s="10">
        <f>G738</f>
        <v>1914.5</v>
      </c>
      <c r="H737" s="230"/>
    </row>
    <row r="738" spans="1:8" s="229" customFormat="1" ht="31.5" x14ac:dyDescent="0.25">
      <c r="A738" s="25" t="s">
        <v>148</v>
      </c>
      <c r="B738" s="20" t="s">
        <v>1261</v>
      </c>
      <c r="C738" s="40" t="s">
        <v>249</v>
      </c>
      <c r="D738" s="40" t="s">
        <v>230</v>
      </c>
      <c r="E738" s="20" t="s">
        <v>149</v>
      </c>
      <c r="F738" s="2"/>
      <c r="G738" s="10">
        <f>'Пр.5 Рд,пр, ЦС,ВР 20'!F438</f>
        <v>1914.5</v>
      </c>
      <c r="H738" s="230"/>
    </row>
    <row r="739" spans="1:8" s="229" customFormat="1" ht="31.5" x14ac:dyDescent="0.25">
      <c r="A739" s="45" t="s">
        <v>639</v>
      </c>
      <c r="B739" s="20" t="s">
        <v>1261</v>
      </c>
      <c r="C739" s="40" t="s">
        <v>249</v>
      </c>
      <c r="D739" s="40" t="s">
        <v>230</v>
      </c>
      <c r="E739" s="20" t="s">
        <v>149</v>
      </c>
      <c r="F739" s="2">
        <v>908</v>
      </c>
      <c r="G739" s="10">
        <f>G738</f>
        <v>1914.5</v>
      </c>
      <c r="H739" s="230"/>
    </row>
    <row r="740" spans="1:8" ht="47.25" x14ac:dyDescent="0.25">
      <c r="A740" s="34" t="s">
        <v>196</v>
      </c>
      <c r="B740" s="214" t="s">
        <v>197</v>
      </c>
      <c r="C740" s="7"/>
      <c r="D740" s="7"/>
      <c r="E740" s="7"/>
      <c r="F740" s="3"/>
      <c r="G740" s="59">
        <f>G741+G752</f>
        <v>306</v>
      </c>
      <c r="H740" s="230">
        <v>355</v>
      </c>
    </row>
    <row r="741" spans="1:8" s="229" customFormat="1" ht="31.5" x14ac:dyDescent="0.25">
      <c r="A741" s="34" t="s">
        <v>1165</v>
      </c>
      <c r="B741" s="214" t="s">
        <v>925</v>
      </c>
      <c r="C741" s="7"/>
      <c r="D741" s="7"/>
      <c r="E741" s="7"/>
      <c r="F741" s="3"/>
      <c r="G741" s="59">
        <f>G742</f>
        <v>256</v>
      </c>
      <c r="H741" s="230"/>
    </row>
    <row r="742" spans="1:8" ht="15.75" x14ac:dyDescent="0.25">
      <c r="A742" s="29" t="s">
        <v>247</v>
      </c>
      <c r="B742" s="5" t="s">
        <v>925</v>
      </c>
      <c r="C742" s="40" t="s">
        <v>165</v>
      </c>
      <c r="D742" s="40"/>
      <c r="E742" s="40"/>
      <c r="F742" s="2"/>
      <c r="G742" s="10">
        <f t="shared" ref="G742:G745" si="90">G743</f>
        <v>256</v>
      </c>
    </row>
    <row r="743" spans="1:8" ht="15.75" x14ac:dyDescent="0.25">
      <c r="A743" s="29" t="s">
        <v>248</v>
      </c>
      <c r="B743" s="30" t="s">
        <v>925</v>
      </c>
      <c r="C743" s="40" t="s">
        <v>165</v>
      </c>
      <c r="D743" s="40" t="s">
        <v>249</v>
      </c>
      <c r="E743" s="40"/>
      <c r="F743" s="2"/>
      <c r="G743" s="10">
        <f>G744+G748</f>
        <v>256</v>
      </c>
    </row>
    <row r="744" spans="1:8" ht="15.75" x14ac:dyDescent="0.25">
      <c r="A744" s="25" t="s">
        <v>926</v>
      </c>
      <c r="B744" s="20" t="s">
        <v>970</v>
      </c>
      <c r="C744" s="40" t="s">
        <v>165</v>
      </c>
      <c r="D744" s="40" t="s">
        <v>249</v>
      </c>
      <c r="E744" s="40"/>
      <c r="F744" s="2"/>
      <c r="G744" s="10">
        <f t="shared" si="90"/>
        <v>1</v>
      </c>
    </row>
    <row r="745" spans="1:8" ht="15.75" x14ac:dyDescent="0.25">
      <c r="A745" s="29" t="s">
        <v>150</v>
      </c>
      <c r="B745" s="20" t="s">
        <v>970</v>
      </c>
      <c r="C745" s="40" t="s">
        <v>165</v>
      </c>
      <c r="D745" s="40" t="s">
        <v>249</v>
      </c>
      <c r="E745" s="40" t="s">
        <v>160</v>
      </c>
      <c r="F745" s="2"/>
      <c r="G745" s="10">
        <f t="shared" si="90"/>
        <v>1</v>
      </c>
    </row>
    <row r="746" spans="1:8" ht="47.25" x14ac:dyDescent="0.25">
      <c r="A746" s="29" t="s">
        <v>199</v>
      </c>
      <c r="B746" s="20" t="s">
        <v>970</v>
      </c>
      <c r="C746" s="40" t="s">
        <v>165</v>
      </c>
      <c r="D746" s="40" t="s">
        <v>249</v>
      </c>
      <c r="E746" s="40" t="s">
        <v>175</v>
      </c>
      <c r="F746" s="2"/>
      <c r="G746" s="10">
        <f>'Пр.6 ведом.20'!G163</f>
        <v>1</v>
      </c>
    </row>
    <row r="747" spans="1:8" ht="15.75" x14ac:dyDescent="0.25">
      <c r="A747" s="29" t="s">
        <v>163</v>
      </c>
      <c r="B747" s="20" t="s">
        <v>970</v>
      </c>
      <c r="C747" s="40" t="s">
        <v>165</v>
      </c>
      <c r="D747" s="40" t="s">
        <v>249</v>
      </c>
      <c r="E747" s="40" t="s">
        <v>175</v>
      </c>
      <c r="F747" s="2">
        <v>902</v>
      </c>
      <c r="G747" s="10">
        <f>G746</f>
        <v>1</v>
      </c>
    </row>
    <row r="748" spans="1:8" s="229" customFormat="1" ht="31.5" x14ac:dyDescent="0.25">
      <c r="A748" s="25" t="s">
        <v>250</v>
      </c>
      <c r="B748" s="20" t="s">
        <v>929</v>
      </c>
      <c r="C748" s="40" t="s">
        <v>165</v>
      </c>
      <c r="D748" s="40" t="s">
        <v>249</v>
      </c>
      <c r="E748" s="40"/>
      <c r="F748" s="2"/>
      <c r="G748" s="10">
        <f>G749</f>
        <v>255</v>
      </c>
      <c r="H748" s="230"/>
    </row>
    <row r="749" spans="1:8" s="229" customFormat="1" ht="15.75" x14ac:dyDescent="0.25">
      <c r="A749" s="25" t="s">
        <v>150</v>
      </c>
      <c r="B749" s="20" t="s">
        <v>929</v>
      </c>
      <c r="C749" s="40" t="s">
        <v>165</v>
      </c>
      <c r="D749" s="40" t="s">
        <v>249</v>
      </c>
      <c r="E749" s="40" t="s">
        <v>160</v>
      </c>
      <c r="F749" s="2"/>
      <c r="G749" s="10">
        <f>G750</f>
        <v>255</v>
      </c>
      <c r="H749" s="230"/>
    </row>
    <row r="750" spans="1:8" s="229" customFormat="1" ht="47.25" x14ac:dyDescent="0.25">
      <c r="A750" s="25" t="s">
        <v>199</v>
      </c>
      <c r="B750" s="20" t="s">
        <v>929</v>
      </c>
      <c r="C750" s="40" t="s">
        <v>165</v>
      </c>
      <c r="D750" s="40" t="s">
        <v>249</v>
      </c>
      <c r="E750" s="40" t="s">
        <v>175</v>
      </c>
      <c r="F750" s="2"/>
      <c r="G750" s="10">
        <f>'Пр.5 Рд,пр, ЦС,ВР 20'!F250</f>
        <v>255</v>
      </c>
      <c r="H750" s="230"/>
    </row>
    <row r="751" spans="1:8" s="229" customFormat="1" ht="15.75" x14ac:dyDescent="0.25">
      <c r="A751" s="29" t="s">
        <v>163</v>
      </c>
      <c r="B751" s="20" t="s">
        <v>929</v>
      </c>
      <c r="C751" s="40" t="s">
        <v>165</v>
      </c>
      <c r="D751" s="40" t="s">
        <v>249</v>
      </c>
      <c r="E751" s="40" t="s">
        <v>175</v>
      </c>
      <c r="F751" s="2">
        <v>902</v>
      </c>
      <c r="G751" s="10">
        <f>G750</f>
        <v>255</v>
      </c>
      <c r="H751" s="230"/>
    </row>
    <row r="752" spans="1:8" s="229" customFormat="1" ht="47.25" x14ac:dyDescent="0.25">
      <c r="A752" s="276" t="s">
        <v>1166</v>
      </c>
      <c r="B752" s="24" t="s">
        <v>928</v>
      </c>
      <c r="C752" s="40"/>
      <c r="D752" s="40"/>
      <c r="E752" s="40"/>
      <c r="F752" s="2"/>
      <c r="G752" s="10">
        <f>G753</f>
        <v>50</v>
      </c>
      <c r="H752" s="230"/>
    </row>
    <row r="753" spans="1:8" s="229" customFormat="1" ht="15.75" x14ac:dyDescent="0.25">
      <c r="A753" s="29" t="s">
        <v>247</v>
      </c>
      <c r="B753" s="5" t="s">
        <v>925</v>
      </c>
      <c r="C753" s="40" t="s">
        <v>165</v>
      </c>
      <c r="D753" s="40"/>
      <c r="E753" s="40"/>
      <c r="F753" s="2"/>
      <c r="G753" s="10">
        <f>G754</f>
        <v>50</v>
      </c>
      <c r="H753" s="230"/>
    </row>
    <row r="754" spans="1:8" s="229" customFormat="1" ht="15.75" x14ac:dyDescent="0.25">
      <c r="A754" s="29" t="s">
        <v>248</v>
      </c>
      <c r="B754" s="30" t="s">
        <v>925</v>
      </c>
      <c r="C754" s="40" t="s">
        <v>165</v>
      </c>
      <c r="D754" s="40" t="s">
        <v>249</v>
      </c>
      <c r="E754" s="40"/>
      <c r="F754" s="2"/>
      <c r="G754" s="10">
        <f>G755</f>
        <v>50</v>
      </c>
      <c r="H754" s="230"/>
    </row>
    <row r="755" spans="1:8" s="229" customFormat="1" ht="15.75" x14ac:dyDescent="0.25">
      <c r="A755" s="25" t="s">
        <v>927</v>
      </c>
      <c r="B755" s="5" t="s">
        <v>971</v>
      </c>
      <c r="C755" s="40" t="s">
        <v>165</v>
      </c>
      <c r="D755" s="40" t="s">
        <v>249</v>
      </c>
      <c r="E755" s="40"/>
      <c r="F755" s="2"/>
      <c r="G755" s="10">
        <f>G756</f>
        <v>50</v>
      </c>
      <c r="H755" s="230"/>
    </row>
    <row r="756" spans="1:8" s="229" customFormat="1" ht="15.75" x14ac:dyDescent="0.25">
      <c r="A756" s="29" t="s">
        <v>150</v>
      </c>
      <c r="B756" s="5" t="s">
        <v>971</v>
      </c>
      <c r="C756" s="40" t="s">
        <v>165</v>
      </c>
      <c r="D756" s="40" t="s">
        <v>249</v>
      </c>
      <c r="E756" s="40" t="s">
        <v>160</v>
      </c>
      <c r="F756" s="2"/>
      <c r="G756" s="10">
        <f>G757</f>
        <v>50</v>
      </c>
      <c r="H756" s="230"/>
    </row>
    <row r="757" spans="1:8" s="229" customFormat="1" ht="47.25" x14ac:dyDescent="0.25">
      <c r="A757" s="29" t="s">
        <v>199</v>
      </c>
      <c r="B757" s="5" t="s">
        <v>971</v>
      </c>
      <c r="C757" s="40" t="s">
        <v>165</v>
      </c>
      <c r="D757" s="40" t="s">
        <v>249</v>
      </c>
      <c r="E757" s="40" t="s">
        <v>175</v>
      </c>
      <c r="F757" s="2"/>
      <c r="G757" s="10">
        <f>'Пр.5 Рд,пр, ЦС,ВР 20'!F254</f>
        <v>50</v>
      </c>
      <c r="H757" s="230"/>
    </row>
    <row r="758" spans="1:8" s="229" customFormat="1" ht="15.75" x14ac:dyDescent="0.25">
      <c r="A758" s="29" t="s">
        <v>163</v>
      </c>
      <c r="B758" s="20" t="s">
        <v>929</v>
      </c>
      <c r="C758" s="40" t="s">
        <v>165</v>
      </c>
      <c r="D758" s="40" t="s">
        <v>249</v>
      </c>
      <c r="E758" s="40" t="s">
        <v>175</v>
      </c>
      <c r="F758" s="2">
        <v>902</v>
      </c>
      <c r="G758" s="10">
        <f>G757</f>
        <v>50</v>
      </c>
      <c r="H758" s="230"/>
    </row>
    <row r="759" spans="1:8" ht="52.5" hidden="1" customHeight="1" x14ac:dyDescent="0.25">
      <c r="A759" s="41" t="s">
        <v>1377</v>
      </c>
      <c r="B759" s="7" t="s">
        <v>533</v>
      </c>
      <c r="C759" s="7"/>
      <c r="D759" s="7"/>
      <c r="E759" s="72"/>
      <c r="F759" s="3"/>
      <c r="G759" s="59">
        <f>G760+G767+G774+G781+G788+G795+G802</f>
        <v>0</v>
      </c>
      <c r="H759" s="230">
        <v>8940</v>
      </c>
    </row>
    <row r="760" spans="1:8" s="229" customFormat="1" ht="31.5" hidden="1" customHeight="1" x14ac:dyDescent="0.25">
      <c r="A760" s="23" t="s">
        <v>1104</v>
      </c>
      <c r="B760" s="24" t="s">
        <v>1106</v>
      </c>
      <c r="C760" s="40"/>
      <c r="D760" s="40"/>
      <c r="E760" s="40"/>
      <c r="F760" s="2"/>
      <c r="G760" s="59">
        <f>G761</f>
        <v>0</v>
      </c>
      <c r="H760" s="230"/>
    </row>
    <row r="761" spans="1:8" s="229" customFormat="1" ht="18" hidden="1" customHeight="1" x14ac:dyDescent="0.25">
      <c r="A761" s="29" t="s">
        <v>405</v>
      </c>
      <c r="B761" s="40" t="s">
        <v>1106</v>
      </c>
      <c r="C761" s="40" t="s">
        <v>249</v>
      </c>
      <c r="D761" s="40"/>
      <c r="E761" s="73"/>
      <c r="F761" s="2"/>
      <c r="G761" s="10">
        <f t="shared" ref="G761" si="91">G762</f>
        <v>0</v>
      </c>
      <c r="H761" s="230"/>
    </row>
    <row r="762" spans="1:8" s="229" customFormat="1" ht="19.5" hidden="1" customHeight="1" x14ac:dyDescent="0.25">
      <c r="A762" s="29" t="s">
        <v>532</v>
      </c>
      <c r="B762" s="40" t="s">
        <v>1106</v>
      </c>
      <c r="C762" s="40" t="s">
        <v>249</v>
      </c>
      <c r="D762" s="40" t="s">
        <v>228</v>
      </c>
      <c r="E762" s="73"/>
      <c r="F762" s="2"/>
      <c r="G762" s="10">
        <f>G763</f>
        <v>0</v>
      </c>
      <c r="H762" s="230"/>
    </row>
    <row r="763" spans="1:8" ht="15.75" hidden="1" x14ac:dyDescent="0.25">
      <c r="A763" s="45" t="s">
        <v>536</v>
      </c>
      <c r="B763" s="20" t="s">
        <v>1107</v>
      </c>
      <c r="C763" s="40" t="s">
        <v>249</v>
      </c>
      <c r="D763" s="40" t="s">
        <v>228</v>
      </c>
      <c r="E763" s="40"/>
      <c r="F763" s="2"/>
      <c r="G763" s="10">
        <f t="shared" ref="G763:G764" si="92">G764</f>
        <v>0</v>
      </c>
    </row>
    <row r="764" spans="1:8" ht="31.5" hidden="1" x14ac:dyDescent="0.25">
      <c r="A764" s="31" t="s">
        <v>146</v>
      </c>
      <c r="B764" s="20" t="s">
        <v>1107</v>
      </c>
      <c r="C764" s="40" t="s">
        <v>249</v>
      </c>
      <c r="D764" s="40" t="s">
        <v>228</v>
      </c>
      <c r="E764" s="40" t="s">
        <v>147</v>
      </c>
      <c r="F764" s="2"/>
      <c r="G764" s="10">
        <f t="shared" si="92"/>
        <v>0</v>
      </c>
    </row>
    <row r="765" spans="1:8" ht="31.5" hidden="1" x14ac:dyDescent="0.25">
      <c r="A765" s="31" t="s">
        <v>148</v>
      </c>
      <c r="B765" s="20" t="s">
        <v>1107</v>
      </c>
      <c r="C765" s="40" t="s">
        <v>249</v>
      </c>
      <c r="D765" s="40" t="s">
        <v>228</v>
      </c>
      <c r="E765" s="40" t="s">
        <v>149</v>
      </c>
      <c r="F765" s="2"/>
      <c r="G765" s="10">
        <f>'Пр.5 Рд,пр, ЦС,ВР 20'!F365</f>
        <v>0</v>
      </c>
    </row>
    <row r="766" spans="1:8" s="229" customFormat="1" ht="31.5" hidden="1" x14ac:dyDescent="0.25">
      <c r="A766" s="45" t="s">
        <v>639</v>
      </c>
      <c r="B766" s="20" t="s">
        <v>1107</v>
      </c>
      <c r="C766" s="40" t="s">
        <v>249</v>
      </c>
      <c r="D766" s="40" t="s">
        <v>228</v>
      </c>
      <c r="E766" s="40" t="s">
        <v>149</v>
      </c>
      <c r="F766" s="2">
        <v>908</v>
      </c>
      <c r="G766" s="6">
        <f>G765</f>
        <v>0</v>
      </c>
      <c r="H766" s="230"/>
    </row>
    <row r="767" spans="1:8" s="229" customFormat="1" ht="31.5" hidden="1" x14ac:dyDescent="0.25">
      <c r="A767" s="34" t="s">
        <v>1108</v>
      </c>
      <c r="B767" s="24" t="s">
        <v>1109</v>
      </c>
      <c r="C767" s="40"/>
      <c r="D767" s="40"/>
      <c r="E767" s="40"/>
      <c r="F767" s="2"/>
      <c r="G767" s="59">
        <f>G768</f>
        <v>0</v>
      </c>
      <c r="H767" s="230"/>
    </row>
    <row r="768" spans="1:8" s="229" customFormat="1" ht="15.75" hidden="1" x14ac:dyDescent="0.25">
      <c r="A768" s="29" t="s">
        <v>405</v>
      </c>
      <c r="B768" s="40" t="s">
        <v>1109</v>
      </c>
      <c r="C768" s="40" t="s">
        <v>249</v>
      </c>
      <c r="D768" s="40"/>
      <c r="E768" s="73"/>
      <c r="F768" s="2"/>
      <c r="G768" s="10">
        <f t="shared" ref="G768" si="93">G769</f>
        <v>0</v>
      </c>
      <c r="H768" s="230"/>
    </row>
    <row r="769" spans="1:8" s="229" customFormat="1" ht="15.75" hidden="1" x14ac:dyDescent="0.25">
      <c r="A769" s="29" t="s">
        <v>532</v>
      </c>
      <c r="B769" s="40" t="s">
        <v>1109</v>
      </c>
      <c r="C769" s="40" t="s">
        <v>249</v>
      </c>
      <c r="D769" s="40" t="s">
        <v>228</v>
      </c>
      <c r="E769" s="73"/>
      <c r="F769" s="2"/>
      <c r="G769" s="10">
        <f>G770</f>
        <v>0</v>
      </c>
      <c r="H769" s="230"/>
    </row>
    <row r="770" spans="1:8" ht="15.75" hidden="1" customHeight="1" x14ac:dyDescent="0.25">
      <c r="A770" s="45" t="s">
        <v>538</v>
      </c>
      <c r="B770" s="20" t="s">
        <v>1112</v>
      </c>
      <c r="C770" s="40" t="s">
        <v>249</v>
      </c>
      <c r="D770" s="40" t="s">
        <v>228</v>
      </c>
      <c r="E770" s="40"/>
      <c r="F770" s="2"/>
      <c r="G770" s="10">
        <f>G771</f>
        <v>0</v>
      </c>
    </row>
    <row r="771" spans="1:8" ht="31.5" hidden="1" customHeight="1" x14ac:dyDescent="0.25">
      <c r="A771" s="31" t="s">
        <v>146</v>
      </c>
      <c r="B771" s="20" t="s">
        <v>1112</v>
      </c>
      <c r="C771" s="40" t="s">
        <v>249</v>
      </c>
      <c r="D771" s="40" t="s">
        <v>228</v>
      </c>
      <c r="E771" s="40" t="s">
        <v>147</v>
      </c>
      <c r="F771" s="2"/>
      <c r="G771" s="10">
        <f t="shared" ref="G771" si="94">G772</f>
        <v>0</v>
      </c>
    </row>
    <row r="772" spans="1:8" ht="31.5" hidden="1" customHeight="1" x14ac:dyDescent="0.25">
      <c r="A772" s="31" t="s">
        <v>148</v>
      </c>
      <c r="B772" s="20" t="s">
        <v>1112</v>
      </c>
      <c r="C772" s="40" t="s">
        <v>249</v>
      </c>
      <c r="D772" s="40" t="s">
        <v>228</v>
      </c>
      <c r="E772" s="40" t="s">
        <v>149</v>
      </c>
      <c r="F772" s="2"/>
      <c r="G772" s="10">
        <f>'Пр.5 Рд,пр, ЦС,ВР 20'!F369</f>
        <v>0</v>
      </c>
    </row>
    <row r="773" spans="1:8" s="229" customFormat="1" ht="31.5" hidden="1" customHeight="1" x14ac:dyDescent="0.25">
      <c r="A773" s="45" t="s">
        <v>639</v>
      </c>
      <c r="B773" s="20" t="s">
        <v>1112</v>
      </c>
      <c r="C773" s="40" t="s">
        <v>249</v>
      </c>
      <c r="D773" s="40" t="s">
        <v>228</v>
      </c>
      <c r="E773" s="40" t="s">
        <v>149</v>
      </c>
      <c r="F773" s="2">
        <v>908</v>
      </c>
      <c r="G773" s="6">
        <f>G772</f>
        <v>0</v>
      </c>
      <c r="H773" s="230"/>
    </row>
    <row r="774" spans="1:8" s="229" customFormat="1" ht="15.75" hidden="1" customHeight="1" x14ac:dyDescent="0.25">
      <c r="A774" s="58" t="s">
        <v>1110</v>
      </c>
      <c r="B774" s="24" t="s">
        <v>1111</v>
      </c>
      <c r="C774" s="40"/>
      <c r="D774" s="40"/>
      <c r="E774" s="40"/>
      <c r="F774" s="2"/>
      <c r="G774" s="59">
        <f>G775</f>
        <v>0</v>
      </c>
      <c r="H774" s="230"/>
    </row>
    <row r="775" spans="1:8" s="229" customFormat="1" ht="15.75" hidden="1" customHeight="1" x14ac:dyDescent="0.25">
      <c r="A775" s="29" t="s">
        <v>405</v>
      </c>
      <c r="B775" s="40" t="s">
        <v>1111</v>
      </c>
      <c r="C775" s="40" t="s">
        <v>249</v>
      </c>
      <c r="D775" s="40"/>
      <c r="E775" s="73"/>
      <c r="F775" s="2"/>
      <c r="G775" s="10">
        <f t="shared" ref="G775" si="95">G776</f>
        <v>0</v>
      </c>
      <c r="H775" s="230"/>
    </row>
    <row r="776" spans="1:8" s="229" customFormat="1" ht="15.75" hidden="1" customHeight="1" x14ac:dyDescent="0.25">
      <c r="A776" s="29" t="s">
        <v>532</v>
      </c>
      <c r="B776" s="40" t="s">
        <v>1111</v>
      </c>
      <c r="C776" s="40" t="s">
        <v>249</v>
      </c>
      <c r="D776" s="40" t="s">
        <v>228</v>
      </c>
      <c r="E776" s="73"/>
      <c r="F776" s="2"/>
      <c r="G776" s="10">
        <f>G777</f>
        <v>0</v>
      </c>
      <c r="H776" s="230"/>
    </row>
    <row r="777" spans="1:8" ht="15.75" hidden="1" customHeight="1" x14ac:dyDescent="0.25">
      <c r="A777" s="45" t="s">
        <v>540</v>
      </c>
      <c r="B777" s="20" t="s">
        <v>1113</v>
      </c>
      <c r="C777" s="40" t="s">
        <v>249</v>
      </c>
      <c r="D777" s="40" t="s">
        <v>228</v>
      </c>
      <c r="E777" s="40"/>
      <c r="F777" s="2"/>
      <c r="G777" s="10">
        <f>G778</f>
        <v>0</v>
      </c>
    </row>
    <row r="778" spans="1:8" ht="31.5" hidden="1" customHeight="1" x14ac:dyDescent="0.25">
      <c r="A778" s="31" t="s">
        <v>146</v>
      </c>
      <c r="B778" s="20" t="s">
        <v>1113</v>
      </c>
      <c r="C778" s="40" t="s">
        <v>249</v>
      </c>
      <c r="D778" s="40" t="s">
        <v>228</v>
      </c>
      <c r="E778" s="40" t="s">
        <v>147</v>
      </c>
      <c r="F778" s="2"/>
      <c r="G778" s="10">
        <f t="shared" ref="G778" si="96">G779</f>
        <v>0</v>
      </c>
    </row>
    <row r="779" spans="1:8" ht="31.5" hidden="1" customHeight="1" x14ac:dyDescent="0.25">
      <c r="A779" s="31" t="s">
        <v>148</v>
      </c>
      <c r="B779" s="20" t="s">
        <v>1113</v>
      </c>
      <c r="C779" s="40" t="s">
        <v>249</v>
      </c>
      <c r="D779" s="40" t="s">
        <v>228</v>
      </c>
      <c r="E779" s="40" t="s">
        <v>149</v>
      </c>
      <c r="F779" s="2"/>
      <c r="G779" s="10">
        <f>'Пр.5 Рд,пр, ЦС,ВР 20'!F373</f>
        <v>0</v>
      </c>
    </row>
    <row r="780" spans="1:8" s="229" customFormat="1" ht="31.5" hidden="1" customHeight="1" x14ac:dyDescent="0.25">
      <c r="A780" s="45" t="s">
        <v>639</v>
      </c>
      <c r="B780" s="20" t="s">
        <v>1113</v>
      </c>
      <c r="C780" s="40" t="s">
        <v>249</v>
      </c>
      <c r="D780" s="40" t="s">
        <v>228</v>
      </c>
      <c r="E780" s="40" t="s">
        <v>149</v>
      </c>
      <c r="F780" s="2">
        <v>908</v>
      </c>
      <c r="G780" s="6">
        <f>G779</f>
        <v>0</v>
      </c>
      <c r="H780" s="230"/>
    </row>
    <row r="781" spans="1:8" s="229" customFormat="1" ht="15.75" hidden="1" customHeight="1" x14ac:dyDescent="0.25">
      <c r="A781" s="58" t="s">
        <v>1114</v>
      </c>
      <c r="B781" s="24" t="s">
        <v>1115</v>
      </c>
      <c r="C781" s="40"/>
      <c r="D781" s="40"/>
      <c r="E781" s="40"/>
      <c r="F781" s="2"/>
      <c r="G781" s="59">
        <f>G782</f>
        <v>0</v>
      </c>
      <c r="H781" s="230"/>
    </row>
    <row r="782" spans="1:8" s="229" customFormat="1" ht="15.75" hidden="1" customHeight="1" x14ac:dyDescent="0.25">
      <c r="A782" s="29" t="s">
        <v>405</v>
      </c>
      <c r="B782" s="40" t="s">
        <v>1115</v>
      </c>
      <c r="C782" s="40" t="s">
        <v>249</v>
      </c>
      <c r="D782" s="40"/>
      <c r="E782" s="73"/>
      <c r="F782" s="2"/>
      <c r="G782" s="10">
        <f>G783</f>
        <v>0</v>
      </c>
      <c r="H782" s="230"/>
    </row>
    <row r="783" spans="1:8" s="229" customFormat="1" ht="15.75" hidden="1" customHeight="1" x14ac:dyDescent="0.25">
      <c r="A783" s="29" t="s">
        <v>532</v>
      </c>
      <c r="B783" s="40" t="s">
        <v>1115</v>
      </c>
      <c r="C783" s="40" t="s">
        <v>249</v>
      </c>
      <c r="D783" s="40" t="s">
        <v>228</v>
      </c>
      <c r="E783" s="73"/>
      <c r="F783" s="2"/>
      <c r="G783" s="10">
        <f>G784</f>
        <v>0</v>
      </c>
      <c r="H783" s="230"/>
    </row>
    <row r="784" spans="1:8" ht="15.75" hidden="1" x14ac:dyDescent="0.25">
      <c r="A784" s="45" t="s">
        <v>542</v>
      </c>
      <c r="B784" s="20" t="s">
        <v>1116</v>
      </c>
      <c r="C784" s="40" t="s">
        <v>249</v>
      </c>
      <c r="D784" s="40" t="s">
        <v>228</v>
      </c>
      <c r="E784" s="40"/>
      <c r="F784" s="2"/>
      <c r="G784" s="10">
        <f t="shared" ref="G784:G785" si="97">G785</f>
        <v>0</v>
      </c>
    </row>
    <row r="785" spans="1:8" ht="31.5" hidden="1" x14ac:dyDescent="0.25">
      <c r="A785" s="31" t="s">
        <v>146</v>
      </c>
      <c r="B785" s="20" t="s">
        <v>1116</v>
      </c>
      <c r="C785" s="40" t="s">
        <v>249</v>
      </c>
      <c r="D785" s="40" t="s">
        <v>228</v>
      </c>
      <c r="E785" s="40" t="s">
        <v>147</v>
      </c>
      <c r="F785" s="2"/>
      <c r="G785" s="10">
        <f t="shared" si="97"/>
        <v>0</v>
      </c>
    </row>
    <row r="786" spans="1:8" ht="31.5" hidden="1" x14ac:dyDescent="0.25">
      <c r="A786" s="31" t="s">
        <v>148</v>
      </c>
      <c r="B786" s="20" t="s">
        <v>1116</v>
      </c>
      <c r="C786" s="40" t="s">
        <v>249</v>
      </c>
      <c r="D786" s="40" t="s">
        <v>228</v>
      </c>
      <c r="E786" s="40" t="s">
        <v>149</v>
      </c>
      <c r="F786" s="2"/>
      <c r="G786" s="10">
        <f>'Пр.5 Рд,пр, ЦС,ВР 20'!F377</f>
        <v>0</v>
      </c>
    </row>
    <row r="787" spans="1:8" s="229" customFormat="1" ht="31.5" hidden="1" x14ac:dyDescent="0.25">
      <c r="A787" s="45" t="s">
        <v>639</v>
      </c>
      <c r="B787" s="20" t="s">
        <v>1116</v>
      </c>
      <c r="C787" s="40" t="s">
        <v>249</v>
      </c>
      <c r="D787" s="40" t="s">
        <v>228</v>
      </c>
      <c r="E787" s="40" t="s">
        <v>149</v>
      </c>
      <c r="F787" s="2">
        <v>908</v>
      </c>
      <c r="G787" s="6">
        <f>G786</f>
        <v>0</v>
      </c>
      <c r="H787" s="230"/>
    </row>
    <row r="788" spans="1:8" s="229" customFormat="1" ht="31.5" hidden="1" x14ac:dyDescent="0.25">
      <c r="A788" s="34" t="s">
        <v>1178</v>
      </c>
      <c r="B788" s="24" t="s">
        <v>1179</v>
      </c>
      <c r="C788" s="40"/>
      <c r="D788" s="40"/>
      <c r="E788" s="40"/>
      <c r="F788" s="2"/>
      <c r="G788" s="59">
        <f>G789</f>
        <v>0</v>
      </c>
      <c r="H788" s="230"/>
    </row>
    <row r="789" spans="1:8" s="229" customFormat="1" ht="15.75" hidden="1" x14ac:dyDescent="0.25">
      <c r="A789" s="29" t="s">
        <v>405</v>
      </c>
      <c r="B789" s="40" t="s">
        <v>533</v>
      </c>
      <c r="C789" s="40" t="s">
        <v>249</v>
      </c>
      <c r="D789" s="40"/>
      <c r="E789" s="73"/>
      <c r="F789" s="2"/>
      <c r="G789" s="10">
        <f t="shared" ref="G789" si="98">G790</f>
        <v>0</v>
      </c>
      <c r="H789" s="230"/>
    </row>
    <row r="790" spans="1:8" s="229" customFormat="1" ht="15.75" hidden="1" x14ac:dyDescent="0.25">
      <c r="A790" s="29" t="s">
        <v>532</v>
      </c>
      <c r="B790" s="40" t="s">
        <v>533</v>
      </c>
      <c r="C790" s="40" t="s">
        <v>249</v>
      </c>
      <c r="D790" s="40" t="s">
        <v>228</v>
      </c>
      <c r="E790" s="73"/>
      <c r="F790" s="2"/>
      <c r="G790" s="10">
        <f>G791</f>
        <v>0</v>
      </c>
      <c r="H790" s="230"/>
    </row>
    <row r="791" spans="1:8" ht="15.75" hidden="1" customHeight="1" x14ac:dyDescent="0.25">
      <c r="A791" s="45" t="s">
        <v>544</v>
      </c>
      <c r="B791" s="20" t="s">
        <v>1182</v>
      </c>
      <c r="C791" s="40" t="s">
        <v>249</v>
      </c>
      <c r="D791" s="40" t="s">
        <v>228</v>
      </c>
      <c r="E791" s="40"/>
      <c r="F791" s="2"/>
      <c r="G791" s="10">
        <f t="shared" ref="G791:G792" si="99">G792</f>
        <v>0</v>
      </c>
    </row>
    <row r="792" spans="1:8" ht="31.5" hidden="1" customHeight="1" x14ac:dyDescent="0.25">
      <c r="A792" s="31" t="s">
        <v>146</v>
      </c>
      <c r="B792" s="20" t="s">
        <v>1182</v>
      </c>
      <c r="C792" s="40" t="s">
        <v>249</v>
      </c>
      <c r="D792" s="40" t="s">
        <v>228</v>
      </c>
      <c r="E792" s="40" t="s">
        <v>147</v>
      </c>
      <c r="F792" s="2"/>
      <c r="G792" s="10">
        <f t="shared" si="99"/>
        <v>0</v>
      </c>
    </row>
    <row r="793" spans="1:8" ht="31.5" hidden="1" customHeight="1" x14ac:dyDescent="0.25">
      <c r="A793" s="31" t="s">
        <v>148</v>
      </c>
      <c r="B793" s="20" t="s">
        <v>1182</v>
      </c>
      <c r="C793" s="40" t="s">
        <v>249</v>
      </c>
      <c r="D793" s="40" t="s">
        <v>228</v>
      </c>
      <c r="E793" s="40" t="s">
        <v>149</v>
      </c>
      <c r="F793" s="2"/>
      <c r="G793" s="10">
        <f>'Пр.5 Рд,пр, ЦС,ВР 20'!F381</f>
        <v>0</v>
      </c>
    </row>
    <row r="794" spans="1:8" s="229" customFormat="1" ht="31.5" hidden="1" customHeight="1" x14ac:dyDescent="0.25">
      <c r="A794" s="45" t="s">
        <v>639</v>
      </c>
      <c r="B794" s="20" t="s">
        <v>1182</v>
      </c>
      <c r="C794" s="40" t="s">
        <v>249</v>
      </c>
      <c r="D794" s="40" t="s">
        <v>228</v>
      </c>
      <c r="E794" s="40" t="s">
        <v>149</v>
      </c>
      <c r="F794" s="2">
        <v>908</v>
      </c>
      <c r="G794" s="6">
        <f>G793</f>
        <v>0</v>
      </c>
      <c r="H794" s="230"/>
    </row>
    <row r="795" spans="1:8" s="229" customFormat="1" ht="31.5" hidden="1" customHeight="1" x14ac:dyDescent="0.25">
      <c r="A795" s="282" t="s">
        <v>1180</v>
      </c>
      <c r="B795" s="24" t="s">
        <v>1181</v>
      </c>
      <c r="C795" s="40"/>
      <c r="D795" s="40"/>
      <c r="E795" s="40"/>
      <c r="F795" s="2"/>
      <c r="G795" s="59">
        <f>G796</f>
        <v>0</v>
      </c>
      <c r="H795" s="230"/>
    </row>
    <row r="796" spans="1:8" s="229" customFormat="1" ht="16.5" hidden="1" customHeight="1" x14ac:dyDescent="0.25">
      <c r="A796" s="29" t="s">
        <v>405</v>
      </c>
      <c r="B796" s="40" t="s">
        <v>533</v>
      </c>
      <c r="C796" s="40" t="s">
        <v>249</v>
      </c>
      <c r="D796" s="40"/>
      <c r="E796" s="73"/>
      <c r="F796" s="2"/>
      <c r="G796" s="10">
        <f t="shared" ref="G796" si="100">G797</f>
        <v>0</v>
      </c>
      <c r="H796" s="230"/>
    </row>
    <row r="797" spans="1:8" s="229" customFormat="1" ht="19.5" hidden="1" customHeight="1" x14ac:dyDescent="0.25">
      <c r="A797" s="29" t="s">
        <v>532</v>
      </c>
      <c r="B797" s="40" t="s">
        <v>533</v>
      </c>
      <c r="C797" s="40" t="s">
        <v>249</v>
      </c>
      <c r="D797" s="40" t="s">
        <v>228</v>
      </c>
      <c r="E797" s="73"/>
      <c r="F797" s="2"/>
      <c r="G797" s="10">
        <f>G798</f>
        <v>0</v>
      </c>
      <c r="H797" s="230"/>
    </row>
    <row r="798" spans="1:8" ht="31.5" hidden="1" customHeight="1" x14ac:dyDescent="0.25">
      <c r="A798" s="180" t="s">
        <v>546</v>
      </c>
      <c r="B798" s="20" t="s">
        <v>1183</v>
      </c>
      <c r="C798" s="40" t="s">
        <v>249</v>
      </c>
      <c r="D798" s="40" t="s">
        <v>228</v>
      </c>
      <c r="E798" s="40"/>
      <c r="F798" s="2"/>
      <c r="G798" s="10">
        <f t="shared" ref="G798:G799" si="101">G799</f>
        <v>0</v>
      </c>
    </row>
    <row r="799" spans="1:8" ht="31.5" hidden="1" customHeight="1" x14ac:dyDescent="0.25">
      <c r="A799" s="31" t="s">
        <v>146</v>
      </c>
      <c r="B799" s="20" t="s">
        <v>1183</v>
      </c>
      <c r="C799" s="40" t="s">
        <v>249</v>
      </c>
      <c r="D799" s="40" t="s">
        <v>228</v>
      </c>
      <c r="E799" s="40" t="s">
        <v>147</v>
      </c>
      <c r="F799" s="2"/>
      <c r="G799" s="10">
        <f t="shared" si="101"/>
        <v>0</v>
      </c>
    </row>
    <row r="800" spans="1:8" ht="31.5" hidden="1" customHeight="1" x14ac:dyDescent="0.25">
      <c r="A800" s="31" t="s">
        <v>148</v>
      </c>
      <c r="B800" s="20" t="s">
        <v>1183</v>
      </c>
      <c r="C800" s="40" t="s">
        <v>249</v>
      </c>
      <c r="D800" s="40" t="s">
        <v>228</v>
      </c>
      <c r="E800" s="40" t="s">
        <v>149</v>
      </c>
      <c r="F800" s="2"/>
      <c r="G800" s="10">
        <f>'Пр.5 Рд,пр, ЦС,ВР 20'!F385</f>
        <v>0</v>
      </c>
    </row>
    <row r="801" spans="1:8" s="229" customFormat="1" ht="31.5" hidden="1" customHeight="1" x14ac:dyDescent="0.25">
      <c r="A801" s="45" t="s">
        <v>639</v>
      </c>
      <c r="B801" s="20" t="s">
        <v>1183</v>
      </c>
      <c r="C801" s="40" t="s">
        <v>249</v>
      </c>
      <c r="D801" s="40" t="s">
        <v>228</v>
      </c>
      <c r="E801" s="40" t="s">
        <v>149</v>
      </c>
      <c r="F801" s="2">
        <v>908</v>
      </c>
      <c r="G801" s="6">
        <f>G800</f>
        <v>0</v>
      </c>
      <c r="H801" s="230"/>
    </row>
    <row r="802" spans="1:8" s="229" customFormat="1" ht="31.5" hidden="1" customHeight="1" x14ac:dyDescent="0.25">
      <c r="A802" s="282" t="s">
        <v>1118</v>
      </c>
      <c r="B802" s="24" t="s">
        <v>1119</v>
      </c>
      <c r="C802" s="40"/>
      <c r="D802" s="40"/>
      <c r="E802" s="40"/>
      <c r="F802" s="2"/>
      <c r="G802" s="59">
        <f>G803</f>
        <v>0</v>
      </c>
      <c r="H802" s="230"/>
    </row>
    <row r="803" spans="1:8" s="229" customFormat="1" ht="17.25" hidden="1" customHeight="1" x14ac:dyDescent="0.25">
      <c r="A803" s="29" t="s">
        <v>405</v>
      </c>
      <c r="B803" s="40" t="s">
        <v>533</v>
      </c>
      <c r="C803" s="40" t="s">
        <v>249</v>
      </c>
      <c r="D803" s="40"/>
      <c r="E803" s="73"/>
      <c r="F803" s="2"/>
      <c r="G803" s="10">
        <f>G804</f>
        <v>0</v>
      </c>
      <c r="H803" s="230"/>
    </row>
    <row r="804" spans="1:8" s="229" customFormat="1" ht="20.25" hidden="1" customHeight="1" x14ac:dyDescent="0.25">
      <c r="A804" s="29" t="s">
        <v>532</v>
      </c>
      <c r="B804" s="40" t="s">
        <v>533</v>
      </c>
      <c r="C804" s="40" t="s">
        <v>249</v>
      </c>
      <c r="D804" s="40" t="s">
        <v>228</v>
      </c>
      <c r="E804" s="73"/>
      <c r="F804" s="2"/>
      <c r="G804" s="10">
        <f>G805</f>
        <v>0</v>
      </c>
      <c r="H804" s="230"/>
    </row>
    <row r="805" spans="1:8" ht="15.75" hidden="1" x14ac:dyDescent="0.25">
      <c r="A805" s="180" t="s">
        <v>548</v>
      </c>
      <c r="B805" s="20" t="s">
        <v>1117</v>
      </c>
      <c r="C805" s="40" t="s">
        <v>249</v>
      </c>
      <c r="D805" s="40" t="s">
        <v>228</v>
      </c>
      <c r="E805" s="40"/>
      <c r="F805" s="2"/>
      <c r="G805" s="10">
        <f t="shared" ref="G805:G806" si="102">G806</f>
        <v>0</v>
      </c>
    </row>
    <row r="806" spans="1:8" ht="31.5" hidden="1" x14ac:dyDescent="0.3">
      <c r="A806" s="25" t="s">
        <v>146</v>
      </c>
      <c r="B806" s="20" t="s">
        <v>1117</v>
      </c>
      <c r="C806" s="40" t="s">
        <v>249</v>
      </c>
      <c r="D806" s="40" t="s">
        <v>228</v>
      </c>
      <c r="E806" s="2">
        <v>200</v>
      </c>
      <c r="F806" s="77"/>
      <c r="G806" s="6">
        <f t="shared" si="102"/>
        <v>0</v>
      </c>
    </row>
    <row r="807" spans="1:8" ht="31.5" hidden="1" x14ac:dyDescent="0.3">
      <c r="A807" s="25" t="s">
        <v>148</v>
      </c>
      <c r="B807" s="20" t="s">
        <v>1117</v>
      </c>
      <c r="C807" s="40" t="s">
        <v>249</v>
      </c>
      <c r="D807" s="40" t="s">
        <v>228</v>
      </c>
      <c r="E807" s="2">
        <v>240</v>
      </c>
      <c r="F807" s="77"/>
      <c r="G807" s="6">
        <f>'Пр.5 Рд,пр, ЦС,ВР 20'!F389</f>
        <v>0</v>
      </c>
    </row>
    <row r="808" spans="1:8" ht="31.5" hidden="1" x14ac:dyDescent="0.25">
      <c r="A808" s="45" t="s">
        <v>639</v>
      </c>
      <c r="B808" s="20" t="s">
        <v>1117</v>
      </c>
      <c r="C808" s="40" t="s">
        <v>249</v>
      </c>
      <c r="D808" s="40" t="s">
        <v>228</v>
      </c>
      <c r="E808" s="2">
        <v>240</v>
      </c>
      <c r="F808" s="2">
        <v>908</v>
      </c>
      <c r="G808" s="6">
        <f>G807</f>
        <v>0</v>
      </c>
    </row>
    <row r="809" spans="1:8" ht="47.25" x14ac:dyDescent="0.25">
      <c r="A809" s="23" t="s">
        <v>349</v>
      </c>
      <c r="B809" s="24" t="s">
        <v>350</v>
      </c>
      <c r="C809" s="7"/>
      <c r="D809" s="7"/>
      <c r="E809" s="3"/>
      <c r="F809" s="3"/>
      <c r="G809" s="4">
        <f>G810</f>
        <v>175</v>
      </c>
      <c r="H809" s="230">
        <v>275</v>
      </c>
    </row>
    <row r="810" spans="1:8" s="229" customFormat="1" ht="31.5" x14ac:dyDescent="0.25">
      <c r="A810" s="23" t="s">
        <v>1236</v>
      </c>
      <c r="B810" s="24" t="s">
        <v>1237</v>
      </c>
      <c r="C810" s="7"/>
      <c r="D810" s="7"/>
      <c r="E810" s="3"/>
      <c r="F810" s="3"/>
      <c r="G810" s="4">
        <f>G811</f>
        <v>175</v>
      </c>
      <c r="H810" s="230"/>
    </row>
    <row r="811" spans="1:8" ht="15.75" x14ac:dyDescent="0.25">
      <c r="A811" s="29" t="s">
        <v>132</v>
      </c>
      <c r="B811" s="20" t="s">
        <v>1237</v>
      </c>
      <c r="C811" s="40" t="s">
        <v>133</v>
      </c>
      <c r="D811" s="40"/>
      <c r="E811" s="2"/>
      <c r="F811" s="2"/>
      <c r="G811" s="6">
        <f>G812</f>
        <v>175</v>
      </c>
    </row>
    <row r="812" spans="1:8" ht="15.75" x14ac:dyDescent="0.25">
      <c r="A812" s="29" t="s">
        <v>154</v>
      </c>
      <c r="B812" s="20" t="s">
        <v>1237</v>
      </c>
      <c r="C812" s="40" t="s">
        <v>133</v>
      </c>
      <c r="D812" s="40" t="s">
        <v>155</v>
      </c>
      <c r="E812" s="2"/>
      <c r="F812" s="2"/>
      <c r="G812" s="6">
        <f>G813+G820+G824+G828+G832+G836+G840</f>
        <v>175</v>
      </c>
    </row>
    <row r="813" spans="1:8" ht="31.5" x14ac:dyDescent="0.25">
      <c r="A813" s="25" t="s">
        <v>351</v>
      </c>
      <c r="B813" s="20" t="s">
        <v>1238</v>
      </c>
      <c r="C813" s="40" t="s">
        <v>133</v>
      </c>
      <c r="D813" s="40" t="s">
        <v>155</v>
      </c>
      <c r="E813" s="2"/>
      <c r="F813" s="2"/>
      <c r="G813" s="6">
        <f>G814+G817</f>
        <v>120</v>
      </c>
    </row>
    <row r="814" spans="1:8" ht="31.5" x14ac:dyDescent="0.25">
      <c r="A814" s="25" t="s">
        <v>146</v>
      </c>
      <c r="B814" s="20" t="s">
        <v>1238</v>
      </c>
      <c r="C814" s="40" t="s">
        <v>133</v>
      </c>
      <c r="D814" s="40" t="s">
        <v>155</v>
      </c>
      <c r="E814" s="2">
        <v>200</v>
      </c>
      <c r="F814" s="2"/>
      <c r="G814" s="6">
        <f t="shared" ref="G814" si="103">G815</f>
        <v>50</v>
      </c>
    </row>
    <row r="815" spans="1:8" ht="31.5" x14ac:dyDescent="0.25">
      <c r="A815" s="25" t="s">
        <v>148</v>
      </c>
      <c r="B815" s="20" t="s">
        <v>1238</v>
      </c>
      <c r="C815" s="40" t="s">
        <v>133</v>
      </c>
      <c r="D815" s="40" t="s">
        <v>155</v>
      </c>
      <c r="E815" s="2">
        <v>240</v>
      </c>
      <c r="F815" s="2"/>
      <c r="G815" s="6">
        <f>'Пр.6 ведом.20'!G536</f>
        <v>50</v>
      </c>
    </row>
    <row r="816" spans="1:8" s="229" customFormat="1" ht="31.5" x14ac:dyDescent="0.25">
      <c r="A816" s="45" t="s">
        <v>418</v>
      </c>
      <c r="B816" s="20" t="s">
        <v>1238</v>
      </c>
      <c r="C816" s="40" t="s">
        <v>133</v>
      </c>
      <c r="D816" s="40" t="s">
        <v>155</v>
      </c>
      <c r="E816" s="2">
        <v>240</v>
      </c>
      <c r="F816" s="2">
        <v>906</v>
      </c>
      <c r="G816" s="6">
        <f>G815</f>
        <v>50</v>
      </c>
      <c r="H816" s="230"/>
    </row>
    <row r="817" spans="1:8" s="229" customFormat="1" ht="31.5" x14ac:dyDescent="0.25">
      <c r="A817" s="25" t="s">
        <v>146</v>
      </c>
      <c r="B817" s="20" t="s">
        <v>1238</v>
      </c>
      <c r="C817" s="40" t="s">
        <v>133</v>
      </c>
      <c r="D817" s="40" t="s">
        <v>155</v>
      </c>
      <c r="E817" s="2">
        <v>200</v>
      </c>
      <c r="F817" s="2"/>
      <c r="G817" s="6">
        <f t="shared" ref="G817" si="104">G818</f>
        <v>70</v>
      </c>
      <c r="H817" s="230"/>
    </row>
    <row r="818" spans="1:8" s="229" customFormat="1" ht="31.5" x14ac:dyDescent="0.25">
      <c r="A818" s="25" t="s">
        <v>148</v>
      </c>
      <c r="B818" s="20" t="s">
        <v>1238</v>
      </c>
      <c r="C818" s="40" t="s">
        <v>133</v>
      </c>
      <c r="D818" s="40" t="s">
        <v>155</v>
      </c>
      <c r="E818" s="2">
        <v>240</v>
      </c>
      <c r="F818" s="2"/>
      <c r="G818" s="6">
        <f>'Пр.6 ведом.20'!G766</f>
        <v>70</v>
      </c>
      <c r="H818" s="230"/>
    </row>
    <row r="819" spans="1:8" s="229" customFormat="1" ht="31.5" x14ac:dyDescent="0.25">
      <c r="A819" s="45" t="s">
        <v>495</v>
      </c>
      <c r="B819" s="20" t="s">
        <v>1238</v>
      </c>
      <c r="C819" s="40" t="s">
        <v>133</v>
      </c>
      <c r="D819" s="40" t="s">
        <v>155</v>
      </c>
      <c r="E819" s="2">
        <v>240</v>
      </c>
      <c r="F819" s="2">
        <v>907</v>
      </c>
      <c r="G819" s="6">
        <f>G818</f>
        <v>70</v>
      </c>
      <c r="H819" s="230"/>
    </row>
    <row r="820" spans="1:8" s="229" customFormat="1" ht="31.5" hidden="1" x14ac:dyDescent="0.25">
      <c r="A820" s="25" t="s">
        <v>351</v>
      </c>
      <c r="B820" s="20" t="s">
        <v>1243</v>
      </c>
      <c r="C820" s="40" t="s">
        <v>133</v>
      </c>
      <c r="D820" s="40" t="s">
        <v>155</v>
      </c>
      <c r="E820" s="2"/>
      <c r="F820" s="2"/>
      <c r="G820" s="6">
        <f>G821</f>
        <v>0</v>
      </c>
      <c r="H820" s="230"/>
    </row>
    <row r="821" spans="1:8" s="229" customFormat="1" ht="31.5" hidden="1" x14ac:dyDescent="0.25">
      <c r="A821" s="25" t="s">
        <v>146</v>
      </c>
      <c r="B821" s="20" t="s">
        <v>1243</v>
      </c>
      <c r="C821" s="40" t="s">
        <v>133</v>
      </c>
      <c r="D821" s="40" t="s">
        <v>155</v>
      </c>
      <c r="E821" s="2">
        <v>200</v>
      </c>
      <c r="F821" s="2"/>
      <c r="G821" s="6">
        <f t="shared" ref="G821" si="105">G822</f>
        <v>0</v>
      </c>
      <c r="H821" s="230"/>
    </row>
    <row r="822" spans="1:8" s="229" customFormat="1" ht="31.5" hidden="1" x14ac:dyDescent="0.25">
      <c r="A822" s="25" t="s">
        <v>148</v>
      </c>
      <c r="B822" s="20" t="s">
        <v>1243</v>
      </c>
      <c r="C822" s="40" t="s">
        <v>133</v>
      </c>
      <c r="D822" s="40" t="s">
        <v>155</v>
      </c>
      <c r="E822" s="2">
        <v>240</v>
      </c>
      <c r="F822" s="2"/>
      <c r="G822" s="6">
        <f>'Пр.5 Рд,пр, ЦС,ВР 20'!F175</f>
        <v>0</v>
      </c>
      <c r="H822" s="230"/>
    </row>
    <row r="823" spans="1:8" s="229" customFormat="1" ht="31.5" hidden="1" x14ac:dyDescent="0.25">
      <c r="A823" s="45" t="s">
        <v>418</v>
      </c>
      <c r="B823" s="20" t="s">
        <v>1243</v>
      </c>
      <c r="C823" s="40" t="s">
        <v>133</v>
      </c>
      <c r="D823" s="40" t="s">
        <v>155</v>
      </c>
      <c r="E823" s="2">
        <v>240</v>
      </c>
      <c r="F823" s="2">
        <v>906</v>
      </c>
      <c r="G823" s="6">
        <f>G822</f>
        <v>0</v>
      </c>
      <c r="H823" s="230"/>
    </row>
    <row r="824" spans="1:8" ht="23.25" customHeight="1" x14ac:dyDescent="0.25">
      <c r="A824" s="25" t="s">
        <v>353</v>
      </c>
      <c r="B824" s="20" t="s">
        <v>1239</v>
      </c>
      <c r="C824" s="40" t="s">
        <v>133</v>
      </c>
      <c r="D824" s="40" t="s">
        <v>155</v>
      </c>
      <c r="E824" s="2"/>
      <c r="F824" s="2"/>
      <c r="G824" s="6">
        <f t="shared" ref="G824:G825" si="106">G825</f>
        <v>25</v>
      </c>
    </row>
    <row r="825" spans="1:8" ht="31.5" x14ac:dyDescent="0.25">
      <c r="A825" s="25" t="s">
        <v>146</v>
      </c>
      <c r="B825" s="20" t="s">
        <v>1239</v>
      </c>
      <c r="C825" s="40" t="s">
        <v>133</v>
      </c>
      <c r="D825" s="40" t="s">
        <v>155</v>
      </c>
      <c r="E825" s="2">
        <v>200</v>
      </c>
      <c r="F825" s="2"/>
      <c r="G825" s="6">
        <f t="shared" si="106"/>
        <v>25</v>
      </c>
    </row>
    <row r="826" spans="1:8" ht="31.5" x14ac:dyDescent="0.25">
      <c r="A826" s="25" t="s">
        <v>148</v>
      </c>
      <c r="B826" s="20" t="s">
        <v>1239</v>
      </c>
      <c r="C826" s="40" t="s">
        <v>133</v>
      </c>
      <c r="D826" s="40" t="s">
        <v>155</v>
      </c>
      <c r="E826" s="2">
        <v>240</v>
      </c>
      <c r="F826" s="2"/>
      <c r="G826" s="6">
        <f>'Пр.6 ведом.20'!G227</f>
        <v>25</v>
      </c>
    </row>
    <row r="827" spans="1:8" s="229" customFormat="1" ht="47.25" x14ac:dyDescent="0.25">
      <c r="A827" s="45" t="s">
        <v>276</v>
      </c>
      <c r="B827" s="20" t="s">
        <v>1239</v>
      </c>
      <c r="C827" s="40" t="s">
        <v>133</v>
      </c>
      <c r="D827" s="40" t="s">
        <v>155</v>
      </c>
      <c r="E827" s="2">
        <v>240</v>
      </c>
      <c r="F827" s="2">
        <v>903</v>
      </c>
      <c r="G827" s="6">
        <f>G826</f>
        <v>25</v>
      </c>
      <c r="H827" s="230"/>
    </row>
    <row r="828" spans="1:8" ht="47.25" x14ac:dyDescent="0.25">
      <c r="A828" s="31" t="s">
        <v>793</v>
      </c>
      <c r="B828" s="20" t="s">
        <v>1240</v>
      </c>
      <c r="C828" s="40" t="s">
        <v>133</v>
      </c>
      <c r="D828" s="40" t="s">
        <v>155</v>
      </c>
      <c r="E828" s="2"/>
      <c r="F828" s="2"/>
      <c r="G828" s="6">
        <f t="shared" ref="G828:G829" si="107">G829</f>
        <v>10</v>
      </c>
    </row>
    <row r="829" spans="1:8" ht="31.5" x14ac:dyDescent="0.25">
      <c r="A829" s="25" t="s">
        <v>146</v>
      </c>
      <c r="B829" s="20" t="s">
        <v>1240</v>
      </c>
      <c r="C829" s="20" t="s">
        <v>133</v>
      </c>
      <c r="D829" s="20" t="s">
        <v>155</v>
      </c>
      <c r="E829" s="20" t="s">
        <v>147</v>
      </c>
      <c r="F829" s="184"/>
      <c r="G829" s="6">
        <f t="shared" si="107"/>
        <v>10</v>
      </c>
    </row>
    <row r="830" spans="1:8" ht="31.5" x14ac:dyDescent="0.25">
      <c r="A830" s="25" t="s">
        <v>148</v>
      </c>
      <c r="B830" s="20" t="s">
        <v>1240</v>
      </c>
      <c r="C830" s="20" t="s">
        <v>133</v>
      </c>
      <c r="D830" s="20" t="s">
        <v>155</v>
      </c>
      <c r="E830" s="20" t="s">
        <v>149</v>
      </c>
      <c r="F830" s="184"/>
      <c r="G830" s="6">
        <f>'Пр.6 ведом.20'!G230</f>
        <v>10</v>
      </c>
    </row>
    <row r="831" spans="1:8" s="229" customFormat="1" ht="47.25" x14ac:dyDescent="0.25">
      <c r="A831" s="45" t="s">
        <v>276</v>
      </c>
      <c r="B831" s="20" t="s">
        <v>1240</v>
      </c>
      <c r="C831" s="40" t="s">
        <v>133</v>
      </c>
      <c r="D831" s="40" t="s">
        <v>155</v>
      </c>
      <c r="E831" s="2">
        <v>240</v>
      </c>
      <c r="F831" s="2">
        <v>903</v>
      </c>
      <c r="G831" s="6">
        <f>G830</f>
        <v>10</v>
      </c>
      <c r="H831" s="230"/>
    </row>
    <row r="832" spans="1:8" ht="31.5" hidden="1" x14ac:dyDescent="0.25">
      <c r="A832" s="25" t="s">
        <v>695</v>
      </c>
      <c r="B832" s="20" t="s">
        <v>1241</v>
      </c>
      <c r="C832" s="40" t="s">
        <v>133</v>
      </c>
      <c r="D832" s="40" t="s">
        <v>155</v>
      </c>
      <c r="E832" s="2"/>
      <c r="F832" s="184"/>
      <c r="G832" s="6">
        <f t="shared" ref="G832:G833" si="108">G833</f>
        <v>0</v>
      </c>
    </row>
    <row r="833" spans="1:9" ht="31.5" hidden="1" x14ac:dyDescent="0.25">
      <c r="A833" s="25" t="s">
        <v>146</v>
      </c>
      <c r="B833" s="20" t="s">
        <v>1241</v>
      </c>
      <c r="C833" s="40" t="s">
        <v>133</v>
      </c>
      <c r="D833" s="40" t="s">
        <v>155</v>
      </c>
      <c r="E833" s="2">
        <v>200</v>
      </c>
      <c r="F833" s="184"/>
      <c r="G833" s="6">
        <f t="shared" si="108"/>
        <v>0</v>
      </c>
    </row>
    <row r="834" spans="1:9" ht="31.5" hidden="1" x14ac:dyDescent="0.25">
      <c r="A834" s="25" t="s">
        <v>148</v>
      </c>
      <c r="B834" s="20" t="s">
        <v>1241</v>
      </c>
      <c r="C834" s="40" t="s">
        <v>133</v>
      </c>
      <c r="D834" s="40" t="s">
        <v>155</v>
      </c>
      <c r="E834" s="2">
        <v>240</v>
      </c>
      <c r="F834" s="184"/>
      <c r="G834" s="6">
        <f>'Пр.6 ведом.20'!G233</f>
        <v>0</v>
      </c>
    </row>
    <row r="835" spans="1:9" s="229" customFormat="1" ht="47.25" hidden="1" x14ac:dyDescent="0.25">
      <c r="A835" s="45" t="s">
        <v>276</v>
      </c>
      <c r="B835" s="20" t="s">
        <v>1241</v>
      </c>
      <c r="C835" s="40" t="s">
        <v>133</v>
      </c>
      <c r="D835" s="40" t="s">
        <v>155</v>
      </c>
      <c r="E835" s="2">
        <v>240</v>
      </c>
      <c r="F835" s="2">
        <v>903</v>
      </c>
      <c r="G835" s="6">
        <f>G834</f>
        <v>0</v>
      </c>
      <c r="H835" s="230"/>
    </row>
    <row r="836" spans="1:9" s="229" customFormat="1" ht="15.75" hidden="1" x14ac:dyDescent="0.25">
      <c r="A836" s="31" t="s">
        <v>795</v>
      </c>
      <c r="B836" s="20" t="s">
        <v>1271</v>
      </c>
      <c r="C836" s="40" t="s">
        <v>133</v>
      </c>
      <c r="D836" s="40" t="s">
        <v>155</v>
      </c>
      <c r="E836" s="2"/>
      <c r="F836" s="2"/>
      <c r="G836" s="6">
        <f t="shared" ref="G836:G837" si="109">G837</f>
        <v>0</v>
      </c>
      <c r="H836" s="230"/>
    </row>
    <row r="837" spans="1:9" s="229" customFormat="1" ht="31.5" hidden="1" x14ac:dyDescent="0.25">
      <c r="A837" s="25" t="s">
        <v>146</v>
      </c>
      <c r="B837" s="20" t="s">
        <v>1271</v>
      </c>
      <c r="C837" s="40" t="s">
        <v>133</v>
      </c>
      <c r="D837" s="40" t="s">
        <v>155</v>
      </c>
      <c r="E837" s="2">
        <v>200</v>
      </c>
      <c r="F837" s="2"/>
      <c r="G837" s="6">
        <f t="shared" si="109"/>
        <v>0</v>
      </c>
      <c r="H837" s="230"/>
    </row>
    <row r="838" spans="1:9" s="229" customFormat="1" ht="31.5" hidden="1" x14ac:dyDescent="0.25">
      <c r="A838" s="25" t="s">
        <v>148</v>
      </c>
      <c r="B838" s="20" t="s">
        <v>1271</v>
      </c>
      <c r="C838" s="40" t="s">
        <v>133</v>
      </c>
      <c r="D838" s="40" t="s">
        <v>155</v>
      </c>
      <c r="E838" s="2">
        <v>240</v>
      </c>
      <c r="F838" s="2"/>
      <c r="G838" s="6">
        <f>'Пр.5 Рд,пр, ЦС,ВР 20'!F187</f>
        <v>0</v>
      </c>
      <c r="H838" s="230"/>
    </row>
    <row r="839" spans="1:9" s="229" customFormat="1" ht="31.5" hidden="1" x14ac:dyDescent="0.25">
      <c r="A839" s="45" t="s">
        <v>418</v>
      </c>
      <c r="B839" s="20" t="s">
        <v>1271</v>
      </c>
      <c r="C839" s="40" t="s">
        <v>133</v>
      </c>
      <c r="D839" s="40" t="s">
        <v>155</v>
      </c>
      <c r="E839" s="2">
        <v>240</v>
      </c>
      <c r="F839" s="2">
        <v>906</v>
      </c>
      <c r="G839" s="6">
        <f>G838</f>
        <v>0</v>
      </c>
      <c r="H839" s="230"/>
    </row>
    <row r="840" spans="1:9" ht="31.5" customHeight="1" x14ac:dyDescent="0.25">
      <c r="A840" s="31" t="s">
        <v>794</v>
      </c>
      <c r="B840" s="20" t="s">
        <v>1242</v>
      </c>
      <c r="C840" s="20" t="s">
        <v>133</v>
      </c>
      <c r="D840" s="20" t="s">
        <v>155</v>
      </c>
      <c r="E840" s="20"/>
      <c r="F840" s="184"/>
      <c r="G840" s="6">
        <f t="shared" ref="G840:G841" si="110">G841</f>
        <v>20</v>
      </c>
    </row>
    <row r="841" spans="1:9" ht="31.5" customHeight="1" x14ac:dyDescent="0.25">
      <c r="A841" s="25" t="s">
        <v>146</v>
      </c>
      <c r="B841" s="20" t="s">
        <v>1242</v>
      </c>
      <c r="C841" s="20" t="s">
        <v>133</v>
      </c>
      <c r="D841" s="20" t="s">
        <v>155</v>
      </c>
      <c r="E841" s="20" t="s">
        <v>147</v>
      </c>
      <c r="F841" s="184"/>
      <c r="G841" s="6">
        <f t="shared" si="110"/>
        <v>20</v>
      </c>
    </row>
    <row r="842" spans="1:9" ht="31.5" customHeight="1" x14ac:dyDescent="0.25">
      <c r="A842" s="25" t="s">
        <v>148</v>
      </c>
      <c r="B842" s="20" t="s">
        <v>1242</v>
      </c>
      <c r="C842" s="20" t="s">
        <v>133</v>
      </c>
      <c r="D842" s="20" t="s">
        <v>155</v>
      </c>
      <c r="E842" s="20" t="s">
        <v>149</v>
      </c>
      <c r="F842" s="184"/>
      <c r="G842" s="6">
        <f>'Пр.6 ведом.20'!G236</f>
        <v>20</v>
      </c>
    </row>
    <row r="843" spans="1:9" ht="47.25" x14ac:dyDescent="0.25">
      <c r="A843" s="45" t="s">
        <v>276</v>
      </c>
      <c r="B843" s="20" t="s">
        <v>1242</v>
      </c>
      <c r="C843" s="20" t="s">
        <v>133</v>
      </c>
      <c r="D843" s="20" t="s">
        <v>155</v>
      </c>
      <c r="E843" s="20" t="s">
        <v>149</v>
      </c>
      <c r="F843" s="2">
        <v>903</v>
      </c>
      <c r="G843" s="6">
        <f>G842</f>
        <v>20</v>
      </c>
    </row>
    <row r="844" spans="1:9" ht="48.75" customHeight="1" x14ac:dyDescent="0.25">
      <c r="A844" s="41" t="s">
        <v>1185</v>
      </c>
      <c r="B844" s="24" t="s">
        <v>727</v>
      </c>
      <c r="C844" s="7"/>
      <c r="D844" s="7"/>
      <c r="E844" s="3"/>
      <c r="F844" s="3"/>
      <c r="G844" s="4">
        <f>G845+G856+G895</f>
        <v>3150.6</v>
      </c>
      <c r="H844" s="230">
        <v>3292.6</v>
      </c>
      <c r="I844" s="22">
        <f>H844-G844</f>
        <v>142</v>
      </c>
    </row>
    <row r="845" spans="1:9" s="229" customFormat="1" ht="48.75" customHeight="1" x14ac:dyDescent="0.25">
      <c r="A845" s="273" t="s">
        <v>894</v>
      </c>
      <c r="B845" s="24" t="s">
        <v>900</v>
      </c>
      <c r="C845" s="7"/>
      <c r="D845" s="7"/>
      <c r="E845" s="3"/>
      <c r="F845" s="3"/>
      <c r="G845" s="4">
        <f>G846</f>
        <v>33</v>
      </c>
      <c r="H845" s="230"/>
      <c r="I845" s="22"/>
    </row>
    <row r="846" spans="1:9" s="124" customFormat="1" ht="15.75" x14ac:dyDescent="0.25">
      <c r="A846" s="29" t="s">
        <v>132</v>
      </c>
      <c r="B846" s="20" t="s">
        <v>900</v>
      </c>
      <c r="C846" s="40" t="s">
        <v>133</v>
      </c>
      <c r="D846" s="40"/>
      <c r="E846" s="2"/>
      <c r="F846" s="2"/>
      <c r="G846" s="6">
        <f t="shared" ref="G846" si="111">G847</f>
        <v>33</v>
      </c>
      <c r="H846" s="232"/>
    </row>
    <row r="847" spans="1:9" s="124" customFormat="1" ht="15.75" x14ac:dyDescent="0.25">
      <c r="A847" s="29" t="s">
        <v>154</v>
      </c>
      <c r="B847" s="20" t="s">
        <v>900</v>
      </c>
      <c r="C847" s="40" t="s">
        <v>133</v>
      </c>
      <c r="D847" s="40" t="s">
        <v>155</v>
      </c>
      <c r="E847" s="2"/>
      <c r="F847" s="2"/>
      <c r="G847" s="6">
        <f>G848+G852</f>
        <v>33</v>
      </c>
      <c r="H847" s="232"/>
    </row>
    <row r="848" spans="1:9" ht="31.5" x14ac:dyDescent="0.25">
      <c r="A848" s="101" t="s">
        <v>798</v>
      </c>
      <c r="B848" s="20" t="s">
        <v>895</v>
      </c>
      <c r="C848" s="40" t="s">
        <v>133</v>
      </c>
      <c r="D848" s="40" t="s">
        <v>155</v>
      </c>
      <c r="E848" s="2"/>
      <c r="F848" s="2"/>
      <c r="G848" s="6">
        <f t="shared" ref="G848:G849" si="112">G849</f>
        <v>28</v>
      </c>
    </row>
    <row r="849" spans="1:8" ht="31.5" x14ac:dyDescent="0.25">
      <c r="A849" s="25" t="s">
        <v>146</v>
      </c>
      <c r="B849" s="20" t="s">
        <v>895</v>
      </c>
      <c r="C849" s="40" t="s">
        <v>133</v>
      </c>
      <c r="D849" s="40" t="s">
        <v>155</v>
      </c>
      <c r="E849" s="2">
        <v>200</v>
      </c>
      <c r="F849" s="2"/>
      <c r="G849" s="6">
        <f t="shared" si="112"/>
        <v>28</v>
      </c>
    </row>
    <row r="850" spans="1:8" ht="31.5" x14ac:dyDescent="0.25">
      <c r="A850" s="25" t="s">
        <v>148</v>
      </c>
      <c r="B850" s="20" t="s">
        <v>895</v>
      </c>
      <c r="C850" s="40" t="s">
        <v>133</v>
      </c>
      <c r="D850" s="40" t="s">
        <v>155</v>
      </c>
      <c r="E850" s="2">
        <v>240</v>
      </c>
      <c r="F850" s="2"/>
      <c r="G850" s="6">
        <f>'Пр.6 ведом.20'!G116</f>
        <v>28</v>
      </c>
    </row>
    <row r="851" spans="1:8" s="229" customFormat="1" ht="15.75" x14ac:dyDescent="0.25">
      <c r="A851" s="29" t="s">
        <v>163</v>
      </c>
      <c r="B851" s="20" t="s">
        <v>895</v>
      </c>
      <c r="C851" s="40" t="s">
        <v>133</v>
      </c>
      <c r="D851" s="40" t="s">
        <v>155</v>
      </c>
      <c r="E851" s="2">
        <v>240</v>
      </c>
      <c r="F851" s="2">
        <v>902</v>
      </c>
      <c r="G851" s="6">
        <f>G850</f>
        <v>28</v>
      </c>
      <c r="H851" s="230"/>
    </row>
    <row r="852" spans="1:8" s="229" customFormat="1" ht="31.5" x14ac:dyDescent="0.25">
      <c r="A852" s="101" t="s">
        <v>798</v>
      </c>
      <c r="B852" s="20" t="s">
        <v>895</v>
      </c>
      <c r="C852" s="40" t="s">
        <v>133</v>
      </c>
      <c r="D852" s="40" t="s">
        <v>155</v>
      </c>
      <c r="E852" s="2"/>
      <c r="F852" s="2"/>
      <c r="G852" s="6">
        <f>G853</f>
        <v>5</v>
      </c>
      <c r="H852" s="230"/>
    </row>
    <row r="853" spans="1:8" s="229" customFormat="1" ht="31.5" x14ac:dyDescent="0.25">
      <c r="A853" s="25" t="s">
        <v>146</v>
      </c>
      <c r="B853" s="20" t="s">
        <v>895</v>
      </c>
      <c r="C853" s="40" t="s">
        <v>133</v>
      </c>
      <c r="D853" s="40" t="s">
        <v>155</v>
      </c>
      <c r="E853" s="2">
        <v>200</v>
      </c>
      <c r="F853" s="2"/>
      <c r="G853" s="6">
        <f>G854</f>
        <v>5</v>
      </c>
      <c r="H853" s="230"/>
    </row>
    <row r="854" spans="1:8" s="229" customFormat="1" ht="31.5" x14ac:dyDescent="0.25">
      <c r="A854" s="25" t="s">
        <v>148</v>
      </c>
      <c r="B854" s="20" t="s">
        <v>895</v>
      </c>
      <c r="C854" s="40" t="s">
        <v>133</v>
      </c>
      <c r="D854" s="40" t="s">
        <v>155</v>
      </c>
      <c r="E854" s="2">
        <v>240</v>
      </c>
      <c r="F854" s="2"/>
      <c r="G854" s="6">
        <f>'Пр.6 ведом.20'!G241</f>
        <v>5</v>
      </c>
      <c r="H854" s="230"/>
    </row>
    <row r="855" spans="1:8" s="229" customFormat="1" ht="47.25" x14ac:dyDescent="0.25">
      <c r="A855" s="25" t="s">
        <v>276</v>
      </c>
      <c r="B855" s="20" t="s">
        <v>895</v>
      </c>
      <c r="C855" s="40" t="s">
        <v>133</v>
      </c>
      <c r="D855" s="40" t="s">
        <v>155</v>
      </c>
      <c r="E855" s="2">
        <v>240</v>
      </c>
      <c r="F855" s="2">
        <v>903</v>
      </c>
      <c r="G855" s="6">
        <f>G854</f>
        <v>5</v>
      </c>
      <c r="H855" s="230"/>
    </row>
    <row r="856" spans="1:8" s="229" customFormat="1" ht="47.25" x14ac:dyDescent="0.25">
      <c r="A856" s="41" t="s">
        <v>951</v>
      </c>
      <c r="B856" s="24" t="s">
        <v>949</v>
      </c>
      <c r="C856" s="40"/>
      <c r="D856" s="40"/>
      <c r="E856" s="2"/>
      <c r="F856" s="2"/>
      <c r="G856" s="4">
        <f>G857+G877+G883+G889</f>
        <v>3102.6</v>
      </c>
      <c r="H856" s="230"/>
    </row>
    <row r="857" spans="1:8" s="229" customFormat="1" ht="15.75" x14ac:dyDescent="0.25">
      <c r="A857" s="29" t="s">
        <v>278</v>
      </c>
      <c r="B857" s="20" t="s">
        <v>949</v>
      </c>
      <c r="C857" s="40" t="s">
        <v>279</v>
      </c>
      <c r="D857" s="40"/>
      <c r="E857" s="2"/>
      <c r="F857" s="2"/>
      <c r="G857" s="6">
        <f>G858+G864+G868</f>
        <v>1709.3</v>
      </c>
      <c r="H857" s="230"/>
    </row>
    <row r="858" spans="1:8" s="229" customFormat="1" ht="15.75" x14ac:dyDescent="0.25">
      <c r="A858" s="29" t="s">
        <v>419</v>
      </c>
      <c r="B858" s="20" t="s">
        <v>949</v>
      </c>
      <c r="C858" s="40" t="s">
        <v>279</v>
      </c>
      <c r="D858" s="40" t="s">
        <v>133</v>
      </c>
      <c r="E858" s="2"/>
      <c r="F858" s="2"/>
      <c r="G858" s="6">
        <f>G859</f>
        <v>464.3</v>
      </c>
      <c r="H858" s="230"/>
    </row>
    <row r="859" spans="1:8" s="229" customFormat="1" ht="47.25" x14ac:dyDescent="0.25">
      <c r="A859" s="45" t="s">
        <v>802</v>
      </c>
      <c r="B859" s="20" t="s">
        <v>1032</v>
      </c>
      <c r="C859" s="40" t="s">
        <v>279</v>
      </c>
      <c r="D859" s="40" t="s">
        <v>133</v>
      </c>
      <c r="E859" s="2"/>
      <c r="F859" s="2"/>
      <c r="G859" s="6">
        <f>G860</f>
        <v>464.3</v>
      </c>
      <c r="H859" s="230"/>
    </row>
    <row r="860" spans="1:8" s="229" customFormat="1" ht="31.5" x14ac:dyDescent="0.25">
      <c r="A860" s="29" t="s">
        <v>287</v>
      </c>
      <c r="B860" s="20" t="s">
        <v>1032</v>
      </c>
      <c r="C860" s="40" t="s">
        <v>279</v>
      </c>
      <c r="D860" s="40" t="s">
        <v>133</v>
      </c>
      <c r="E860" s="2">
        <v>600</v>
      </c>
      <c r="F860" s="2"/>
      <c r="G860" s="6">
        <f>G861</f>
        <v>464.3</v>
      </c>
      <c r="H860" s="230"/>
    </row>
    <row r="861" spans="1:8" s="229" customFormat="1" ht="15.75" x14ac:dyDescent="0.25">
      <c r="A861" s="195" t="s">
        <v>289</v>
      </c>
      <c r="B861" s="20" t="s">
        <v>1032</v>
      </c>
      <c r="C861" s="40" t="s">
        <v>279</v>
      </c>
      <c r="D861" s="40" t="s">
        <v>133</v>
      </c>
      <c r="E861" s="2">
        <v>610</v>
      </c>
      <c r="F861" s="2"/>
      <c r="G861" s="6">
        <f>'Пр.6 ведом.20'!G608</f>
        <v>464.3</v>
      </c>
      <c r="H861" s="230"/>
    </row>
    <row r="862" spans="1:8" s="229" customFormat="1" ht="31.5" x14ac:dyDescent="0.25">
      <c r="A862" s="45" t="s">
        <v>418</v>
      </c>
      <c r="B862" s="20" t="s">
        <v>1032</v>
      </c>
      <c r="C862" s="40" t="s">
        <v>279</v>
      </c>
      <c r="D862" s="40" t="s">
        <v>133</v>
      </c>
      <c r="E862" s="2">
        <v>610</v>
      </c>
      <c r="F862" s="2">
        <v>906</v>
      </c>
      <c r="G862" s="6">
        <f>G861</f>
        <v>464.3</v>
      </c>
      <c r="H862" s="230"/>
    </row>
    <row r="863" spans="1:8" s="229" customFormat="1" ht="15.75" x14ac:dyDescent="0.25">
      <c r="A863" s="45" t="s">
        <v>440</v>
      </c>
      <c r="B863" s="20" t="s">
        <v>949</v>
      </c>
      <c r="C863" s="40" t="s">
        <v>279</v>
      </c>
      <c r="D863" s="40" t="s">
        <v>228</v>
      </c>
      <c r="E863" s="2"/>
      <c r="F863" s="2"/>
      <c r="G863" s="6">
        <f>G864</f>
        <v>723.3</v>
      </c>
      <c r="H863" s="230"/>
    </row>
    <row r="864" spans="1:8" s="229" customFormat="1" ht="47.25" x14ac:dyDescent="0.25">
      <c r="A864" s="45" t="s">
        <v>802</v>
      </c>
      <c r="B864" s="20" t="s">
        <v>1032</v>
      </c>
      <c r="C864" s="40" t="s">
        <v>279</v>
      </c>
      <c r="D864" s="40" t="s">
        <v>228</v>
      </c>
      <c r="E864" s="2"/>
      <c r="F864" s="2"/>
      <c r="G864" s="6">
        <f>G865</f>
        <v>723.3</v>
      </c>
      <c r="H864" s="230"/>
    </row>
    <row r="865" spans="1:8" s="229" customFormat="1" ht="31.5" x14ac:dyDescent="0.25">
      <c r="A865" s="29" t="s">
        <v>287</v>
      </c>
      <c r="B865" s="20" t="s">
        <v>1032</v>
      </c>
      <c r="C865" s="40" t="s">
        <v>279</v>
      </c>
      <c r="D865" s="40" t="s">
        <v>228</v>
      </c>
      <c r="E865" s="2">
        <v>600</v>
      </c>
      <c r="F865" s="2"/>
      <c r="G865" s="6">
        <f>G866</f>
        <v>723.3</v>
      </c>
      <c r="H865" s="230"/>
    </row>
    <row r="866" spans="1:8" s="229" customFormat="1" ht="15.75" x14ac:dyDescent="0.25">
      <c r="A866" s="195" t="s">
        <v>289</v>
      </c>
      <c r="B866" s="20" t="s">
        <v>1032</v>
      </c>
      <c r="C866" s="40" t="s">
        <v>279</v>
      </c>
      <c r="D866" s="40" t="s">
        <v>228</v>
      </c>
      <c r="E866" s="2">
        <v>610</v>
      </c>
      <c r="F866" s="2"/>
      <c r="G866" s="6">
        <f>'Пр.6 ведом.20'!G690</f>
        <v>723.3</v>
      </c>
      <c r="H866" s="230"/>
    </row>
    <row r="867" spans="1:8" s="229" customFormat="1" ht="31.5" x14ac:dyDescent="0.25">
      <c r="A867" s="45" t="s">
        <v>418</v>
      </c>
      <c r="B867" s="20" t="s">
        <v>1032</v>
      </c>
      <c r="C867" s="40" t="s">
        <v>279</v>
      </c>
      <c r="D867" s="40" t="s">
        <v>228</v>
      </c>
      <c r="E867" s="2">
        <v>610</v>
      </c>
      <c r="F867" s="2">
        <v>906</v>
      </c>
      <c r="G867" s="6">
        <f>G866</f>
        <v>723.3</v>
      </c>
      <c r="H867" s="230"/>
    </row>
    <row r="868" spans="1:8" s="229" customFormat="1" ht="15.75" x14ac:dyDescent="0.25">
      <c r="A868" s="45" t="s">
        <v>280</v>
      </c>
      <c r="B868" s="20" t="s">
        <v>949</v>
      </c>
      <c r="C868" s="40" t="s">
        <v>279</v>
      </c>
      <c r="D868" s="40" t="s">
        <v>230</v>
      </c>
      <c r="E868" s="2"/>
      <c r="F868" s="2"/>
      <c r="G868" s="6">
        <f>G869+G873</f>
        <v>521.70000000000005</v>
      </c>
      <c r="H868" s="230"/>
    </row>
    <row r="869" spans="1:8" s="229" customFormat="1" ht="47.25" x14ac:dyDescent="0.25">
      <c r="A869" s="45" t="s">
        <v>802</v>
      </c>
      <c r="B869" s="20" t="s">
        <v>1032</v>
      </c>
      <c r="C869" s="40" t="s">
        <v>279</v>
      </c>
      <c r="D869" s="40" t="s">
        <v>230</v>
      </c>
      <c r="E869" s="2"/>
      <c r="F869" s="2"/>
      <c r="G869" s="6">
        <f>G870</f>
        <v>300.7</v>
      </c>
      <c r="H869" s="230"/>
    </row>
    <row r="870" spans="1:8" s="229" customFormat="1" ht="31.5" x14ac:dyDescent="0.25">
      <c r="A870" s="29" t="s">
        <v>287</v>
      </c>
      <c r="B870" s="20" t="s">
        <v>1032</v>
      </c>
      <c r="C870" s="40" t="s">
        <v>279</v>
      </c>
      <c r="D870" s="40" t="s">
        <v>230</v>
      </c>
      <c r="E870" s="2">
        <v>600</v>
      </c>
      <c r="F870" s="2"/>
      <c r="G870" s="6">
        <f>G871</f>
        <v>300.7</v>
      </c>
      <c r="H870" s="230"/>
    </row>
    <row r="871" spans="1:8" s="229" customFormat="1" ht="15.75" x14ac:dyDescent="0.25">
      <c r="A871" s="195" t="s">
        <v>289</v>
      </c>
      <c r="B871" s="20" t="s">
        <v>1032</v>
      </c>
      <c r="C871" s="40" t="s">
        <v>279</v>
      </c>
      <c r="D871" s="40" t="s">
        <v>230</v>
      </c>
      <c r="E871" s="2">
        <v>610</v>
      </c>
      <c r="F871" s="2"/>
      <c r="G871" s="6">
        <f>'Пр.6 ведом.20'!G721</f>
        <v>300.7</v>
      </c>
      <c r="H871" s="230"/>
    </row>
    <row r="872" spans="1:8" s="229" customFormat="1" ht="31.5" x14ac:dyDescent="0.25">
      <c r="A872" s="45" t="s">
        <v>418</v>
      </c>
      <c r="B872" s="20" t="s">
        <v>1032</v>
      </c>
      <c r="C872" s="40" t="s">
        <v>279</v>
      </c>
      <c r="D872" s="40" t="s">
        <v>230</v>
      </c>
      <c r="E872" s="2">
        <v>610</v>
      </c>
      <c r="F872" s="2">
        <v>906</v>
      </c>
      <c r="G872" s="6">
        <f>G871</f>
        <v>300.7</v>
      </c>
      <c r="H872" s="230"/>
    </row>
    <row r="873" spans="1:8" s="229" customFormat="1" ht="31.5" x14ac:dyDescent="0.25">
      <c r="A873" s="101" t="s">
        <v>1163</v>
      </c>
      <c r="B873" s="20" t="s">
        <v>950</v>
      </c>
      <c r="C873" s="40" t="s">
        <v>279</v>
      </c>
      <c r="D873" s="40" t="s">
        <v>230</v>
      </c>
      <c r="E873" s="2"/>
      <c r="F873" s="2"/>
      <c r="G873" s="6">
        <f>G874</f>
        <v>221</v>
      </c>
      <c r="H873" s="230"/>
    </row>
    <row r="874" spans="1:8" s="229" customFormat="1" ht="31.5" x14ac:dyDescent="0.25">
      <c r="A874" s="25" t="s">
        <v>146</v>
      </c>
      <c r="B874" s="20" t="s">
        <v>950</v>
      </c>
      <c r="C874" s="40" t="s">
        <v>279</v>
      </c>
      <c r="D874" s="40" t="s">
        <v>230</v>
      </c>
      <c r="E874" s="2">
        <v>200</v>
      </c>
      <c r="F874" s="2"/>
      <c r="G874" s="6">
        <f>G875</f>
        <v>221</v>
      </c>
      <c r="H874" s="230"/>
    </row>
    <row r="875" spans="1:8" s="229" customFormat="1" ht="31.5" x14ac:dyDescent="0.25">
      <c r="A875" s="25" t="s">
        <v>148</v>
      </c>
      <c r="B875" s="20" t="s">
        <v>950</v>
      </c>
      <c r="C875" s="40" t="s">
        <v>279</v>
      </c>
      <c r="D875" s="40" t="s">
        <v>230</v>
      </c>
      <c r="E875" s="2">
        <v>240</v>
      </c>
      <c r="F875" s="2"/>
      <c r="G875" s="6">
        <f>'Пр.6 ведом.20'!G311</f>
        <v>221</v>
      </c>
      <c r="H875" s="230"/>
    </row>
    <row r="876" spans="1:8" s="229" customFormat="1" ht="47.25" x14ac:dyDescent="0.25">
      <c r="A876" s="25" t="s">
        <v>276</v>
      </c>
      <c r="B876" s="20" t="s">
        <v>950</v>
      </c>
      <c r="C876" s="40" t="s">
        <v>279</v>
      </c>
      <c r="D876" s="40" t="s">
        <v>230</v>
      </c>
      <c r="E876" s="2">
        <v>240</v>
      </c>
      <c r="F876" s="2">
        <v>903</v>
      </c>
      <c r="G876" s="6">
        <f>G875</f>
        <v>221</v>
      </c>
      <c r="H876" s="230"/>
    </row>
    <row r="877" spans="1:8" s="229" customFormat="1" ht="15.75" x14ac:dyDescent="0.25">
      <c r="A877" s="25" t="s">
        <v>313</v>
      </c>
      <c r="B877" s="20" t="s">
        <v>949</v>
      </c>
      <c r="C877" s="40" t="s">
        <v>314</v>
      </c>
      <c r="D877" s="40"/>
      <c r="E877" s="2"/>
      <c r="F877" s="2"/>
      <c r="G877" s="6">
        <f>G878</f>
        <v>793.2</v>
      </c>
      <c r="H877" s="230"/>
    </row>
    <row r="878" spans="1:8" s="229" customFormat="1" ht="15.75" x14ac:dyDescent="0.25">
      <c r="A878" s="25" t="s">
        <v>315</v>
      </c>
      <c r="B878" s="20" t="s">
        <v>949</v>
      </c>
      <c r="C878" s="40" t="s">
        <v>314</v>
      </c>
      <c r="D878" s="40" t="s">
        <v>133</v>
      </c>
      <c r="E878" s="2"/>
      <c r="F878" s="2"/>
      <c r="G878" s="6">
        <f>G879</f>
        <v>793.2</v>
      </c>
      <c r="H878" s="230"/>
    </row>
    <row r="879" spans="1:8" s="229" customFormat="1" ht="31.5" x14ac:dyDescent="0.25">
      <c r="A879" s="45" t="s">
        <v>800</v>
      </c>
      <c r="B879" s="20" t="s">
        <v>950</v>
      </c>
      <c r="C879" s="40" t="s">
        <v>314</v>
      </c>
      <c r="D879" s="40" t="s">
        <v>133</v>
      </c>
      <c r="E879" s="2"/>
      <c r="F879" s="2"/>
      <c r="G879" s="6">
        <f>G880</f>
        <v>793.2</v>
      </c>
      <c r="H879" s="230"/>
    </row>
    <row r="880" spans="1:8" s="229" customFormat="1" ht="31.5" x14ac:dyDescent="0.25">
      <c r="A880" s="25" t="s">
        <v>146</v>
      </c>
      <c r="B880" s="20" t="s">
        <v>950</v>
      </c>
      <c r="C880" s="40" t="s">
        <v>314</v>
      </c>
      <c r="D880" s="40" t="s">
        <v>133</v>
      </c>
      <c r="E880" s="2">
        <v>200</v>
      </c>
      <c r="F880" s="2"/>
      <c r="G880" s="6">
        <f>G881</f>
        <v>793.2</v>
      </c>
      <c r="H880" s="230"/>
    </row>
    <row r="881" spans="1:8" s="229" customFormat="1" ht="31.5" x14ac:dyDescent="0.25">
      <c r="A881" s="25" t="s">
        <v>148</v>
      </c>
      <c r="B881" s="20" t="s">
        <v>950</v>
      </c>
      <c r="C881" s="40" t="s">
        <v>314</v>
      </c>
      <c r="D881" s="40" t="s">
        <v>133</v>
      </c>
      <c r="E881" s="2">
        <v>240</v>
      </c>
      <c r="F881" s="2"/>
      <c r="G881" s="6">
        <f>'Пр.6 ведом.20'!G402</f>
        <v>793.2</v>
      </c>
      <c r="H881" s="230"/>
    </row>
    <row r="882" spans="1:8" s="229" customFormat="1" ht="47.25" x14ac:dyDescent="0.25">
      <c r="A882" s="25" t="s">
        <v>276</v>
      </c>
      <c r="B882" s="20" t="s">
        <v>950</v>
      </c>
      <c r="C882" s="40" t="s">
        <v>314</v>
      </c>
      <c r="D882" s="40" t="s">
        <v>133</v>
      </c>
      <c r="E882" s="2">
        <v>240</v>
      </c>
      <c r="F882" s="2">
        <v>903</v>
      </c>
      <c r="G882" s="6">
        <f>G881</f>
        <v>793.2</v>
      </c>
      <c r="H882" s="230"/>
    </row>
    <row r="883" spans="1:8" s="229" customFormat="1" ht="15.75" x14ac:dyDescent="0.25">
      <c r="A883" s="25" t="s">
        <v>505</v>
      </c>
      <c r="B883" s="20" t="s">
        <v>949</v>
      </c>
      <c r="C883" s="40" t="s">
        <v>506</v>
      </c>
      <c r="D883" s="40"/>
      <c r="E883" s="2"/>
      <c r="F883" s="2"/>
      <c r="G883" s="6">
        <f>G884</f>
        <v>540.1</v>
      </c>
      <c r="H883" s="230"/>
    </row>
    <row r="884" spans="1:8" s="229" customFormat="1" ht="15.75" x14ac:dyDescent="0.25">
      <c r="A884" s="25" t="s">
        <v>1282</v>
      </c>
      <c r="B884" s="20" t="s">
        <v>949</v>
      </c>
      <c r="C884" s="40" t="s">
        <v>506</v>
      </c>
      <c r="D884" s="40" t="s">
        <v>133</v>
      </c>
      <c r="E884" s="2"/>
      <c r="F884" s="2"/>
      <c r="G884" s="6">
        <f>G885</f>
        <v>540.1</v>
      </c>
      <c r="H884" s="230"/>
    </row>
    <row r="885" spans="1:8" s="229" customFormat="1" ht="47.25" x14ac:dyDescent="0.25">
      <c r="A885" s="45" t="s">
        <v>802</v>
      </c>
      <c r="B885" s="20" t="s">
        <v>1032</v>
      </c>
      <c r="C885" s="40" t="s">
        <v>506</v>
      </c>
      <c r="D885" s="40" t="s">
        <v>133</v>
      </c>
      <c r="E885" s="2"/>
      <c r="F885" s="2"/>
      <c r="G885" s="6">
        <f>G886</f>
        <v>540.1</v>
      </c>
      <c r="H885" s="230"/>
    </row>
    <row r="886" spans="1:8" s="229" customFormat="1" ht="31.5" x14ac:dyDescent="0.25">
      <c r="A886" s="29" t="s">
        <v>287</v>
      </c>
      <c r="B886" s="20" t="s">
        <v>1032</v>
      </c>
      <c r="C886" s="40" t="s">
        <v>506</v>
      </c>
      <c r="D886" s="40" t="s">
        <v>133</v>
      </c>
      <c r="E886" s="2">
        <v>600</v>
      </c>
      <c r="F886" s="2"/>
      <c r="G886" s="6">
        <f>G887</f>
        <v>540.1</v>
      </c>
      <c r="H886" s="230"/>
    </row>
    <row r="887" spans="1:8" s="229" customFormat="1" ht="15.75" x14ac:dyDescent="0.25">
      <c r="A887" s="195" t="s">
        <v>289</v>
      </c>
      <c r="B887" s="20" t="s">
        <v>1032</v>
      </c>
      <c r="C887" s="40" t="s">
        <v>506</v>
      </c>
      <c r="D887" s="40" t="s">
        <v>133</v>
      </c>
      <c r="E887" s="2">
        <v>610</v>
      </c>
      <c r="F887" s="2"/>
      <c r="G887" s="6">
        <f>'Пр.6 ведом.20'!G806</f>
        <v>540.1</v>
      </c>
      <c r="H887" s="230"/>
    </row>
    <row r="888" spans="1:8" s="229" customFormat="1" ht="31.5" x14ac:dyDescent="0.25">
      <c r="A888" s="45" t="s">
        <v>495</v>
      </c>
      <c r="B888" s="20" t="s">
        <v>1032</v>
      </c>
      <c r="C888" s="40" t="s">
        <v>506</v>
      </c>
      <c r="D888" s="40" t="s">
        <v>133</v>
      </c>
      <c r="E888" s="2">
        <v>610</v>
      </c>
      <c r="F888" s="2">
        <v>907</v>
      </c>
      <c r="G888" s="6">
        <f>G887</f>
        <v>540.1</v>
      </c>
      <c r="H888" s="230"/>
    </row>
    <row r="889" spans="1:8" s="229" customFormat="1" ht="15.75" x14ac:dyDescent="0.25">
      <c r="A889" s="29" t="s">
        <v>597</v>
      </c>
      <c r="B889" s="20" t="s">
        <v>949</v>
      </c>
      <c r="C889" s="40" t="s">
        <v>253</v>
      </c>
      <c r="D889" s="40"/>
      <c r="E889" s="2"/>
      <c r="F889" s="2"/>
      <c r="G889" s="6">
        <f>G890</f>
        <v>60</v>
      </c>
      <c r="H889" s="230"/>
    </row>
    <row r="890" spans="1:8" s="229" customFormat="1" ht="15.75" x14ac:dyDescent="0.25">
      <c r="A890" s="29" t="s">
        <v>598</v>
      </c>
      <c r="B890" s="20" t="s">
        <v>949</v>
      </c>
      <c r="C890" s="40" t="s">
        <v>253</v>
      </c>
      <c r="D890" s="40" t="s">
        <v>228</v>
      </c>
      <c r="E890" s="2"/>
      <c r="F890" s="2"/>
      <c r="G890" s="6">
        <f>G891</f>
        <v>60</v>
      </c>
      <c r="H890" s="230"/>
    </row>
    <row r="891" spans="1:8" s="229" customFormat="1" ht="31.5" x14ac:dyDescent="0.25">
      <c r="A891" s="45" t="s">
        <v>800</v>
      </c>
      <c r="B891" s="20" t="s">
        <v>950</v>
      </c>
      <c r="C891" s="40" t="s">
        <v>253</v>
      </c>
      <c r="D891" s="40" t="s">
        <v>228</v>
      </c>
      <c r="E891" s="2"/>
      <c r="F891" s="2"/>
      <c r="G891" s="6">
        <f>G892</f>
        <v>60</v>
      </c>
      <c r="H891" s="230"/>
    </row>
    <row r="892" spans="1:8" s="229" customFormat="1" ht="31.5" x14ac:dyDescent="0.25">
      <c r="A892" s="25" t="s">
        <v>146</v>
      </c>
      <c r="B892" s="20" t="s">
        <v>950</v>
      </c>
      <c r="C892" s="40" t="s">
        <v>253</v>
      </c>
      <c r="D892" s="40" t="s">
        <v>228</v>
      </c>
      <c r="E892" s="2">
        <v>200</v>
      </c>
      <c r="F892" s="2"/>
      <c r="G892" s="6">
        <f>G893</f>
        <v>60</v>
      </c>
      <c r="H892" s="230"/>
    </row>
    <row r="893" spans="1:8" s="229" customFormat="1" ht="31.5" x14ac:dyDescent="0.25">
      <c r="A893" s="25" t="s">
        <v>148</v>
      </c>
      <c r="B893" s="20" t="s">
        <v>950</v>
      </c>
      <c r="C893" s="40" t="s">
        <v>253</v>
      </c>
      <c r="D893" s="40" t="s">
        <v>228</v>
      </c>
      <c r="E893" s="2">
        <v>240</v>
      </c>
      <c r="F893" s="2"/>
      <c r="G893" s="6">
        <f>'Пр.6 ведом.20'!G479</f>
        <v>60</v>
      </c>
      <c r="H893" s="230"/>
    </row>
    <row r="894" spans="1:8" s="229" customFormat="1" ht="47.25" x14ac:dyDescent="0.25">
      <c r="A894" s="25" t="s">
        <v>276</v>
      </c>
      <c r="B894" s="20" t="s">
        <v>950</v>
      </c>
      <c r="C894" s="40" t="s">
        <v>253</v>
      </c>
      <c r="D894" s="40" t="s">
        <v>228</v>
      </c>
      <c r="E894" s="2">
        <v>240</v>
      </c>
      <c r="F894" s="2">
        <v>903</v>
      </c>
      <c r="G894" s="6">
        <f>G891</f>
        <v>60</v>
      </c>
      <c r="H894" s="230"/>
    </row>
    <row r="895" spans="1:8" s="229" customFormat="1" ht="31.5" x14ac:dyDescent="0.25">
      <c r="A895" s="274" t="s">
        <v>1195</v>
      </c>
      <c r="B895" s="24" t="s">
        <v>901</v>
      </c>
      <c r="C895" s="7"/>
      <c r="D895" s="7"/>
      <c r="E895" s="3"/>
      <c r="F895" s="3"/>
      <c r="G895" s="4">
        <f>G896</f>
        <v>15</v>
      </c>
      <c r="H895" s="230"/>
    </row>
    <row r="896" spans="1:8" s="229" customFormat="1" ht="15.75" x14ac:dyDescent="0.25">
      <c r="A896" s="287" t="s">
        <v>132</v>
      </c>
      <c r="B896" s="20" t="s">
        <v>901</v>
      </c>
      <c r="C896" s="40" t="s">
        <v>133</v>
      </c>
      <c r="D896" s="40"/>
      <c r="E896" s="2"/>
      <c r="F896" s="2"/>
      <c r="G896" s="6">
        <f>G897</f>
        <v>15</v>
      </c>
      <c r="H896" s="230"/>
    </row>
    <row r="897" spans="1:8" s="229" customFormat="1" ht="15.75" x14ac:dyDescent="0.25">
      <c r="A897" s="287" t="s">
        <v>154</v>
      </c>
      <c r="B897" s="20" t="s">
        <v>901</v>
      </c>
      <c r="C897" s="40" t="s">
        <v>133</v>
      </c>
      <c r="D897" s="40" t="s">
        <v>155</v>
      </c>
      <c r="E897" s="2"/>
      <c r="F897" s="2"/>
      <c r="G897" s="6">
        <f>G898</f>
        <v>15</v>
      </c>
      <c r="H897" s="230"/>
    </row>
    <row r="898" spans="1:8" ht="47.25" x14ac:dyDescent="0.25">
      <c r="A898" s="358" t="s">
        <v>1164</v>
      </c>
      <c r="B898" s="20" t="s">
        <v>896</v>
      </c>
      <c r="C898" s="40" t="s">
        <v>133</v>
      </c>
      <c r="D898" s="40" t="s">
        <v>155</v>
      </c>
      <c r="E898" s="2"/>
      <c r="F898" s="2"/>
      <c r="G898" s="6">
        <f t="shared" ref="G898:G899" si="113">G899</f>
        <v>15</v>
      </c>
    </row>
    <row r="899" spans="1:8" ht="31.5" x14ac:dyDescent="0.25">
      <c r="A899" s="25" t="s">
        <v>146</v>
      </c>
      <c r="B899" s="20" t="s">
        <v>896</v>
      </c>
      <c r="C899" s="40" t="s">
        <v>133</v>
      </c>
      <c r="D899" s="40" t="s">
        <v>155</v>
      </c>
      <c r="E899" s="2">
        <v>200</v>
      </c>
      <c r="F899" s="2"/>
      <c r="G899" s="6">
        <f t="shared" si="113"/>
        <v>15</v>
      </c>
    </row>
    <row r="900" spans="1:8" ht="31.5" x14ac:dyDescent="0.25">
      <c r="A900" s="25" t="s">
        <v>148</v>
      </c>
      <c r="B900" s="20" t="s">
        <v>896</v>
      </c>
      <c r="C900" s="40" t="s">
        <v>133</v>
      </c>
      <c r="D900" s="40" t="s">
        <v>155</v>
      </c>
      <c r="E900" s="2">
        <v>240</v>
      </c>
      <c r="F900" s="2"/>
      <c r="G900" s="6">
        <f>'Пр.6 ведом.20'!G120</f>
        <v>15</v>
      </c>
    </row>
    <row r="901" spans="1:8" ht="15.75" x14ac:dyDescent="0.25">
      <c r="A901" s="29" t="s">
        <v>163</v>
      </c>
      <c r="B901" s="20" t="s">
        <v>896</v>
      </c>
      <c r="C901" s="40" t="s">
        <v>133</v>
      </c>
      <c r="D901" s="40" t="s">
        <v>155</v>
      </c>
      <c r="E901" s="2">
        <v>240</v>
      </c>
      <c r="F901" s="2">
        <v>902</v>
      </c>
      <c r="G901" s="6">
        <f>G900</f>
        <v>15</v>
      </c>
    </row>
    <row r="902" spans="1:8" ht="63" x14ac:dyDescent="0.25">
      <c r="A902" s="23" t="s">
        <v>821</v>
      </c>
      <c r="B902" s="24" t="s">
        <v>733</v>
      </c>
      <c r="C902" s="7"/>
      <c r="D902" s="7"/>
      <c r="E902" s="3"/>
      <c r="F902" s="3"/>
      <c r="G902" s="4">
        <f>G903</f>
        <v>500</v>
      </c>
    </row>
    <row r="903" spans="1:8" s="229" customFormat="1" ht="31.5" x14ac:dyDescent="0.25">
      <c r="A903" s="23" t="s">
        <v>1256</v>
      </c>
      <c r="B903" s="24" t="s">
        <v>1300</v>
      </c>
      <c r="C903" s="7"/>
      <c r="D903" s="7"/>
      <c r="E903" s="3"/>
      <c r="F903" s="3"/>
      <c r="G903" s="4">
        <f>G904</f>
        <v>500</v>
      </c>
      <c r="H903" s="230"/>
    </row>
    <row r="904" spans="1:8" ht="15.75" x14ac:dyDescent="0.25">
      <c r="A904" s="25" t="s">
        <v>405</v>
      </c>
      <c r="B904" s="20" t="s">
        <v>882</v>
      </c>
      <c r="C904" s="40" t="s">
        <v>249</v>
      </c>
      <c r="D904" s="40"/>
      <c r="E904" s="2"/>
      <c r="F904" s="2"/>
      <c r="G904" s="6">
        <f t="shared" ref="G904:G907" si="114">G905</f>
        <v>500</v>
      </c>
    </row>
    <row r="905" spans="1:8" ht="15.75" x14ac:dyDescent="0.25">
      <c r="A905" s="25" t="s">
        <v>556</v>
      </c>
      <c r="B905" s="20" t="s">
        <v>882</v>
      </c>
      <c r="C905" s="40" t="s">
        <v>249</v>
      </c>
      <c r="D905" s="40" t="s">
        <v>230</v>
      </c>
      <c r="E905" s="2"/>
      <c r="F905" s="2"/>
      <c r="G905" s="6">
        <f t="shared" si="114"/>
        <v>500</v>
      </c>
    </row>
    <row r="906" spans="1:8" ht="47.25" x14ac:dyDescent="0.25">
      <c r="A906" s="81" t="s">
        <v>709</v>
      </c>
      <c r="B906" s="20" t="s">
        <v>882</v>
      </c>
      <c r="C906" s="40" t="s">
        <v>249</v>
      </c>
      <c r="D906" s="40" t="s">
        <v>230</v>
      </c>
      <c r="E906" s="2"/>
      <c r="F906" s="2"/>
      <c r="G906" s="6">
        <f t="shared" si="114"/>
        <v>500</v>
      </c>
    </row>
    <row r="907" spans="1:8" ht="31.5" x14ac:dyDescent="0.25">
      <c r="A907" s="25" t="s">
        <v>146</v>
      </c>
      <c r="B907" s="20" t="s">
        <v>882</v>
      </c>
      <c r="C907" s="40" t="s">
        <v>249</v>
      </c>
      <c r="D907" s="40" t="s">
        <v>230</v>
      </c>
      <c r="E907" s="2">
        <v>200</v>
      </c>
      <c r="F907" s="2"/>
      <c r="G907" s="6">
        <f t="shared" si="114"/>
        <v>500</v>
      </c>
    </row>
    <row r="908" spans="1:8" ht="31.5" x14ac:dyDescent="0.25">
      <c r="A908" s="25" t="s">
        <v>148</v>
      </c>
      <c r="B908" s="20" t="s">
        <v>882</v>
      </c>
      <c r="C908" s="40" t="s">
        <v>249</v>
      </c>
      <c r="D908" s="40" t="s">
        <v>230</v>
      </c>
      <c r="E908" s="2">
        <v>240</v>
      </c>
      <c r="F908" s="2"/>
      <c r="G908" s="6">
        <f>'Пр.6 ведом.20'!G1004</f>
        <v>500</v>
      </c>
    </row>
    <row r="909" spans="1:8" ht="31.5" x14ac:dyDescent="0.25">
      <c r="A909" s="45" t="s">
        <v>639</v>
      </c>
      <c r="B909" s="20" t="s">
        <v>882</v>
      </c>
      <c r="C909" s="40" t="s">
        <v>249</v>
      </c>
      <c r="D909" s="40" t="s">
        <v>230</v>
      </c>
      <c r="E909" s="2">
        <v>240</v>
      </c>
      <c r="F909" s="2">
        <v>908</v>
      </c>
      <c r="G909" s="6">
        <f t="shared" ref="G909" si="115">G902</f>
        <v>500</v>
      </c>
    </row>
    <row r="910" spans="1:8" s="201" customFormat="1" ht="63" x14ac:dyDescent="0.25">
      <c r="A910" s="58" t="s">
        <v>1188</v>
      </c>
      <c r="B910" s="24" t="s">
        <v>805</v>
      </c>
      <c r="C910" s="7"/>
      <c r="D910" s="7"/>
      <c r="E910" s="3"/>
      <c r="F910" s="3"/>
      <c r="G910" s="4">
        <f>G912</f>
        <v>239.82</v>
      </c>
      <c r="H910" s="233"/>
    </row>
    <row r="911" spans="1:8" s="201" customFormat="1" ht="31.5" x14ac:dyDescent="0.25">
      <c r="A911" s="23" t="s">
        <v>1007</v>
      </c>
      <c r="B911" s="24" t="s">
        <v>1189</v>
      </c>
      <c r="C911" s="7"/>
      <c r="D911" s="7"/>
      <c r="E911" s="3"/>
      <c r="F911" s="3"/>
      <c r="G911" s="4">
        <f>G912</f>
        <v>239.82</v>
      </c>
      <c r="H911" s="233"/>
    </row>
    <row r="912" spans="1:8" ht="15.75" x14ac:dyDescent="0.25">
      <c r="A912" s="45" t="s">
        <v>132</v>
      </c>
      <c r="B912" s="20" t="s">
        <v>1189</v>
      </c>
      <c r="C912" s="40" t="s">
        <v>133</v>
      </c>
      <c r="D912" s="40"/>
      <c r="E912" s="2"/>
      <c r="F912" s="2"/>
      <c r="G912" s="6">
        <f>G913</f>
        <v>239.82</v>
      </c>
    </row>
    <row r="913" spans="1:8" ht="15.75" x14ac:dyDescent="0.25">
      <c r="A913" s="45" t="s">
        <v>154</v>
      </c>
      <c r="B913" s="20" t="s">
        <v>1189</v>
      </c>
      <c r="C913" s="40" t="s">
        <v>133</v>
      </c>
      <c r="D913" s="40" t="s">
        <v>155</v>
      </c>
      <c r="E913" s="2"/>
      <c r="F913" s="2"/>
      <c r="G913" s="6">
        <f>G914</f>
        <v>239.82</v>
      </c>
    </row>
    <row r="914" spans="1:8" ht="31.5" x14ac:dyDescent="0.25">
      <c r="A914" s="45" t="s">
        <v>815</v>
      </c>
      <c r="B914" s="20" t="s">
        <v>1190</v>
      </c>
      <c r="C914" s="40" t="s">
        <v>133</v>
      </c>
      <c r="D914" s="40" t="s">
        <v>155</v>
      </c>
      <c r="E914" s="2"/>
      <c r="F914" s="2"/>
      <c r="G914" s="6">
        <f>G915</f>
        <v>239.82</v>
      </c>
    </row>
    <row r="915" spans="1:8" ht="31.5" x14ac:dyDescent="0.25">
      <c r="A915" s="45" t="s">
        <v>146</v>
      </c>
      <c r="B915" s="20" t="s">
        <v>1190</v>
      </c>
      <c r="C915" s="40" t="s">
        <v>133</v>
      </c>
      <c r="D915" s="40" t="s">
        <v>155</v>
      </c>
      <c r="E915" s="2">
        <v>200</v>
      </c>
      <c r="F915" s="2"/>
      <c r="G915" s="6">
        <f>G916</f>
        <v>239.82</v>
      </c>
    </row>
    <row r="916" spans="1:8" ht="31.5" x14ac:dyDescent="0.25">
      <c r="A916" s="45" t="s">
        <v>148</v>
      </c>
      <c r="B916" s="20" t="s">
        <v>1190</v>
      </c>
      <c r="C916" s="40" t="s">
        <v>133</v>
      </c>
      <c r="D916" s="40" t="s">
        <v>155</v>
      </c>
      <c r="E916" s="2">
        <v>240</v>
      </c>
      <c r="F916" s="2"/>
      <c r="G916" s="6">
        <f>'Пр.6 ведом.20'!G512</f>
        <v>239.82</v>
      </c>
    </row>
    <row r="917" spans="1:8" ht="31.5" x14ac:dyDescent="0.25">
      <c r="A917" s="45" t="s">
        <v>402</v>
      </c>
      <c r="B917" s="20" t="s">
        <v>1190</v>
      </c>
      <c r="C917" s="40" t="s">
        <v>133</v>
      </c>
      <c r="D917" s="40" t="s">
        <v>155</v>
      </c>
      <c r="E917" s="2">
        <v>240</v>
      </c>
      <c r="F917" s="2">
        <v>905</v>
      </c>
      <c r="G917" s="6">
        <f>G910</f>
        <v>239.82</v>
      </c>
    </row>
    <row r="918" spans="1:8" ht="78.75" x14ac:dyDescent="0.25">
      <c r="A918" s="41" t="s">
        <v>1191</v>
      </c>
      <c r="B918" s="24" t="s">
        <v>862</v>
      </c>
      <c r="C918" s="7"/>
      <c r="D918" s="7"/>
      <c r="E918" s="3"/>
      <c r="F918" s="3"/>
      <c r="G918" s="4">
        <f>G920</f>
        <v>30</v>
      </c>
    </row>
    <row r="919" spans="1:8" s="229" customFormat="1" ht="47.25" x14ac:dyDescent="0.25">
      <c r="A919" s="275" t="s">
        <v>902</v>
      </c>
      <c r="B919" s="24" t="s">
        <v>1273</v>
      </c>
      <c r="C919" s="7"/>
      <c r="D919" s="7"/>
      <c r="E919" s="3"/>
      <c r="F919" s="3"/>
      <c r="G919" s="4">
        <f>G920</f>
        <v>30</v>
      </c>
      <c r="H919" s="230"/>
    </row>
    <row r="920" spans="1:8" ht="15.75" x14ac:dyDescent="0.25">
      <c r="A920" s="45" t="s">
        <v>132</v>
      </c>
      <c r="B920" s="20" t="s">
        <v>1273</v>
      </c>
      <c r="C920" s="40" t="s">
        <v>133</v>
      </c>
      <c r="D920" s="40"/>
      <c r="E920" s="2"/>
      <c r="F920" s="2"/>
      <c r="G920" s="6">
        <f>G921</f>
        <v>30</v>
      </c>
    </row>
    <row r="921" spans="1:8" ht="15.75" x14ac:dyDescent="0.25">
      <c r="A921" s="45" t="s">
        <v>154</v>
      </c>
      <c r="B921" s="20" t="s">
        <v>1273</v>
      </c>
      <c r="C921" s="40" t="s">
        <v>133</v>
      </c>
      <c r="D921" s="40" t="s">
        <v>155</v>
      </c>
      <c r="E921" s="2"/>
      <c r="F921" s="2"/>
      <c r="G921" s="6">
        <f>G922</f>
        <v>30</v>
      </c>
    </row>
    <row r="922" spans="1:8" ht="31.5" x14ac:dyDescent="0.25">
      <c r="A922" s="100" t="s">
        <v>186</v>
      </c>
      <c r="B922" s="20" t="s">
        <v>903</v>
      </c>
      <c r="C922" s="40" t="s">
        <v>133</v>
      </c>
      <c r="D922" s="40" t="s">
        <v>155</v>
      </c>
      <c r="E922" s="2"/>
      <c r="F922" s="2"/>
      <c r="G922" s="6">
        <f>G923</f>
        <v>30</v>
      </c>
    </row>
    <row r="923" spans="1:8" ht="31.5" x14ac:dyDescent="0.25">
      <c r="A923" s="45" t="s">
        <v>146</v>
      </c>
      <c r="B923" s="20" t="s">
        <v>903</v>
      </c>
      <c r="C923" s="40" t="s">
        <v>133</v>
      </c>
      <c r="D923" s="40" t="s">
        <v>155</v>
      </c>
      <c r="E923" s="2">
        <v>200</v>
      </c>
      <c r="F923" s="2"/>
      <c r="G923" s="6">
        <f>G924</f>
        <v>30</v>
      </c>
    </row>
    <row r="924" spans="1:8" ht="31.5" x14ac:dyDescent="0.25">
      <c r="A924" s="45" t="s">
        <v>148</v>
      </c>
      <c r="B924" s="20" t="s">
        <v>903</v>
      </c>
      <c r="C924" s="40" t="s">
        <v>133</v>
      </c>
      <c r="D924" s="40" t="s">
        <v>155</v>
      </c>
      <c r="E924" s="2">
        <v>240</v>
      </c>
      <c r="F924" s="2"/>
      <c r="G924" s="6">
        <f>'Пр.6 ведом.20'!G125</f>
        <v>30</v>
      </c>
    </row>
    <row r="925" spans="1:8" ht="15.75" x14ac:dyDescent="0.25">
      <c r="A925" s="29" t="s">
        <v>163</v>
      </c>
      <c r="B925" s="20" t="s">
        <v>903</v>
      </c>
      <c r="C925" s="40" t="s">
        <v>133</v>
      </c>
      <c r="D925" s="40" t="s">
        <v>155</v>
      </c>
      <c r="E925" s="2">
        <v>240</v>
      </c>
      <c r="F925" s="2">
        <v>902</v>
      </c>
      <c r="G925" s="6">
        <f>G918</f>
        <v>30</v>
      </c>
    </row>
    <row r="926" spans="1:8" ht="63" x14ac:dyDescent="0.25">
      <c r="A926" s="41" t="s">
        <v>1193</v>
      </c>
      <c r="B926" s="24" t="s">
        <v>863</v>
      </c>
      <c r="C926" s="7"/>
      <c r="D926" s="7"/>
      <c r="E926" s="3"/>
      <c r="F926" s="3"/>
      <c r="G926" s="4">
        <f>G928</f>
        <v>80</v>
      </c>
    </row>
    <row r="927" spans="1:8" s="229" customFormat="1" ht="31.5" x14ac:dyDescent="0.25">
      <c r="A927" s="58" t="s">
        <v>904</v>
      </c>
      <c r="B927" s="24" t="s">
        <v>912</v>
      </c>
      <c r="C927" s="7"/>
      <c r="D927" s="7"/>
      <c r="E927" s="3"/>
      <c r="F927" s="3"/>
      <c r="G927" s="4">
        <f>G928</f>
        <v>80</v>
      </c>
      <c r="H927" s="230"/>
    </row>
    <row r="928" spans="1:8" ht="15.75" x14ac:dyDescent="0.25">
      <c r="A928" s="45" t="s">
        <v>132</v>
      </c>
      <c r="B928" s="20" t="s">
        <v>912</v>
      </c>
      <c r="C928" s="40" t="s">
        <v>133</v>
      </c>
      <c r="D928" s="40"/>
      <c r="E928" s="2"/>
      <c r="F928" s="2"/>
      <c r="G928" s="6">
        <f>G929</f>
        <v>80</v>
      </c>
    </row>
    <row r="929" spans="1:9" ht="15.75" x14ac:dyDescent="0.25">
      <c r="A929" s="45" t="s">
        <v>154</v>
      </c>
      <c r="B929" s="20" t="s">
        <v>912</v>
      </c>
      <c r="C929" s="40" t="s">
        <v>133</v>
      </c>
      <c r="D929" s="40" t="s">
        <v>155</v>
      </c>
      <c r="E929" s="2"/>
      <c r="F929" s="2"/>
      <c r="G929" s="6">
        <f>G930</f>
        <v>80</v>
      </c>
    </row>
    <row r="930" spans="1:9" ht="15.75" x14ac:dyDescent="0.25">
      <c r="A930" s="45" t="s">
        <v>190</v>
      </c>
      <c r="B930" s="20" t="s">
        <v>905</v>
      </c>
      <c r="C930" s="40" t="s">
        <v>133</v>
      </c>
      <c r="D930" s="40" t="s">
        <v>155</v>
      </c>
      <c r="E930" s="2"/>
      <c r="F930" s="2"/>
      <c r="G930" s="6">
        <f>G931</f>
        <v>80</v>
      </c>
    </row>
    <row r="931" spans="1:9" ht="31.5" x14ac:dyDescent="0.25">
      <c r="A931" s="45" t="s">
        <v>146</v>
      </c>
      <c r="B931" s="20" t="s">
        <v>905</v>
      </c>
      <c r="C931" s="40" t="s">
        <v>133</v>
      </c>
      <c r="D931" s="40" t="s">
        <v>155</v>
      </c>
      <c r="E931" s="2">
        <v>200</v>
      </c>
      <c r="F931" s="2"/>
      <c r="G931" s="6">
        <f>G932</f>
        <v>80</v>
      </c>
    </row>
    <row r="932" spans="1:9" ht="31.5" x14ac:dyDescent="0.25">
      <c r="A932" s="45" t="s">
        <v>148</v>
      </c>
      <c r="B932" s="20" t="s">
        <v>905</v>
      </c>
      <c r="C932" s="40" t="s">
        <v>133</v>
      </c>
      <c r="D932" s="40" t="s">
        <v>155</v>
      </c>
      <c r="E932" s="2">
        <v>240</v>
      </c>
      <c r="F932" s="2"/>
      <c r="G932" s="6">
        <f>'Пр.6 ведом.20'!G130</f>
        <v>80</v>
      </c>
    </row>
    <row r="933" spans="1:9" ht="15.75" x14ac:dyDescent="0.25">
      <c r="A933" s="29" t="s">
        <v>163</v>
      </c>
      <c r="B933" s="20" t="s">
        <v>905</v>
      </c>
      <c r="C933" s="40" t="s">
        <v>133</v>
      </c>
      <c r="D933" s="40" t="s">
        <v>155</v>
      </c>
      <c r="E933" s="2">
        <v>240</v>
      </c>
      <c r="F933" s="2">
        <v>902</v>
      </c>
      <c r="G933" s="6">
        <f>G926</f>
        <v>80</v>
      </c>
    </row>
    <row r="934" spans="1:9" s="229" customFormat="1" ht="47.25" x14ac:dyDescent="0.25">
      <c r="A934" s="23" t="s">
        <v>1384</v>
      </c>
      <c r="B934" s="24" t="s">
        <v>1383</v>
      </c>
      <c r="C934" s="40"/>
      <c r="D934" s="40"/>
      <c r="E934" s="2"/>
      <c r="F934" s="2"/>
      <c r="G934" s="4">
        <f t="shared" ref="G934:G940" si="116">G935</f>
        <v>120</v>
      </c>
      <c r="H934" s="230"/>
    </row>
    <row r="935" spans="1:9" s="229" customFormat="1" ht="31.5" x14ac:dyDescent="0.25">
      <c r="A935" s="23" t="s">
        <v>1385</v>
      </c>
      <c r="B935" s="24" t="s">
        <v>1386</v>
      </c>
      <c r="C935" s="40"/>
      <c r="D935" s="40"/>
      <c r="E935" s="2"/>
      <c r="F935" s="2"/>
      <c r="G935" s="4">
        <f t="shared" si="116"/>
        <v>120</v>
      </c>
      <c r="H935" s="230"/>
    </row>
    <row r="936" spans="1:9" s="229" customFormat="1" ht="15.75" x14ac:dyDescent="0.25">
      <c r="A936" s="29" t="s">
        <v>405</v>
      </c>
      <c r="B936" s="20" t="s">
        <v>1386</v>
      </c>
      <c r="C936" s="40" t="s">
        <v>249</v>
      </c>
      <c r="D936" s="40"/>
      <c r="E936" s="2"/>
      <c r="F936" s="2"/>
      <c r="G936" s="6">
        <f t="shared" si="116"/>
        <v>120</v>
      </c>
      <c r="H936" s="230"/>
    </row>
    <row r="937" spans="1:9" s="229" customFormat="1" ht="15.75" x14ac:dyDescent="0.25">
      <c r="A937" s="29" t="s">
        <v>532</v>
      </c>
      <c r="B937" s="20" t="s">
        <v>1386</v>
      </c>
      <c r="C937" s="40" t="s">
        <v>249</v>
      </c>
      <c r="D937" s="40" t="s">
        <v>228</v>
      </c>
      <c r="E937" s="2"/>
      <c r="F937" s="2"/>
      <c r="G937" s="6">
        <f t="shared" si="116"/>
        <v>120</v>
      </c>
      <c r="H937" s="230"/>
    </row>
    <row r="938" spans="1:9" s="229" customFormat="1" ht="15.75" x14ac:dyDescent="0.25">
      <c r="A938" s="29" t="s">
        <v>1388</v>
      </c>
      <c r="B938" s="20" t="s">
        <v>1387</v>
      </c>
      <c r="C938" s="40" t="s">
        <v>249</v>
      </c>
      <c r="D938" s="40" t="s">
        <v>228</v>
      </c>
      <c r="E938" s="2"/>
      <c r="F938" s="2"/>
      <c r="G938" s="6">
        <f t="shared" si="116"/>
        <v>120</v>
      </c>
      <c r="H938" s="230"/>
    </row>
    <row r="939" spans="1:9" s="229" customFormat="1" ht="31.5" x14ac:dyDescent="0.25">
      <c r="A939" s="45" t="s">
        <v>146</v>
      </c>
      <c r="B939" s="20" t="s">
        <v>1387</v>
      </c>
      <c r="C939" s="40" t="s">
        <v>249</v>
      </c>
      <c r="D939" s="40" t="s">
        <v>228</v>
      </c>
      <c r="E939" s="2">
        <v>200</v>
      </c>
      <c r="F939" s="2"/>
      <c r="G939" s="6">
        <f t="shared" si="116"/>
        <v>120</v>
      </c>
      <c r="H939" s="230"/>
    </row>
    <row r="940" spans="1:9" s="229" customFormat="1" ht="31.5" x14ac:dyDescent="0.25">
      <c r="A940" s="45" t="s">
        <v>148</v>
      </c>
      <c r="B940" s="20" t="s">
        <v>1387</v>
      </c>
      <c r="C940" s="40" t="s">
        <v>249</v>
      </c>
      <c r="D940" s="40" t="s">
        <v>228</v>
      </c>
      <c r="E940" s="2">
        <v>240</v>
      </c>
      <c r="F940" s="2"/>
      <c r="G940" s="6">
        <f t="shared" si="116"/>
        <v>120</v>
      </c>
      <c r="H940" s="230"/>
    </row>
    <row r="941" spans="1:9" s="229" customFormat="1" ht="47.25" x14ac:dyDescent="0.25">
      <c r="A941" s="29" t="s">
        <v>1321</v>
      </c>
      <c r="B941" s="20" t="s">
        <v>1387</v>
      </c>
      <c r="C941" s="40" t="s">
        <v>249</v>
      </c>
      <c r="D941" s="40" t="s">
        <v>228</v>
      </c>
      <c r="E941" s="2">
        <v>240</v>
      </c>
      <c r="F941" s="2">
        <v>908</v>
      </c>
      <c r="G941" s="6">
        <f>'Пр.6 ведом.20'!G955</f>
        <v>120</v>
      </c>
      <c r="H941" s="230"/>
    </row>
    <row r="942" spans="1:9" ht="15.75" x14ac:dyDescent="0.25">
      <c r="A942" s="72" t="s">
        <v>673</v>
      </c>
      <c r="B942" s="72"/>
      <c r="C942" s="72"/>
      <c r="D942" s="72"/>
      <c r="E942" s="72"/>
      <c r="F942" s="72"/>
      <c r="G942" s="289">
        <f>G926+G918+G910+G902+G844+G809+G740+G683+G652+G503+G442+G434+G396+G384+G160+G27+G9+G759+G934</f>
        <v>472347.62</v>
      </c>
      <c r="H942" s="231"/>
      <c r="I942" s="22"/>
    </row>
    <row r="944" spans="1:9" hidden="1" x14ac:dyDescent="0.25">
      <c r="G944" s="231">
        <f>'Пр.6 ведом.20'!G1146</f>
        <v>472347.62</v>
      </c>
    </row>
    <row r="945" spans="7:7" hidden="1" x14ac:dyDescent="0.25">
      <c r="G945" s="231">
        <f>G944-G942</f>
        <v>0</v>
      </c>
    </row>
    <row r="946" spans="7:7" hidden="1" x14ac:dyDescent="0.25"/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9"/>
  </cols>
  <sheetData>
    <row r="1" spans="1:8" ht="15.75" x14ac:dyDescent="0.25">
      <c r="D1" s="1"/>
      <c r="F1" s="57" t="s">
        <v>632</v>
      </c>
    </row>
    <row r="2" spans="1:8" ht="15.75" x14ac:dyDescent="0.25">
      <c r="D2" s="1"/>
      <c r="F2" s="57" t="s">
        <v>607</v>
      </c>
    </row>
    <row r="3" spans="1:8" ht="15.75" x14ac:dyDescent="0.25">
      <c r="D3" s="1"/>
      <c r="F3" s="57" t="s">
        <v>760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478" t="s">
        <v>736</v>
      </c>
      <c r="B5" s="478"/>
      <c r="C5" s="478"/>
      <c r="D5" s="478"/>
      <c r="E5" s="478"/>
      <c r="F5" s="478"/>
      <c r="G5" s="478"/>
    </row>
    <row r="6" spans="1:8" ht="16.5" x14ac:dyDescent="0.25">
      <c r="A6" s="177"/>
      <c r="B6" s="177"/>
      <c r="C6" s="177"/>
      <c r="D6" s="177"/>
      <c r="E6" s="177"/>
      <c r="F6" s="177"/>
      <c r="G6" s="177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608</v>
      </c>
      <c r="B8" s="66" t="s">
        <v>633</v>
      </c>
      <c r="C8" s="66" t="s">
        <v>634</v>
      </c>
      <c r="D8" s="66" t="s">
        <v>635</v>
      </c>
      <c r="E8" s="66" t="s">
        <v>636</v>
      </c>
      <c r="F8" s="66" t="s">
        <v>637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638</v>
      </c>
      <c r="B10" s="7" t="s">
        <v>525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247</v>
      </c>
      <c r="B11" s="40" t="s">
        <v>525</v>
      </c>
      <c r="C11" s="40" t="s">
        <v>165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523</v>
      </c>
      <c r="B12" s="40" t="s">
        <v>525</v>
      </c>
      <c r="C12" s="40" t="s">
        <v>165</v>
      </c>
      <c r="D12" s="40" t="s">
        <v>234</v>
      </c>
      <c r="E12" s="40"/>
      <c r="F12" s="40"/>
      <c r="G12" s="6" t="e">
        <f>G13</f>
        <v>#REF!</v>
      </c>
    </row>
    <row r="13" spans="1:8" ht="15.75" x14ac:dyDescent="0.25">
      <c r="A13" s="29" t="s">
        <v>526</v>
      </c>
      <c r="B13" s="40" t="s">
        <v>527</v>
      </c>
      <c r="C13" s="40" t="s">
        <v>165</v>
      </c>
      <c r="D13" s="40" t="s">
        <v>234</v>
      </c>
      <c r="E13" s="40"/>
      <c r="F13" s="40"/>
      <c r="G13" s="6" t="e">
        <f>G14+G16</f>
        <v>#REF!</v>
      </c>
    </row>
    <row r="14" spans="1:8" ht="47.25" x14ac:dyDescent="0.25">
      <c r="A14" s="29" t="s">
        <v>146</v>
      </c>
      <c r="B14" s="40" t="s">
        <v>527</v>
      </c>
      <c r="C14" s="40" t="s">
        <v>165</v>
      </c>
      <c r="D14" s="40" t="s">
        <v>234</v>
      </c>
      <c r="E14" s="40" t="s">
        <v>147</v>
      </c>
      <c r="F14" s="40"/>
      <c r="G14" s="6" t="e">
        <f>G15</f>
        <v>#REF!</v>
      </c>
    </row>
    <row r="15" spans="1:8" ht="47.25" x14ac:dyDescent="0.25">
      <c r="A15" s="29" t="s">
        <v>148</v>
      </c>
      <c r="B15" s="40" t="s">
        <v>527</v>
      </c>
      <c r="C15" s="40" t="s">
        <v>165</v>
      </c>
      <c r="D15" s="40" t="s">
        <v>234</v>
      </c>
      <c r="E15" s="40" t="s">
        <v>149</v>
      </c>
      <c r="F15" s="40"/>
      <c r="G15" s="6" t="e">
        <f>'Пр.6 ведом.20'!#REF!</f>
        <v>#REF!</v>
      </c>
      <c r="H15" s="115"/>
    </row>
    <row r="16" spans="1:8" ht="15.75" x14ac:dyDescent="0.25">
      <c r="A16" s="25" t="s">
        <v>150</v>
      </c>
      <c r="B16" s="40" t="s">
        <v>527</v>
      </c>
      <c r="C16" s="40" t="s">
        <v>165</v>
      </c>
      <c r="D16" s="40" t="s">
        <v>234</v>
      </c>
      <c r="E16" s="40" t="s">
        <v>160</v>
      </c>
      <c r="F16" s="40"/>
      <c r="G16" s="6" t="e">
        <f>G17</f>
        <v>#REF!</v>
      </c>
    </row>
    <row r="17" spans="1:8" ht="31.5" x14ac:dyDescent="0.25">
      <c r="A17" s="25" t="s">
        <v>152</v>
      </c>
      <c r="B17" s="40" t="s">
        <v>527</v>
      </c>
      <c r="C17" s="40" t="s">
        <v>165</v>
      </c>
      <c r="D17" s="40" t="s">
        <v>234</v>
      </c>
      <c r="E17" s="40" t="s">
        <v>153</v>
      </c>
      <c r="F17" s="40"/>
      <c r="G17" s="6" t="e">
        <f>'Пр.6 ведом.20'!#REF!</f>
        <v>#REF!</v>
      </c>
      <c r="H17" s="115"/>
    </row>
    <row r="18" spans="1:8" ht="47.25" x14ac:dyDescent="0.25">
      <c r="A18" s="45" t="s">
        <v>639</v>
      </c>
      <c r="B18" s="40" t="s">
        <v>525</v>
      </c>
      <c r="C18" s="40" t="s">
        <v>165</v>
      </c>
      <c r="D18" s="40" t="s">
        <v>234</v>
      </c>
      <c r="E18" s="40"/>
      <c r="F18" s="40" t="s">
        <v>640</v>
      </c>
      <c r="G18" s="6" t="e">
        <f>G13</f>
        <v>#REF!</v>
      </c>
    </row>
    <row r="19" spans="1:8" ht="78.75" x14ac:dyDescent="0.25">
      <c r="A19" s="58" t="s">
        <v>358</v>
      </c>
      <c r="B19" s="7" t="s">
        <v>359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641</v>
      </c>
      <c r="B20" s="7" t="s">
        <v>361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258</v>
      </c>
      <c r="B21" s="40" t="s">
        <v>361</v>
      </c>
      <c r="C21" s="40" t="s">
        <v>259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267</v>
      </c>
      <c r="B22" s="40" t="s">
        <v>361</v>
      </c>
      <c r="C22" s="40" t="s">
        <v>259</v>
      </c>
      <c r="D22" s="40" t="s">
        <v>230</v>
      </c>
      <c r="E22" s="40"/>
      <c r="F22" s="40"/>
      <c r="G22" s="10" t="e">
        <f>G23+G28</f>
        <v>#REF!</v>
      </c>
    </row>
    <row r="23" spans="1:8" ht="47.25" x14ac:dyDescent="0.25">
      <c r="A23" s="29" t="s">
        <v>172</v>
      </c>
      <c r="B23" s="40" t="s">
        <v>642</v>
      </c>
      <c r="C23" s="40" t="s">
        <v>259</v>
      </c>
      <c r="D23" s="40" t="s">
        <v>230</v>
      </c>
      <c r="E23" s="40"/>
      <c r="F23" s="40"/>
      <c r="G23" s="10" t="e">
        <f>G26</f>
        <v>#REF!</v>
      </c>
    </row>
    <row r="24" spans="1:8" ht="110.25" hidden="1" x14ac:dyDescent="0.25">
      <c r="A24" s="25" t="s">
        <v>142</v>
      </c>
      <c r="B24" s="40" t="s">
        <v>642</v>
      </c>
      <c r="C24" s="40" t="s">
        <v>259</v>
      </c>
      <c r="D24" s="40" t="s">
        <v>230</v>
      </c>
      <c r="E24" s="40" t="s">
        <v>143</v>
      </c>
      <c r="F24" s="40"/>
      <c r="G24" s="10">
        <f>G25</f>
        <v>0</v>
      </c>
    </row>
    <row r="25" spans="1:8" ht="47.25" hidden="1" x14ac:dyDescent="0.25">
      <c r="A25" s="25" t="s">
        <v>144</v>
      </c>
      <c r="B25" s="40" t="s">
        <v>642</v>
      </c>
      <c r="C25" s="40" t="s">
        <v>259</v>
      </c>
      <c r="D25" s="40" t="s">
        <v>230</v>
      </c>
      <c r="E25" s="40" t="s">
        <v>145</v>
      </c>
      <c r="F25" s="40"/>
      <c r="G25" s="10"/>
    </row>
    <row r="26" spans="1:8" ht="47.25" x14ac:dyDescent="0.25">
      <c r="A26" s="29" t="s">
        <v>146</v>
      </c>
      <c r="B26" s="40" t="s">
        <v>642</v>
      </c>
      <c r="C26" s="40" t="s">
        <v>259</v>
      </c>
      <c r="D26" s="40" t="s">
        <v>230</v>
      </c>
      <c r="E26" s="40" t="s">
        <v>147</v>
      </c>
      <c r="F26" s="40"/>
      <c r="G26" s="10" t="e">
        <f>G27</f>
        <v>#REF!</v>
      </c>
    </row>
    <row r="27" spans="1:8" ht="47.25" x14ac:dyDescent="0.25">
      <c r="A27" s="29" t="s">
        <v>148</v>
      </c>
      <c r="B27" s="40" t="s">
        <v>642</v>
      </c>
      <c r="C27" s="40" t="s">
        <v>259</v>
      </c>
      <c r="D27" s="40" t="s">
        <v>230</v>
      </c>
      <c r="E27" s="40" t="s">
        <v>149</v>
      </c>
      <c r="F27" s="40"/>
      <c r="G27" s="6" t="e">
        <f>'Пр.6 ведом.20'!#REF!</f>
        <v>#REF!</v>
      </c>
    </row>
    <row r="28" spans="1:8" ht="47.25" x14ac:dyDescent="0.25">
      <c r="A28" s="25" t="s">
        <v>365</v>
      </c>
      <c r="B28" s="20" t="s">
        <v>366</v>
      </c>
      <c r="C28" s="40" t="s">
        <v>259</v>
      </c>
      <c r="D28" s="40" t="s">
        <v>230</v>
      </c>
      <c r="E28" s="40"/>
      <c r="F28" s="40"/>
      <c r="G28" s="10" t="e">
        <f>G29</f>
        <v>#REF!</v>
      </c>
    </row>
    <row r="29" spans="1:8" ht="63" x14ac:dyDescent="0.25">
      <c r="A29" s="25" t="s">
        <v>287</v>
      </c>
      <c r="B29" s="20" t="s">
        <v>366</v>
      </c>
      <c r="C29" s="40" t="s">
        <v>259</v>
      </c>
      <c r="D29" s="40" t="s">
        <v>230</v>
      </c>
      <c r="E29" s="40" t="s">
        <v>288</v>
      </c>
      <c r="F29" s="40"/>
      <c r="G29" s="10" t="e">
        <f>G30</f>
        <v>#REF!</v>
      </c>
    </row>
    <row r="30" spans="1:8" ht="15.75" x14ac:dyDescent="0.25">
      <c r="A30" s="25" t="s">
        <v>289</v>
      </c>
      <c r="B30" s="20" t="s">
        <v>366</v>
      </c>
      <c r="C30" s="40" t="s">
        <v>259</v>
      </c>
      <c r="D30" s="40" t="s">
        <v>230</v>
      </c>
      <c r="E30" s="40" t="s">
        <v>290</v>
      </c>
      <c r="F30" s="40"/>
      <c r="G30" s="10" t="e">
        <f>'Пр.6 ведом.20'!#REF!</f>
        <v>#REF!</v>
      </c>
      <c r="H30" s="115"/>
    </row>
    <row r="31" spans="1:8" ht="63" x14ac:dyDescent="0.25">
      <c r="A31" s="45" t="s">
        <v>276</v>
      </c>
      <c r="B31" s="20" t="s">
        <v>361</v>
      </c>
      <c r="C31" s="40" t="s">
        <v>259</v>
      </c>
      <c r="D31" s="40" t="s">
        <v>230</v>
      </c>
      <c r="E31" s="40"/>
      <c r="F31" s="40" t="s">
        <v>643</v>
      </c>
      <c r="G31" s="6" t="e">
        <f>G20</f>
        <v>#REF!</v>
      </c>
    </row>
    <row r="32" spans="1:8" ht="47.25" x14ac:dyDescent="0.25">
      <c r="A32" s="58" t="s">
        <v>644</v>
      </c>
      <c r="B32" s="7" t="s">
        <v>368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258</v>
      </c>
      <c r="B33" s="40" t="s">
        <v>368</v>
      </c>
      <c r="C33" s="40" t="s">
        <v>259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267</v>
      </c>
      <c r="B34" s="40" t="s">
        <v>368</v>
      </c>
      <c r="C34" s="40" t="s">
        <v>259</v>
      </c>
      <c r="D34" s="40" t="s">
        <v>230</v>
      </c>
      <c r="E34" s="40"/>
      <c r="F34" s="40"/>
      <c r="G34" s="10" t="e">
        <f>G35</f>
        <v>#REF!</v>
      </c>
    </row>
    <row r="35" spans="1:7" ht="31.5" x14ac:dyDescent="0.25">
      <c r="A35" s="25" t="s">
        <v>630</v>
      </c>
      <c r="B35" s="20" t="s">
        <v>631</v>
      </c>
      <c r="C35" s="40" t="s">
        <v>259</v>
      </c>
      <c r="D35" s="40" t="s">
        <v>230</v>
      </c>
      <c r="E35" s="40"/>
      <c r="F35" s="40"/>
      <c r="G35" s="10" t="e">
        <f>G36</f>
        <v>#REF!</v>
      </c>
    </row>
    <row r="36" spans="1:7" ht="31.5" x14ac:dyDescent="0.25">
      <c r="A36" s="29" t="s">
        <v>263</v>
      </c>
      <c r="B36" s="20" t="s">
        <v>631</v>
      </c>
      <c r="C36" s="40" t="s">
        <v>259</v>
      </c>
      <c r="D36" s="40" t="s">
        <v>230</v>
      </c>
      <c r="E36" s="40" t="s">
        <v>264</v>
      </c>
      <c r="F36" s="40"/>
      <c r="G36" s="10" t="e">
        <f>G37</f>
        <v>#REF!</v>
      </c>
    </row>
    <row r="37" spans="1:7" ht="47.25" x14ac:dyDescent="0.25">
      <c r="A37" s="29" t="s">
        <v>265</v>
      </c>
      <c r="B37" s="20" t="s">
        <v>631</v>
      </c>
      <c r="C37" s="40" t="s">
        <v>259</v>
      </c>
      <c r="D37" s="40" t="s">
        <v>230</v>
      </c>
      <c r="E37" s="40" t="s">
        <v>266</v>
      </c>
      <c r="F37" s="40"/>
      <c r="G37" s="10" t="e">
        <f>'Пр.6 ведом.20'!#REF!</f>
        <v>#REF!</v>
      </c>
    </row>
    <row r="38" spans="1:7" ht="63" x14ac:dyDescent="0.25">
      <c r="A38" s="45" t="s">
        <v>276</v>
      </c>
      <c r="B38" s="20" t="s">
        <v>368</v>
      </c>
      <c r="C38" s="40" t="s">
        <v>259</v>
      </c>
      <c r="D38" s="40" t="s">
        <v>230</v>
      </c>
      <c r="E38" s="40"/>
      <c r="F38" s="40" t="s">
        <v>643</v>
      </c>
      <c r="G38" s="10" t="e">
        <f>G32</f>
        <v>#REF!</v>
      </c>
    </row>
    <row r="39" spans="1:7" ht="47.25" x14ac:dyDescent="0.25">
      <c r="A39" s="58" t="s">
        <v>645</v>
      </c>
      <c r="B39" s="7" t="s">
        <v>371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258</v>
      </c>
      <c r="B40" s="40" t="s">
        <v>371</v>
      </c>
      <c r="C40" s="40" t="s">
        <v>259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267</v>
      </c>
      <c r="B41" s="40" t="s">
        <v>371</v>
      </c>
      <c r="C41" s="40" t="s">
        <v>259</v>
      </c>
      <c r="D41" s="40" t="s">
        <v>230</v>
      </c>
      <c r="E41" s="40"/>
      <c r="F41" s="40"/>
      <c r="G41" s="10" t="e">
        <f>G42</f>
        <v>#REF!</v>
      </c>
    </row>
    <row r="42" spans="1:7" ht="47.25" x14ac:dyDescent="0.25">
      <c r="A42" s="29" t="s">
        <v>172</v>
      </c>
      <c r="B42" s="40" t="s">
        <v>646</v>
      </c>
      <c r="C42" s="40" t="s">
        <v>259</v>
      </c>
      <c r="D42" s="40" t="s">
        <v>230</v>
      </c>
      <c r="E42" s="40"/>
      <c r="F42" s="40"/>
      <c r="G42" s="10" t="e">
        <f>G43</f>
        <v>#REF!</v>
      </c>
    </row>
    <row r="43" spans="1:7" ht="31.5" x14ac:dyDescent="0.25">
      <c r="A43" s="29" t="s">
        <v>263</v>
      </c>
      <c r="B43" s="40" t="s">
        <v>646</v>
      </c>
      <c r="C43" s="40" t="s">
        <v>259</v>
      </c>
      <c r="D43" s="40" t="s">
        <v>230</v>
      </c>
      <c r="E43" s="40" t="s">
        <v>264</v>
      </c>
      <c r="F43" s="40"/>
      <c r="G43" s="10" t="e">
        <f>G44</f>
        <v>#REF!</v>
      </c>
    </row>
    <row r="44" spans="1:7" ht="31.5" x14ac:dyDescent="0.25">
      <c r="A44" s="29" t="s">
        <v>363</v>
      </c>
      <c r="B44" s="40" t="s">
        <v>646</v>
      </c>
      <c r="C44" s="40" t="s">
        <v>259</v>
      </c>
      <c r="D44" s="40" t="s">
        <v>230</v>
      </c>
      <c r="E44" s="40" t="s">
        <v>364</v>
      </c>
      <c r="F44" s="40"/>
      <c r="G44" s="10" t="e">
        <f>'Пр.6 ведом.20'!#REF!</f>
        <v>#REF!</v>
      </c>
    </row>
    <row r="45" spans="1:7" ht="63" x14ac:dyDescent="0.25">
      <c r="A45" s="45" t="s">
        <v>276</v>
      </c>
      <c r="B45" s="40" t="s">
        <v>371</v>
      </c>
      <c r="C45" s="40" t="s">
        <v>259</v>
      </c>
      <c r="D45" s="40" t="s">
        <v>230</v>
      </c>
      <c r="E45" s="40"/>
      <c r="F45" s="40" t="s">
        <v>643</v>
      </c>
      <c r="G45" s="10" t="e">
        <f>G39</f>
        <v>#REF!</v>
      </c>
    </row>
    <row r="46" spans="1:7" ht="31.5" x14ac:dyDescent="0.25">
      <c r="A46" s="58" t="s">
        <v>647</v>
      </c>
      <c r="B46" s="7" t="s">
        <v>374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258</v>
      </c>
      <c r="B47" s="40" t="s">
        <v>374</v>
      </c>
      <c r="C47" s="40" t="s">
        <v>259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267</v>
      </c>
      <c r="B48" s="40" t="s">
        <v>374</v>
      </c>
      <c r="C48" s="40" t="s">
        <v>259</v>
      </c>
      <c r="D48" s="40" t="s">
        <v>230</v>
      </c>
      <c r="E48" s="40"/>
      <c r="F48" s="40"/>
      <c r="G48" s="10" t="e">
        <f>G49</f>
        <v>#REF!</v>
      </c>
    </row>
    <row r="49" spans="1:7" ht="47.25" x14ac:dyDescent="0.25">
      <c r="A49" s="29" t="s">
        <v>172</v>
      </c>
      <c r="B49" s="40" t="s">
        <v>648</v>
      </c>
      <c r="C49" s="40" t="s">
        <v>259</v>
      </c>
      <c r="D49" s="40" t="s">
        <v>230</v>
      </c>
      <c r="E49" s="40"/>
      <c r="F49" s="40"/>
      <c r="G49" s="10" t="e">
        <f>G50+G52</f>
        <v>#REF!</v>
      </c>
    </row>
    <row r="50" spans="1:7" ht="47.25" x14ac:dyDescent="0.25">
      <c r="A50" s="29" t="s">
        <v>146</v>
      </c>
      <c r="B50" s="40" t="s">
        <v>648</v>
      </c>
      <c r="C50" s="40" t="s">
        <v>259</v>
      </c>
      <c r="D50" s="40" t="s">
        <v>230</v>
      </c>
      <c r="E50" s="40" t="s">
        <v>147</v>
      </c>
      <c r="F50" s="40"/>
      <c r="G50" s="10" t="e">
        <f>G51</f>
        <v>#REF!</v>
      </c>
    </row>
    <row r="51" spans="1:7" ht="47.25" x14ac:dyDescent="0.25">
      <c r="A51" s="29" t="s">
        <v>148</v>
      </c>
      <c r="B51" s="40" t="s">
        <v>648</v>
      </c>
      <c r="C51" s="40" t="s">
        <v>259</v>
      </c>
      <c r="D51" s="40" t="s">
        <v>230</v>
      </c>
      <c r="E51" s="40" t="s">
        <v>149</v>
      </c>
      <c r="F51" s="40"/>
      <c r="G51" s="10" t="e">
        <f>'Пр.6 ведом.20'!#REF!</f>
        <v>#REF!</v>
      </c>
    </row>
    <row r="52" spans="1:7" ht="31.5" x14ac:dyDescent="0.25">
      <c r="A52" s="29" t="s">
        <v>263</v>
      </c>
      <c r="B52" s="40" t="s">
        <v>648</v>
      </c>
      <c r="C52" s="40" t="s">
        <v>259</v>
      </c>
      <c r="D52" s="40" t="s">
        <v>230</v>
      </c>
      <c r="E52" s="40" t="s">
        <v>264</v>
      </c>
      <c r="F52" s="40"/>
      <c r="G52" s="10" t="e">
        <f>G53</f>
        <v>#REF!</v>
      </c>
    </row>
    <row r="53" spans="1:7" ht="31.5" x14ac:dyDescent="0.25">
      <c r="A53" s="29" t="s">
        <v>363</v>
      </c>
      <c r="B53" s="40" t="s">
        <v>648</v>
      </c>
      <c r="C53" s="40" t="s">
        <v>259</v>
      </c>
      <c r="D53" s="40" t="s">
        <v>230</v>
      </c>
      <c r="E53" s="40" t="s">
        <v>364</v>
      </c>
      <c r="F53" s="40"/>
      <c r="G53" s="10" t="e">
        <f>'Пр.6 ведом.20'!#REF!</f>
        <v>#REF!</v>
      </c>
    </row>
    <row r="54" spans="1:7" ht="63" x14ac:dyDescent="0.25">
      <c r="A54" s="45" t="s">
        <v>276</v>
      </c>
      <c r="B54" s="40" t="s">
        <v>374</v>
      </c>
      <c r="C54" s="40" t="s">
        <v>259</v>
      </c>
      <c r="D54" s="40" t="s">
        <v>230</v>
      </c>
      <c r="E54" s="40"/>
      <c r="F54" s="40" t="s">
        <v>643</v>
      </c>
      <c r="G54" s="10" t="e">
        <f>G46</f>
        <v>#REF!</v>
      </c>
    </row>
    <row r="55" spans="1:7" ht="47.25" x14ac:dyDescent="0.25">
      <c r="A55" s="58" t="s">
        <v>649</v>
      </c>
      <c r="B55" s="7" t="s">
        <v>377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258</v>
      </c>
      <c r="B56" s="40" t="s">
        <v>377</v>
      </c>
      <c r="C56" s="40" t="s">
        <v>259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267</v>
      </c>
      <c r="B57" s="40" t="s">
        <v>377</v>
      </c>
      <c r="C57" s="40" t="s">
        <v>259</v>
      </c>
      <c r="D57" s="40" t="s">
        <v>230</v>
      </c>
      <c r="E57" s="40"/>
      <c r="F57" s="40"/>
      <c r="G57" s="10" t="e">
        <f>G58</f>
        <v>#REF!</v>
      </c>
    </row>
    <row r="58" spans="1:7" ht="47.25" x14ac:dyDescent="0.25">
      <c r="A58" s="29" t="s">
        <v>172</v>
      </c>
      <c r="B58" s="40" t="s">
        <v>650</v>
      </c>
      <c r="C58" s="40" t="s">
        <v>259</v>
      </c>
      <c r="D58" s="40" t="s">
        <v>230</v>
      </c>
      <c r="E58" s="40"/>
      <c r="F58" s="40"/>
      <c r="G58" s="10" t="e">
        <f>G59</f>
        <v>#REF!</v>
      </c>
    </row>
    <row r="59" spans="1:7" ht="31.5" x14ac:dyDescent="0.25">
      <c r="A59" s="29" t="s">
        <v>263</v>
      </c>
      <c r="B59" s="40" t="s">
        <v>650</v>
      </c>
      <c r="C59" s="40" t="s">
        <v>259</v>
      </c>
      <c r="D59" s="40" t="s">
        <v>230</v>
      </c>
      <c r="E59" s="40" t="s">
        <v>264</v>
      </c>
      <c r="F59" s="40"/>
      <c r="G59" s="10" t="e">
        <f>G60</f>
        <v>#REF!</v>
      </c>
    </row>
    <row r="60" spans="1:7" ht="31.5" x14ac:dyDescent="0.25">
      <c r="A60" s="29" t="s">
        <v>363</v>
      </c>
      <c r="B60" s="40" t="s">
        <v>650</v>
      </c>
      <c r="C60" s="40" t="s">
        <v>259</v>
      </c>
      <c r="D60" s="40" t="s">
        <v>230</v>
      </c>
      <c r="E60" s="40" t="s">
        <v>364</v>
      </c>
      <c r="F60" s="40"/>
      <c r="G60" s="10" t="e">
        <f>'Пр.6 ведом.20'!#REF!</f>
        <v>#REF!</v>
      </c>
    </row>
    <row r="61" spans="1:7" ht="63" x14ac:dyDescent="0.25">
      <c r="A61" s="45" t="s">
        <v>276</v>
      </c>
      <c r="B61" s="40" t="s">
        <v>377</v>
      </c>
      <c r="C61" s="40" t="s">
        <v>259</v>
      </c>
      <c r="D61" s="40" t="s">
        <v>230</v>
      </c>
      <c r="E61" s="40"/>
      <c r="F61" s="40" t="s">
        <v>643</v>
      </c>
      <c r="G61" s="10" t="e">
        <f>G55</f>
        <v>#REF!</v>
      </c>
    </row>
    <row r="62" spans="1:7" ht="78.75" x14ac:dyDescent="0.25">
      <c r="A62" s="58" t="s">
        <v>379</v>
      </c>
      <c r="B62" s="7" t="s">
        <v>380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258</v>
      </c>
      <c r="B63" s="40" t="s">
        <v>380</v>
      </c>
      <c r="C63" s="40" t="s">
        <v>259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267</v>
      </c>
      <c r="B64" s="40" t="s">
        <v>380</v>
      </c>
      <c r="C64" s="40" t="s">
        <v>259</v>
      </c>
      <c r="D64" s="40" t="s">
        <v>230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172</v>
      </c>
      <c r="B65" s="40" t="s">
        <v>651</v>
      </c>
      <c r="C65" s="40" t="s">
        <v>259</v>
      </c>
      <c r="D65" s="40" t="s">
        <v>230</v>
      </c>
      <c r="E65" s="40"/>
      <c r="F65" s="40"/>
      <c r="G65" s="10" t="e">
        <f>G66</f>
        <v>#REF!</v>
      </c>
    </row>
    <row r="66" spans="1:7" ht="47.25" x14ac:dyDescent="0.25">
      <c r="A66" s="29" t="s">
        <v>146</v>
      </c>
      <c r="B66" s="40" t="s">
        <v>651</v>
      </c>
      <c r="C66" s="40" t="s">
        <v>259</v>
      </c>
      <c r="D66" s="40" t="s">
        <v>230</v>
      </c>
      <c r="E66" s="40" t="s">
        <v>147</v>
      </c>
      <c r="F66" s="40"/>
      <c r="G66" s="10" t="e">
        <f>G67</f>
        <v>#REF!</v>
      </c>
    </row>
    <row r="67" spans="1:7" ht="47.25" x14ac:dyDescent="0.25">
      <c r="A67" s="29" t="s">
        <v>148</v>
      </c>
      <c r="B67" s="40" t="s">
        <v>651</v>
      </c>
      <c r="C67" s="40" t="s">
        <v>259</v>
      </c>
      <c r="D67" s="40" t="s">
        <v>230</v>
      </c>
      <c r="E67" s="40" t="s">
        <v>149</v>
      </c>
      <c r="F67" s="40"/>
      <c r="G67" s="10" t="e">
        <f>'Пр.6 ведом.20'!#REF!</f>
        <v>#REF!</v>
      </c>
    </row>
    <row r="68" spans="1:7" ht="63" x14ac:dyDescent="0.25">
      <c r="A68" s="45" t="s">
        <v>276</v>
      </c>
      <c r="B68" s="40" t="s">
        <v>380</v>
      </c>
      <c r="C68" s="40" t="s">
        <v>259</v>
      </c>
      <c r="D68" s="40" t="s">
        <v>230</v>
      </c>
      <c r="E68" s="40"/>
      <c r="F68" s="40" t="s">
        <v>643</v>
      </c>
      <c r="G68" s="10" t="e">
        <f>G62</f>
        <v>#REF!</v>
      </c>
    </row>
    <row r="69" spans="1:7" ht="94.5" x14ac:dyDescent="0.25">
      <c r="A69" s="41" t="s">
        <v>382</v>
      </c>
      <c r="B69" s="7" t="s">
        <v>383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258</v>
      </c>
      <c r="B70" s="40" t="s">
        <v>383</v>
      </c>
      <c r="C70" s="40" t="s">
        <v>259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267</v>
      </c>
      <c r="B71" s="40" t="s">
        <v>383</v>
      </c>
      <c r="C71" s="40" t="s">
        <v>259</v>
      </c>
      <c r="D71" s="40" t="s">
        <v>230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172</v>
      </c>
      <c r="B72" s="40" t="s">
        <v>385</v>
      </c>
      <c r="C72" s="40" t="s">
        <v>259</v>
      </c>
      <c r="D72" s="40" t="s">
        <v>230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146</v>
      </c>
      <c r="B73" s="40" t="s">
        <v>383</v>
      </c>
      <c r="C73" s="40" t="s">
        <v>259</v>
      </c>
      <c r="D73" s="40" t="s">
        <v>230</v>
      </c>
      <c r="E73" s="40" t="s">
        <v>147</v>
      </c>
      <c r="F73" s="40"/>
      <c r="G73" s="10">
        <f>G74</f>
        <v>0</v>
      </c>
    </row>
    <row r="74" spans="1:7" ht="47.25" hidden="1" x14ac:dyDescent="0.25">
      <c r="A74" s="29" t="s">
        <v>148</v>
      </c>
      <c r="B74" s="40" t="s">
        <v>383</v>
      </c>
      <c r="C74" s="40" t="s">
        <v>259</v>
      </c>
      <c r="D74" s="40" t="s">
        <v>230</v>
      </c>
      <c r="E74" s="40" t="s">
        <v>149</v>
      </c>
      <c r="F74" s="40"/>
      <c r="G74" s="10"/>
    </row>
    <row r="75" spans="1:7" ht="63" x14ac:dyDescent="0.25">
      <c r="A75" s="25" t="s">
        <v>287</v>
      </c>
      <c r="B75" s="40" t="s">
        <v>385</v>
      </c>
      <c r="C75" s="40" t="s">
        <v>259</v>
      </c>
      <c r="D75" s="40" t="s">
        <v>230</v>
      </c>
      <c r="E75" s="40" t="s">
        <v>288</v>
      </c>
      <c r="F75" s="40"/>
      <c r="G75" s="10" t="e">
        <f>G76</f>
        <v>#REF!</v>
      </c>
    </row>
    <row r="76" spans="1:7" ht="72.75" customHeight="1" x14ac:dyDescent="0.25">
      <c r="A76" s="25" t="s">
        <v>386</v>
      </c>
      <c r="B76" s="40" t="s">
        <v>385</v>
      </c>
      <c r="C76" s="40" t="s">
        <v>259</v>
      </c>
      <c r="D76" s="40" t="s">
        <v>230</v>
      </c>
      <c r="E76" s="40" t="s">
        <v>387</v>
      </c>
      <c r="F76" s="40"/>
      <c r="G76" s="10" t="e">
        <f>'Пр.6 ведом.20'!#REF!</f>
        <v>#REF!</v>
      </c>
    </row>
    <row r="77" spans="1:7" ht="63" x14ac:dyDescent="0.25">
      <c r="A77" s="25" t="s">
        <v>390</v>
      </c>
      <c r="B77" s="20" t="s">
        <v>391</v>
      </c>
      <c r="C77" s="40" t="s">
        <v>259</v>
      </c>
      <c r="D77" s="40" t="s">
        <v>230</v>
      </c>
      <c r="E77" s="40"/>
      <c r="F77" s="40"/>
      <c r="G77" s="10" t="e">
        <f>G78</f>
        <v>#REF!</v>
      </c>
    </row>
    <row r="78" spans="1:7" ht="31.5" x14ac:dyDescent="0.25">
      <c r="A78" s="25" t="s">
        <v>263</v>
      </c>
      <c r="B78" s="20" t="s">
        <v>391</v>
      </c>
      <c r="C78" s="40" t="s">
        <v>259</v>
      </c>
      <c r="D78" s="40" t="s">
        <v>230</v>
      </c>
      <c r="E78" s="40" t="s">
        <v>264</v>
      </c>
      <c r="F78" s="40"/>
      <c r="G78" s="10" t="e">
        <f>G79</f>
        <v>#REF!</v>
      </c>
    </row>
    <row r="79" spans="1:7" ht="47.25" x14ac:dyDescent="0.25">
      <c r="A79" s="25" t="s">
        <v>265</v>
      </c>
      <c r="B79" s="20" t="s">
        <v>391</v>
      </c>
      <c r="C79" s="40" t="s">
        <v>259</v>
      </c>
      <c r="D79" s="40" t="s">
        <v>230</v>
      </c>
      <c r="E79" s="40" t="s">
        <v>266</v>
      </c>
      <c r="F79" s="40"/>
      <c r="G79" s="10" t="e">
        <f>'Пр.6 ведом.20'!#REF!</f>
        <v>#REF!</v>
      </c>
    </row>
    <row r="80" spans="1:7" ht="63" x14ac:dyDescent="0.25">
      <c r="A80" s="45" t="s">
        <v>276</v>
      </c>
      <c r="B80" s="20" t="s">
        <v>383</v>
      </c>
      <c r="C80" s="40" t="s">
        <v>259</v>
      </c>
      <c r="D80" s="40" t="s">
        <v>230</v>
      </c>
      <c r="E80" s="40"/>
      <c r="F80" s="9" t="s">
        <v>643</v>
      </c>
      <c r="G80" s="10" t="e">
        <f>G69</f>
        <v>#REF!</v>
      </c>
    </row>
    <row r="81" spans="1:7" ht="173.25" hidden="1" x14ac:dyDescent="0.25">
      <c r="A81" s="25" t="s">
        <v>388</v>
      </c>
      <c r="B81" s="20" t="s">
        <v>389</v>
      </c>
      <c r="C81" s="40" t="s">
        <v>259</v>
      </c>
      <c r="D81" s="40" t="s">
        <v>230</v>
      </c>
      <c r="E81" s="40"/>
      <c r="F81" s="9"/>
      <c r="G81" s="10">
        <f>G82</f>
        <v>0</v>
      </c>
    </row>
    <row r="82" spans="1:7" ht="15.75" hidden="1" x14ac:dyDescent="0.25">
      <c r="A82" s="25" t="s">
        <v>150</v>
      </c>
      <c r="B82" s="20" t="s">
        <v>389</v>
      </c>
      <c r="C82" s="40" t="s">
        <v>259</v>
      </c>
      <c r="D82" s="40" t="s">
        <v>230</v>
      </c>
      <c r="E82" s="40" t="s">
        <v>160</v>
      </c>
      <c r="F82" s="9"/>
      <c r="G82" s="10">
        <f>G83</f>
        <v>0</v>
      </c>
    </row>
    <row r="83" spans="1:7" ht="78.75" hidden="1" x14ac:dyDescent="0.25">
      <c r="A83" s="25" t="s">
        <v>199</v>
      </c>
      <c r="B83" s="20" t="s">
        <v>389</v>
      </c>
      <c r="C83" s="40" t="s">
        <v>259</v>
      </c>
      <c r="D83" s="40" t="s">
        <v>230</v>
      </c>
      <c r="E83" s="40" t="s">
        <v>175</v>
      </c>
      <c r="F83" s="9"/>
      <c r="G83" s="10"/>
    </row>
    <row r="84" spans="1:7" ht="63" hidden="1" x14ac:dyDescent="0.25">
      <c r="A84" s="45" t="s">
        <v>276</v>
      </c>
      <c r="B84" s="20" t="s">
        <v>389</v>
      </c>
      <c r="C84" s="40" t="s">
        <v>259</v>
      </c>
      <c r="D84" s="40" t="s">
        <v>230</v>
      </c>
      <c r="E84" s="40"/>
      <c r="F84" s="9" t="s">
        <v>643</v>
      </c>
      <c r="G84" s="10">
        <f>G83</f>
        <v>0</v>
      </c>
    </row>
    <row r="85" spans="1:7" ht="63" hidden="1" x14ac:dyDescent="0.25">
      <c r="A85" s="25" t="s">
        <v>390</v>
      </c>
      <c r="B85" s="20" t="s">
        <v>391</v>
      </c>
      <c r="C85" s="40" t="s">
        <v>259</v>
      </c>
      <c r="D85" s="40" t="s">
        <v>230</v>
      </c>
      <c r="E85" s="40"/>
      <c r="F85" s="9"/>
      <c r="G85" s="10">
        <f>G86</f>
        <v>0</v>
      </c>
    </row>
    <row r="86" spans="1:7" ht="31.5" hidden="1" x14ac:dyDescent="0.25">
      <c r="A86" s="29" t="s">
        <v>263</v>
      </c>
      <c r="B86" s="20" t="s">
        <v>391</v>
      </c>
      <c r="C86" s="40" t="s">
        <v>259</v>
      </c>
      <c r="D86" s="40" t="s">
        <v>230</v>
      </c>
      <c r="E86" s="40" t="s">
        <v>264</v>
      </c>
      <c r="F86" s="9"/>
      <c r="G86" s="10">
        <f>G87</f>
        <v>0</v>
      </c>
    </row>
    <row r="87" spans="1:7" ht="47.25" hidden="1" x14ac:dyDescent="0.25">
      <c r="A87" s="29" t="s">
        <v>265</v>
      </c>
      <c r="B87" s="20" t="s">
        <v>391</v>
      </c>
      <c r="C87" s="40" t="s">
        <v>259</v>
      </c>
      <c r="D87" s="40" t="s">
        <v>230</v>
      </c>
      <c r="E87" s="40" t="s">
        <v>266</v>
      </c>
      <c r="F87" s="9"/>
      <c r="G87" s="10"/>
    </row>
    <row r="88" spans="1:7" ht="63" hidden="1" x14ac:dyDescent="0.25">
      <c r="A88" s="45" t="s">
        <v>276</v>
      </c>
      <c r="B88" s="20" t="s">
        <v>391</v>
      </c>
      <c r="C88" s="40" t="s">
        <v>259</v>
      </c>
      <c r="D88" s="40" t="s">
        <v>230</v>
      </c>
      <c r="E88" s="40"/>
      <c r="F88" s="9" t="s">
        <v>643</v>
      </c>
      <c r="G88" s="10">
        <f>G85</f>
        <v>0</v>
      </c>
    </row>
    <row r="89" spans="1:7" ht="47.25" hidden="1" x14ac:dyDescent="0.25">
      <c r="A89" s="29" t="s">
        <v>392</v>
      </c>
      <c r="B89" s="20" t="s">
        <v>393</v>
      </c>
      <c r="C89" s="40" t="s">
        <v>259</v>
      </c>
      <c r="D89" s="40" t="s">
        <v>230</v>
      </c>
      <c r="E89" s="40"/>
      <c r="F89" s="40"/>
      <c r="G89" s="10">
        <f>G90</f>
        <v>0</v>
      </c>
    </row>
    <row r="90" spans="1:7" ht="47.25" hidden="1" x14ac:dyDescent="0.25">
      <c r="A90" s="29" t="s">
        <v>146</v>
      </c>
      <c r="B90" s="20" t="s">
        <v>393</v>
      </c>
      <c r="C90" s="40" t="s">
        <v>259</v>
      </c>
      <c r="D90" s="40" t="s">
        <v>230</v>
      </c>
      <c r="E90" s="40" t="s">
        <v>147</v>
      </c>
      <c r="F90" s="40"/>
      <c r="G90" s="10">
        <f>G91</f>
        <v>0</v>
      </c>
    </row>
    <row r="91" spans="1:7" ht="47.25" hidden="1" x14ac:dyDescent="0.25">
      <c r="A91" s="29" t="s">
        <v>148</v>
      </c>
      <c r="B91" s="20" t="s">
        <v>393</v>
      </c>
      <c r="C91" s="40" t="s">
        <v>259</v>
      </c>
      <c r="D91" s="40" t="s">
        <v>230</v>
      </c>
      <c r="E91" s="40" t="s">
        <v>149</v>
      </c>
      <c r="F91" s="40"/>
      <c r="G91" s="10">
        <v>0</v>
      </c>
    </row>
    <row r="92" spans="1:7" ht="15.75" hidden="1" x14ac:dyDescent="0.25">
      <c r="A92" s="29" t="s">
        <v>150</v>
      </c>
      <c r="B92" s="20" t="s">
        <v>393</v>
      </c>
      <c r="C92" s="40" t="s">
        <v>259</v>
      </c>
      <c r="D92" s="40" t="s">
        <v>230</v>
      </c>
      <c r="E92" s="40" t="s">
        <v>160</v>
      </c>
      <c r="F92" s="40"/>
      <c r="G92" s="10"/>
    </row>
    <row r="93" spans="1:7" ht="78.75" hidden="1" x14ac:dyDescent="0.25">
      <c r="A93" s="29" t="s">
        <v>199</v>
      </c>
      <c r="B93" s="20" t="s">
        <v>393</v>
      </c>
      <c r="C93" s="40" t="s">
        <v>259</v>
      </c>
      <c r="D93" s="40" t="s">
        <v>230</v>
      </c>
      <c r="E93" s="40" t="s">
        <v>175</v>
      </c>
      <c r="F93" s="40"/>
      <c r="G93" s="10"/>
    </row>
    <row r="94" spans="1:7" ht="63" hidden="1" x14ac:dyDescent="0.25">
      <c r="A94" s="45" t="s">
        <v>276</v>
      </c>
      <c r="B94" s="20" t="s">
        <v>393</v>
      </c>
      <c r="C94" s="40" t="s">
        <v>259</v>
      </c>
      <c r="D94" s="40" t="s">
        <v>230</v>
      </c>
      <c r="E94" s="40"/>
      <c r="F94" s="9" t="s">
        <v>643</v>
      </c>
      <c r="G94" s="10">
        <f>G89</f>
        <v>0</v>
      </c>
    </row>
    <row r="95" spans="1:7" ht="141.75" x14ac:dyDescent="0.25">
      <c r="A95" s="41" t="s">
        <v>395</v>
      </c>
      <c r="B95" s="7" t="s">
        <v>396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258</v>
      </c>
      <c r="B96" s="40" t="s">
        <v>396</v>
      </c>
      <c r="C96" s="40" t="s">
        <v>259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267</v>
      </c>
      <c r="B97" s="40" t="s">
        <v>396</v>
      </c>
      <c r="C97" s="40" t="s">
        <v>259</v>
      </c>
      <c r="D97" s="40" t="s">
        <v>230</v>
      </c>
      <c r="E97" s="40"/>
      <c r="F97" s="9"/>
      <c r="G97" s="10" t="e">
        <f>G98</f>
        <v>#REF!</v>
      </c>
    </row>
    <row r="98" spans="1:7" ht="47.25" x14ac:dyDescent="0.25">
      <c r="A98" s="29" t="s">
        <v>172</v>
      </c>
      <c r="B98" s="40" t="s">
        <v>397</v>
      </c>
      <c r="C98" s="40" t="s">
        <v>259</v>
      </c>
      <c r="D98" s="40" t="s">
        <v>230</v>
      </c>
      <c r="E98" s="40"/>
      <c r="F98" s="9"/>
      <c r="G98" s="10" t="e">
        <f>G99</f>
        <v>#REF!</v>
      </c>
    </row>
    <row r="99" spans="1:7" ht="47.25" x14ac:dyDescent="0.25">
      <c r="A99" s="29" t="s">
        <v>146</v>
      </c>
      <c r="B99" s="40" t="s">
        <v>397</v>
      </c>
      <c r="C99" s="40" t="s">
        <v>259</v>
      </c>
      <c r="D99" s="40" t="s">
        <v>230</v>
      </c>
      <c r="E99" s="40" t="s">
        <v>147</v>
      </c>
      <c r="F99" s="9"/>
      <c r="G99" s="10" t="e">
        <f>G100</f>
        <v>#REF!</v>
      </c>
    </row>
    <row r="100" spans="1:7" ht="47.25" x14ac:dyDescent="0.25">
      <c r="A100" s="29" t="s">
        <v>148</v>
      </c>
      <c r="B100" s="40" t="s">
        <v>397</v>
      </c>
      <c r="C100" s="40" t="s">
        <v>259</v>
      </c>
      <c r="D100" s="40" t="s">
        <v>230</v>
      </c>
      <c r="E100" s="40" t="s">
        <v>149</v>
      </c>
      <c r="F100" s="9"/>
      <c r="G100" s="10" t="e">
        <f>'Пр.6 ведом.20'!#REF!</f>
        <v>#REF!</v>
      </c>
    </row>
    <row r="101" spans="1:7" ht="63" x14ac:dyDescent="0.25">
      <c r="A101" s="45" t="s">
        <v>276</v>
      </c>
      <c r="B101" s="40" t="s">
        <v>396</v>
      </c>
      <c r="C101" s="40" t="s">
        <v>259</v>
      </c>
      <c r="D101" s="40" t="s">
        <v>230</v>
      </c>
      <c r="E101" s="40"/>
      <c r="F101" s="9" t="s">
        <v>643</v>
      </c>
      <c r="G101" s="10" t="e">
        <f>G95</f>
        <v>#REF!</v>
      </c>
    </row>
    <row r="102" spans="1:7" ht="63" x14ac:dyDescent="0.25">
      <c r="A102" s="58" t="s">
        <v>441</v>
      </c>
      <c r="B102" s="7" t="s">
        <v>421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422</v>
      </c>
      <c r="B103" s="7" t="s">
        <v>423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278</v>
      </c>
      <c r="B104" s="40" t="s">
        <v>423</v>
      </c>
      <c r="C104" s="40" t="s">
        <v>279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419</v>
      </c>
      <c r="B105" s="40" t="s">
        <v>423</v>
      </c>
      <c r="C105" s="40" t="s">
        <v>279</v>
      </c>
      <c r="D105" s="40" t="s">
        <v>133</v>
      </c>
      <c r="E105" s="40"/>
      <c r="F105" s="40"/>
      <c r="G105" s="10" t="e">
        <f>G106</f>
        <v>#REF!</v>
      </c>
    </row>
    <row r="106" spans="1:7" ht="63" x14ac:dyDescent="0.25">
      <c r="A106" s="29" t="s">
        <v>424</v>
      </c>
      <c r="B106" s="40" t="s">
        <v>425</v>
      </c>
      <c r="C106" s="40" t="s">
        <v>279</v>
      </c>
      <c r="D106" s="40" t="s">
        <v>133</v>
      </c>
      <c r="E106" s="40"/>
      <c r="F106" s="40"/>
      <c r="G106" s="10" t="e">
        <f>G107</f>
        <v>#REF!</v>
      </c>
    </row>
    <row r="107" spans="1:7" ht="63" x14ac:dyDescent="0.25">
      <c r="A107" s="29" t="s">
        <v>287</v>
      </c>
      <c r="B107" s="40" t="s">
        <v>425</v>
      </c>
      <c r="C107" s="40" t="s">
        <v>279</v>
      </c>
      <c r="D107" s="40" t="s">
        <v>133</v>
      </c>
      <c r="E107" s="40" t="s">
        <v>288</v>
      </c>
      <c r="F107" s="40"/>
      <c r="G107" s="10" t="e">
        <f>G108</f>
        <v>#REF!</v>
      </c>
    </row>
    <row r="108" spans="1:7" ht="15.75" x14ac:dyDescent="0.25">
      <c r="A108" s="29" t="s">
        <v>289</v>
      </c>
      <c r="B108" s="40" t="s">
        <v>425</v>
      </c>
      <c r="C108" s="40" t="s">
        <v>279</v>
      </c>
      <c r="D108" s="40" t="s">
        <v>133</v>
      </c>
      <c r="E108" s="40" t="s">
        <v>290</v>
      </c>
      <c r="F108" s="40"/>
      <c r="G108" s="6" t="e">
        <f>'Пр.6 ведом.20'!#REF!</f>
        <v>#REF!</v>
      </c>
    </row>
    <row r="109" spans="1:7" ht="15.75" x14ac:dyDescent="0.25">
      <c r="A109" s="29" t="s">
        <v>440</v>
      </c>
      <c r="B109" s="40" t="s">
        <v>423</v>
      </c>
      <c r="C109" s="40" t="s">
        <v>279</v>
      </c>
      <c r="D109" s="40" t="s">
        <v>228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442</v>
      </c>
      <c r="B110" s="40" t="s">
        <v>443</v>
      </c>
      <c r="C110" s="40" t="s">
        <v>279</v>
      </c>
      <c r="D110" s="40" t="s">
        <v>228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287</v>
      </c>
      <c r="B111" s="40" t="s">
        <v>443</v>
      </c>
      <c r="C111" s="40" t="s">
        <v>279</v>
      </c>
      <c r="D111" s="40" t="s">
        <v>228</v>
      </c>
      <c r="E111" s="40" t="s">
        <v>288</v>
      </c>
      <c r="F111" s="40"/>
      <c r="G111" s="10" t="e">
        <f>G112</f>
        <v>#REF!</v>
      </c>
    </row>
    <row r="112" spans="1:7" ht="15.75" x14ac:dyDescent="0.25">
      <c r="A112" s="29" t="s">
        <v>289</v>
      </c>
      <c r="B112" s="40" t="s">
        <v>443</v>
      </c>
      <c r="C112" s="40" t="s">
        <v>279</v>
      </c>
      <c r="D112" s="40" t="s">
        <v>228</v>
      </c>
      <c r="E112" s="40" t="s">
        <v>290</v>
      </c>
      <c r="F112" s="40"/>
      <c r="G112" s="6" t="e">
        <f>'Пр.6 ведом.20'!#REF!</f>
        <v>#REF!</v>
      </c>
    </row>
    <row r="113" spans="1:7" ht="15.75" x14ac:dyDescent="0.25">
      <c r="A113" s="29" t="s">
        <v>280</v>
      </c>
      <c r="B113" s="40" t="s">
        <v>423</v>
      </c>
      <c r="C113" s="40" t="s">
        <v>279</v>
      </c>
      <c r="D113" s="40" t="s">
        <v>230</v>
      </c>
      <c r="E113" s="40"/>
      <c r="F113" s="40"/>
      <c r="G113" s="6" t="e">
        <f>G114</f>
        <v>#REF!</v>
      </c>
    </row>
    <row r="114" spans="1:7" ht="63" x14ac:dyDescent="0.25">
      <c r="A114" s="29" t="s">
        <v>285</v>
      </c>
      <c r="B114" s="40" t="s">
        <v>444</v>
      </c>
      <c r="C114" s="40" t="s">
        <v>279</v>
      </c>
      <c r="D114" s="40" t="s">
        <v>230</v>
      </c>
      <c r="E114" s="7"/>
      <c r="F114" s="7"/>
      <c r="G114" s="10" t="e">
        <f>G115</f>
        <v>#REF!</v>
      </c>
    </row>
    <row r="115" spans="1:7" ht="63" x14ac:dyDescent="0.25">
      <c r="A115" s="29" t="s">
        <v>287</v>
      </c>
      <c r="B115" s="40" t="s">
        <v>444</v>
      </c>
      <c r="C115" s="40" t="s">
        <v>279</v>
      </c>
      <c r="D115" s="40" t="s">
        <v>230</v>
      </c>
      <c r="E115" s="40" t="s">
        <v>288</v>
      </c>
      <c r="F115" s="40"/>
      <c r="G115" s="10" t="e">
        <f>G116</f>
        <v>#REF!</v>
      </c>
    </row>
    <row r="116" spans="1:7" ht="15.75" x14ac:dyDescent="0.25">
      <c r="A116" s="29" t="s">
        <v>289</v>
      </c>
      <c r="B116" s="40" t="s">
        <v>444</v>
      </c>
      <c r="C116" s="40" t="s">
        <v>279</v>
      </c>
      <c r="D116" s="40" t="s">
        <v>230</v>
      </c>
      <c r="E116" s="40" t="s">
        <v>290</v>
      </c>
      <c r="F116" s="40"/>
      <c r="G116" s="6" t="e">
        <f>'Пр.6 ведом.20'!#REF!</f>
        <v>#REF!</v>
      </c>
    </row>
    <row r="117" spans="1:7" ht="47.25" x14ac:dyDescent="0.25">
      <c r="A117" s="29" t="s">
        <v>418</v>
      </c>
      <c r="B117" s="40" t="s">
        <v>423</v>
      </c>
      <c r="C117" s="40" t="s">
        <v>279</v>
      </c>
      <c r="D117" s="40" t="s">
        <v>230</v>
      </c>
      <c r="E117" s="40"/>
      <c r="F117" s="40" t="s">
        <v>652</v>
      </c>
      <c r="G117" s="6" t="e">
        <f>G103</f>
        <v>#REF!</v>
      </c>
    </row>
    <row r="118" spans="1:7" ht="47.25" x14ac:dyDescent="0.25">
      <c r="A118" s="41" t="s">
        <v>426</v>
      </c>
      <c r="B118" s="7" t="s">
        <v>427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278</v>
      </c>
      <c r="B119" s="40" t="s">
        <v>427</v>
      </c>
      <c r="C119" s="40" t="s">
        <v>279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419</v>
      </c>
      <c r="B120" s="40" t="s">
        <v>427</v>
      </c>
      <c r="C120" s="40" t="s">
        <v>279</v>
      </c>
      <c r="D120" s="40" t="s">
        <v>133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611</v>
      </c>
      <c r="B121" s="40" t="s">
        <v>612</v>
      </c>
      <c r="C121" s="40" t="s">
        <v>279</v>
      </c>
      <c r="D121" s="40" t="s">
        <v>133</v>
      </c>
      <c r="E121" s="40"/>
      <c r="F121" s="40"/>
      <c r="G121" s="10">
        <f>G122</f>
        <v>0</v>
      </c>
    </row>
    <row r="122" spans="1:7" ht="63" hidden="1" x14ac:dyDescent="0.25">
      <c r="A122" s="29" t="s">
        <v>287</v>
      </c>
      <c r="B122" s="40" t="s">
        <v>612</v>
      </c>
      <c r="C122" s="40" t="s">
        <v>279</v>
      </c>
      <c r="D122" s="40" t="s">
        <v>133</v>
      </c>
      <c r="E122" s="40" t="s">
        <v>288</v>
      </c>
      <c r="F122" s="40"/>
      <c r="G122" s="10">
        <f>G123</f>
        <v>0</v>
      </c>
    </row>
    <row r="123" spans="1:7" ht="15.75" hidden="1" x14ac:dyDescent="0.25">
      <c r="A123" s="29" t="s">
        <v>289</v>
      </c>
      <c r="B123" s="40" t="s">
        <v>612</v>
      </c>
      <c r="C123" s="40" t="s">
        <v>279</v>
      </c>
      <c r="D123" s="40" t="s">
        <v>133</v>
      </c>
      <c r="E123" s="40" t="s">
        <v>290</v>
      </c>
      <c r="F123" s="40"/>
      <c r="G123" s="10"/>
    </row>
    <row r="124" spans="1:7" ht="47.25" hidden="1" x14ac:dyDescent="0.25">
      <c r="A124" s="29" t="s">
        <v>418</v>
      </c>
      <c r="B124" s="40" t="s">
        <v>612</v>
      </c>
      <c r="C124" s="40" t="s">
        <v>279</v>
      </c>
      <c r="D124" s="40" t="s">
        <v>133</v>
      </c>
      <c r="E124" s="40"/>
      <c r="F124" s="40" t="s">
        <v>652</v>
      </c>
      <c r="G124" s="10">
        <v>0</v>
      </c>
    </row>
    <row r="125" spans="1:7" ht="47.25" hidden="1" x14ac:dyDescent="0.25">
      <c r="A125" s="29" t="s">
        <v>293</v>
      </c>
      <c r="B125" s="40" t="s">
        <v>613</v>
      </c>
      <c r="C125" s="40" t="s">
        <v>279</v>
      </c>
      <c r="D125" s="40" t="s">
        <v>133</v>
      </c>
      <c r="E125" s="40"/>
      <c r="F125" s="40"/>
      <c r="G125" s="10">
        <f>G126</f>
        <v>0</v>
      </c>
    </row>
    <row r="126" spans="1:7" ht="63" hidden="1" x14ac:dyDescent="0.25">
      <c r="A126" s="29" t="s">
        <v>287</v>
      </c>
      <c r="B126" s="40" t="s">
        <v>613</v>
      </c>
      <c r="C126" s="40" t="s">
        <v>279</v>
      </c>
      <c r="D126" s="40" t="s">
        <v>133</v>
      </c>
      <c r="E126" s="40" t="s">
        <v>288</v>
      </c>
      <c r="F126" s="40"/>
      <c r="G126" s="10">
        <f>G127</f>
        <v>0</v>
      </c>
    </row>
    <row r="127" spans="1:7" ht="15.75" hidden="1" x14ac:dyDescent="0.25">
      <c r="A127" s="29" t="s">
        <v>289</v>
      </c>
      <c r="B127" s="40" t="s">
        <v>613</v>
      </c>
      <c r="C127" s="40" t="s">
        <v>279</v>
      </c>
      <c r="D127" s="40" t="s">
        <v>133</v>
      </c>
      <c r="E127" s="40" t="s">
        <v>290</v>
      </c>
      <c r="F127" s="40"/>
      <c r="G127" s="10"/>
    </row>
    <row r="128" spans="1:7" ht="47.25" hidden="1" x14ac:dyDescent="0.25">
      <c r="A128" s="29" t="s">
        <v>418</v>
      </c>
      <c r="B128" s="40" t="s">
        <v>613</v>
      </c>
      <c r="C128" s="40" t="s">
        <v>279</v>
      </c>
      <c r="D128" s="40" t="s">
        <v>133</v>
      </c>
      <c r="E128" s="40"/>
      <c r="F128" s="40" t="s">
        <v>652</v>
      </c>
      <c r="G128" s="10">
        <v>0</v>
      </c>
    </row>
    <row r="129" spans="1:8" ht="31.5" x14ac:dyDescent="0.25">
      <c r="A129" s="29" t="s">
        <v>295</v>
      </c>
      <c r="B129" s="40" t="s">
        <v>429</v>
      </c>
      <c r="C129" s="40" t="s">
        <v>279</v>
      </c>
      <c r="D129" s="40" t="s">
        <v>133</v>
      </c>
      <c r="E129" s="40"/>
      <c r="F129" s="40"/>
      <c r="G129" s="10" t="e">
        <f>G130</f>
        <v>#REF!</v>
      </c>
    </row>
    <row r="130" spans="1:8" ht="63" x14ac:dyDescent="0.25">
      <c r="A130" s="29" t="s">
        <v>287</v>
      </c>
      <c r="B130" s="40" t="s">
        <v>429</v>
      </c>
      <c r="C130" s="40" t="s">
        <v>279</v>
      </c>
      <c r="D130" s="40" t="s">
        <v>133</v>
      </c>
      <c r="E130" s="40" t="s">
        <v>288</v>
      </c>
      <c r="F130" s="40"/>
      <c r="G130" s="10" t="e">
        <f>G131</f>
        <v>#REF!</v>
      </c>
    </row>
    <row r="131" spans="1:8" ht="15.75" x14ac:dyDescent="0.25">
      <c r="A131" s="29" t="s">
        <v>289</v>
      </c>
      <c r="B131" s="40" t="s">
        <v>429</v>
      </c>
      <c r="C131" s="40" t="s">
        <v>279</v>
      </c>
      <c r="D131" s="40" t="s">
        <v>133</v>
      </c>
      <c r="E131" s="40" t="s">
        <v>290</v>
      </c>
      <c r="F131" s="40"/>
      <c r="G131" s="162" t="e">
        <f>'Пр.6 ведом.20'!#REF!</f>
        <v>#REF!</v>
      </c>
      <c r="H131" s="163" t="s">
        <v>747</v>
      </c>
    </row>
    <row r="132" spans="1:8" ht="47.25" hidden="1" x14ac:dyDescent="0.25">
      <c r="A132" s="29" t="s">
        <v>418</v>
      </c>
      <c r="B132" s="40" t="s">
        <v>429</v>
      </c>
      <c r="C132" s="40" t="s">
        <v>279</v>
      </c>
      <c r="D132" s="40" t="s">
        <v>133</v>
      </c>
      <c r="E132" s="40"/>
      <c r="F132" s="40" t="s">
        <v>652</v>
      </c>
      <c r="G132" s="10"/>
    </row>
    <row r="133" spans="1:8" ht="63" x14ac:dyDescent="0.25">
      <c r="A133" s="29" t="s">
        <v>430</v>
      </c>
      <c r="B133" s="40" t="s">
        <v>431</v>
      </c>
      <c r="C133" s="40" t="s">
        <v>279</v>
      </c>
      <c r="D133" s="40" t="s">
        <v>133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287</v>
      </c>
      <c r="B134" s="40" t="s">
        <v>431</v>
      </c>
      <c r="C134" s="40" t="s">
        <v>279</v>
      </c>
      <c r="D134" s="40" t="s">
        <v>133</v>
      </c>
      <c r="E134" s="40" t="s">
        <v>288</v>
      </c>
      <c r="F134" s="40"/>
      <c r="G134" s="10" t="e">
        <f>G135</f>
        <v>#REF!</v>
      </c>
    </row>
    <row r="135" spans="1:8" ht="15.75" x14ac:dyDescent="0.25">
      <c r="A135" s="29" t="s">
        <v>289</v>
      </c>
      <c r="B135" s="40" t="s">
        <v>431</v>
      </c>
      <c r="C135" s="40" t="s">
        <v>279</v>
      </c>
      <c r="D135" s="40" t="s">
        <v>133</v>
      </c>
      <c r="E135" s="40" t="s">
        <v>290</v>
      </c>
      <c r="F135" s="40"/>
      <c r="G135" s="6" t="e">
        <f>'Пр.6 ведом.20'!#REF!</f>
        <v>#REF!</v>
      </c>
    </row>
    <row r="136" spans="1:8" ht="47.25" x14ac:dyDescent="0.25">
      <c r="A136" s="29" t="s">
        <v>418</v>
      </c>
      <c r="B136" s="40" t="s">
        <v>427</v>
      </c>
      <c r="C136" s="40" t="s">
        <v>279</v>
      </c>
      <c r="D136" s="40" t="s">
        <v>133</v>
      </c>
      <c r="E136" s="40"/>
      <c r="F136" s="40" t="s">
        <v>652</v>
      </c>
      <c r="G136" s="6" t="e">
        <f>G118+G131</f>
        <v>#REF!</v>
      </c>
    </row>
    <row r="137" spans="1:8" ht="31.5" hidden="1" x14ac:dyDescent="0.25">
      <c r="A137" s="29" t="s">
        <v>299</v>
      </c>
      <c r="B137" s="40" t="s">
        <v>616</v>
      </c>
      <c r="C137" s="40" t="s">
        <v>279</v>
      </c>
      <c r="D137" s="40" t="s">
        <v>133</v>
      </c>
      <c r="E137" s="40"/>
      <c r="F137" s="40"/>
      <c r="G137" s="10">
        <f>G138</f>
        <v>0</v>
      </c>
    </row>
    <row r="138" spans="1:8" ht="63" hidden="1" x14ac:dyDescent="0.25">
      <c r="A138" s="29" t="s">
        <v>287</v>
      </c>
      <c r="B138" s="40" t="s">
        <v>616</v>
      </c>
      <c r="C138" s="40" t="s">
        <v>279</v>
      </c>
      <c r="D138" s="40" t="s">
        <v>133</v>
      </c>
      <c r="E138" s="40" t="s">
        <v>288</v>
      </c>
      <c r="F138" s="40"/>
      <c r="G138" s="10">
        <f>G139</f>
        <v>0</v>
      </c>
    </row>
    <row r="139" spans="1:8" ht="15.75" hidden="1" x14ac:dyDescent="0.25">
      <c r="A139" s="29" t="s">
        <v>289</v>
      </c>
      <c r="B139" s="40" t="s">
        <v>616</v>
      </c>
      <c r="C139" s="40" t="s">
        <v>279</v>
      </c>
      <c r="D139" s="40" t="s">
        <v>133</v>
      </c>
      <c r="E139" s="40" t="s">
        <v>290</v>
      </c>
      <c r="F139" s="40"/>
      <c r="G139" s="10"/>
    </row>
    <row r="140" spans="1:8" ht="47.25" hidden="1" x14ac:dyDescent="0.25">
      <c r="A140" s="29" t="s">
        <v>418</v>
      </c>
      <c r="B140" s="40" t="s">
        <v>616</v>
      </c>
      <c r="C140" s="40" t="s">
        <v>279</v>
      </c>
      <c r="D140" s="40" t="s">
        <v>133</v>
      </c>
      <c r="E140" s="40"/>
      <c r="F140" s="40" t="s">
        <v>652</v>
      </c>
      <c r="G140" s="10">
        <v>0</v>
      </c>
    </row>
    <row r="141" spans="1:8" ht="47.25" x14ac:dyDescent="0.25">
      <c r="A141" s="41" t="s">
        <v>445</v>
      </c>
      <c r="B141" s="7" t="s">
        <v>446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611</v>
      </c>
      <c r="B142" s="40" t="s">
        <v>617</v>
      </c>
      <c r="C142" s="40" t="s">
        <v>279</v>
      </c>
      <c r="D142" s="40" t="s">
        <v>228</v>
      </c>
      <c r="E142" s="40"/>
      <c r="F142" s="40"/>
      <c r="G142" s="10">
        <f>G143</f>
        <v>0</v>
      </c>
    </row>
    <row r="143" spans="1:8" ht="63" hidden="1" x14ac:dyDescent="0.25">
      <c r="A143" s="29" t="s">
        <v>287</v>
      </c>
      <c r="B143" s="40" t="s">
        <v>617</v>
      </c>
      <c r="C143" s="40" t="s">
        <v>279</v>
      </c>
      <c r="D143" s="40" t="s">
        <v>228</v>
      </c>
      <c r="E143" s="40" t="s">
        <v>288</v>
      </c>
      <c r="F143" s="40"/>
      <c r="G143" s="10">
        <f>G145</f>
        <v>0</v>
      </c>
    </row>
    <row r="144" spans="1:8" ht="18.75" hidden="1" customHeight="1" x14ac:dyDescent="0.25">
      <c r="A144" s="29" t="s">
        <v>289</v>
      </c>
      <c r="B144" s="40" t="s">
        <v>617</v>
      </c>
      <c r="C144" s="40" t="s">
        <v>279</v>
      </c>
      <c r="D144" s="40" t="s">
        <v>228</v>
      </c>
      <c r="E144" s="40" t="s">
        <v>290</v>
      </c>
      <c r="F144" s="40"/>
      <c r="G144" s="10"/>
    </row>
    <row r="145" spans="1:7" ht="47.25" hidden="1" x14ac:dyDescent="0.25">
      <c r="A145" s="29" t="s">
        <v>418</v>
      </c>
      <c r="B145" s="40" t="s">
        <v>617</v>
      </c>
      <c r="C145" s="40" t="s">
        <v>279</v>
      </c>
      <c r="D145" s="40" t="s">
        <v>228</v>
      </c>
      <c r="E145" s="40"/>
      <c r="F145" s="40" t="s">
        <v>652</v>
      </c>
      <c r="G145" s="10"/>
    </row>
    <row r="146" spans="1:7" ht="78.75" hidden="1" x14ac:dyDescent="0.25">
      <c r="A146" s="25" t="s">
        <v>447</v>
      </c>
      <c r="B146" s="40" t="s">
        <v>448</v>
      </c>
      <c r="C146" s="40" t="s">
        <v>279</v>
      </c>
      <c r="D146" s="40" t="s">
        <v>228</v>
      </c>
      <c r="E146" s="40"/>
      <c r="F146" s="40"/>
      <c r="G146" s="10">
        <f>G147</f>
        <v>0</v>
      </c>
    </row>
    <row r="147" spans="1:7" ht="63" hidden="1" x14ac:dyDescent="0.25">
      <c r="A147" s="29" t="s">
        <v>287</v>
      </c>
      <c r="B147" s="40" t="s">
        <v>448</v>
      </c>
      <c r="C147" s="40" t="s">
        <v>279</v>
      </c>
      <c r="D147" s="40" t="s">
        <v>228</v>
      </c>
      <c r="E147" s="40" t="s">
        <v>288</v>
      </c>
      <c r="F147" s="40"/>
      <c r="G147" s="10">
        <f>G148</f>
        <v>0</v>
      </c>
    </row>
    <row r="148" spans="1:7" ht="15.75" hidden="1" x14ac:dyDescent="0.25">
      <c r="A148" s="29" t="s">
        <v>289</v>
      </c>
      <c r="B148" s="40" t="s">
        <v>448</v>
      </c>
      <c r="C148" s="40" t="s">
        <v>279</v>
      </c>
      <c r="D148" s="40" t="s">
        <v>228</v>
      </c>
      <c r="E148" s="40" t="s">
        <v>290</v>
      </c>
      <c r="F148" s="40"/>
      <c r="G148" s="10"/>
    </row>
    <row r="149" spans="1:7" ht="54.75" hidden="1" customHeight="1" x14ac:dyDescent="0.25">
      <c r="A149" s="29" t="s">
        <v>418</v>
      </c>
      <c r="B149" s="40" t="s">
        <v>448</v>
      </c>
      <c r="C149" s="40" t="s">
        <v>279</v>
      </c>
      <c r="D149" s="40" t="s">
        <v>228</v>
      </c>
      <c r="E149" s="40"/>
      <c r="F149" s="40" t="s">
        <v>652</v>
      </c>
      <c r="G149" s="10">
        <f>G146</f>
        <v>0</v>
      </c>
    </row>
    <row r="150" spans="1:7" ht="31.5" hidden="1" x14ac:dyDescent="0.25">
      <c r="A150" s="25" t="s">
        <v>449</v>
      </c>
      <c r="B150" s="20" t="s">
        <v>450</v>
      </c>
      <c r="C150" s="40" t="s">
        <v>279</v>
      </c>
      <c r="D150" s="40" t="s">
        <v>228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287</v>
      </c>
      <c r="B151" s="20" t="s">
        <v>450</v>
      </c>
      <c r="C151" s="40" t="s">
        <v>279</v>
      </c>
      <c r="D151" s="40" t="s">
        <v>228</v>
      </c>
      <c r="E151" s="40" t="s">
        <v>288</v>
      </c>
      <c r="F151" s="40"/>
      <c r="G151" s="10">
        <f>G152</f>
        <v>0</v>
      </c>
    </row>
    <row r="152" spans="1:7" ht="15.75" hidden="1" x14ac:dyDescent="0.25">
      <c r="A152" s="25" t="s">
        <v>289</v>
      </c>
      <c r="B152" s="20" t="s">
        <v>450</v>
      </c>
      <c r="C152" s="40" t="s">
        <v>279</v>
      </c>
      <c r="D152" s="40" t="s">
        <v>228</v>
      </c>
      <c r="E152" s="40" t="s">
        <v>290</v>
      </c>
      <c r="F152" s="40"/>
      <c r="G152" s="10"/>
    </row>
    <row r="153" spans="1:7" ht="47.25" hidden="1" x14ac:dyDescent="0.25">
      <c r="A153" s="29" t="s">
        <v>418</v>
      </c>
      <c r="B153" s="20" t="s">
        <v>450</v>
      </c>
      <c r="C153" s="40" t="s">
        <v>279</v>
      </c>
      <c r="D153" s="40" t="s">
        <v>228</v>
      </c>
      <c r="E153" s="40"/>
      <c r="F153" s="40" t="s">
        <v>652</v>
      </c>
      <c r="G153" s="10">
        <f>G150</f>
        <v>0</v>
      </c>
    </row>
    <row r="154" spans="1:7" ht="63" hidden="1" x14ac:dyDescent="0.25">
      <c r="A154" s="25" t="s">
        <v>453</v>
      </c>
      <c r="B154" s="20" t="s">
        <v>454</v>
      </c>
      <c r="C154" s="40" t="s">
        <v>279</v>
      </c>
      <c r="D154" s="40" t="s">
        <v>228</v>
      </c>
      <c r="E154" s="40"/>
      <c r="F154" s="40"/>
      <c r="G154" s="10">
        <f>G155</f>
        <v>0</v>
      </c>
    </row>
    <row r="155" spans="1:7" ht="63" hidden="1" x14ac:dyDescent="0.25">
      <c r="A155" s="29" t="s">
        <v>287</v>
      </c>
      <c r="B155" s="20" t="s">
        <v>454</v>
      </c>
      <c r="C155" s="40" t="s">
        <v>279</v>
      </c>
      <c r="D155" s="40" t="s">
        <v>228</v>
      </c>
      <c r="E155" s="40" t="s">
        <v>288</v>
      </c>
      <c r="F155" s="40"/>
      <c r="G155" s="10">
        <f>G156</f>
        <v>0</v>
      </c>
    </row>
    <row r="156" spans="1:7" ht="15.75" hidden="1" x14ac:dyDescent="0.25">
      <c r="A156" s="29" t="s">
        <v>289</v>
      </c>
      <c r="B156" s="20" t="s">
        <v>454</v>
      </c>
      <c r="C156" s="40" t="s">
        <v>279</v>
      </c>
      <c r="D156" s="40" t="s">
        <v>228</v>
      </c>
      <c r="E156" s="40" t="s">
        <v>290</v>
      </c>
      <c r="F156" s="40"/>
      <c r="G156" s="10"/>
    </row>
    <row r="157" spans="1:7" ht="47.25" hidden="1" x14ac:dyDescent="0.25">
      <c r="A157" s="29" t="s">
        <v>418</v>
      </c>
      <c r="B157" s="20" t="s">
        <v>454</v>
      </c>
      <c r="C157" s="40" t="s">
        <v>279</v>
      </c>
      <c r="D157" s="40" t="s">
        <v>228</v>
      </c>
      <c r="E157" s="40"/>
      <c r="F157" s="40" t="s">
        <v>652</v>
      </c>
      <c r="G157" s="10">
        <f>G156</f>
        <v>0</v>
      </c>
    </row>
    <row r="158" spans="1:7" ht="47.25" hidden="1" x14ac:dyDescent="0.25">
      <c r="A158" s="25" t="s">
        <v>619</v>
      </c>
      <c r="B158" s="20" t="s">
        <v>457</v>
      </c>
      <c r="C158" s="40" t="s">
        <v>279</v>
      </c>
      <c r="D158" s="40" t="s">
        <v>228</v>
      </c>
      <c r="E158" s="40"/>
      <c r="F158" s="40"/>
      <c r="G158" s="10">
        <f>G159</f>
        <v>0</v>
      </c>
    </row>
    <row r="159" spans="1:7" ht="63" hidden="1" x14ac:dyDescent="0.25">
      <c r="A159" s="25" t="s">
        <v>287</v>
      </c>
      <c r="B159" s="20" t="s">
        <v>457</v>
      </c>
      <c r="C159" s="40" t="s">
        <v>279</v>
      </c>
      <c r="D159" s="40" t="s">
        <v>228</v>
      </c>
      <c r="E159" s="40" t="s">
        <v>288</v>
      </c>
      <c r="F159" s="40"/>
      <c r="G159" s="10">
        <f>G160</f>
        <v>0</v>
      </c>
    </row>
    <row r="160" spans="1:7" ht="15.75" hidden="1" x14ac:dyDescent="0.25">
      <c r="A160" s="25" t="s">
        <v>289</v>
      </c>
      <c r="B160" s="20" t="s">
        <v>457</v>
      </c>
      <c r="C160" s="40" t="s">
        <v>279</v>
      </c>
      <c r="D160" s="40" t="s">
        <v>228</v>
      </c>
      <c r="E160" s="40" t="s">
        <v>290</v>
      </c>
      <c r="F160" s="40"/>
      <c r="G160" s="10"/>
    </row>
    <row r="161" spans="1:8" ht="47.25" hidden="1" x14ac:dyDescent="0.25">
      <c r="A161" s="29" t="s">
        <v>418</v>
      </c>
      <c r="B161" s="20" t="s">
        <v>457</v>
      </c>
      <c r="C161" s="40" t="s">
        <v>279</v>
      </c>
      <c r="D161" s="40" t="s">
        <v>228</v>
      </c>
      <c r="E161" s="40"/>
      <c r="F161" s="40" t="s">
        <v>652</v>
      </c>
      <c r="G161" s="10">
        <f>G159</f>
        <v>0</v>
      </c>
    </row>
    <row r="162" spans="1:8" ht="15.75" x14ac:dyDescent="0.25">
      <c r="A162" s="29" t="s">
        <v>278</v>
      </c>
      <c r="B162" s="40" t="s">
        <v>446</v>
      </c>
      <c r="C162" s="40" t="s">
        <v>279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440</v>
      </c>
      <c r="B163" s="40" t="s">
        <v>446</v>
      </c>
      <c r="C163" s="40" t="s">
        <v>279</v>
      </c>
      <c r="D163" s="40" t="s">
        <v>228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618</v>
      </c>
      <c r="B164" s="20" t="s">
        <v>452</v>
      </c>
      <c r="C164" s="40" t="s">
        <v>279</v>
      </c>
      <c r="D164" s="40" t="s">
        <v>228</v>
      </c>
      <c r="E164" s="40"/>
      <c r="F164" s="40"/>
      <c r="G164" s="10" t="e">
        <f>G165</f>
        <v>#REF!</v>
      </c>
    </row>
    <row r="165" spans="1:8" ht="63" x14ac:dyDescent="0.25">
      <c r="A165" s="29" t="s">
        <v>287</v>
      </c>
      <c r="B165" s="20" t="s">
        <v>452</v>
      </c>
      <c r="C165" s="40" t="s">
        <v>279</v>
      </c>
      <c r="D165" s="40" t="s">
        <v>228</v>
      </c>
      <c r="E165" s="40" t="s">
        <v>288</v>
      </c>
      <c r="F165" s="40"/>
      <c r="G165" s="10" t="e">
        <f>G166</f>
        <v>#REF!</v>
      </c>
    </row>
    <row r="166" spans="1:8" ht="24" customHeight="1" x14ac:dyDescent="0.25">
      <c r="A166" s="29" t="s">
        <v>289</v>
      </c>
      <c r="B166" s="20" t="s">
        <v>452</v>
      </c>
      <c r="C166" s="40" t="s">
        <v>279</v>
      </c>
      <c r="D166" s="40" t="s">
        <v>228</v>
      </c>
      <c r="E166" s="40" t="s">
        <v>290</v>
      </c>
      <c r="F166" s="40"/>
      <c r="G166" s="6" t="e">
        <f>'Пр.6 ведом.20'!#REF!</f>
        <v>#REF!</v>
      </c>
    </row>
    <row r="167" spans="1:8" ht="63" x14ac:dyDescent="0.25">
      <c r="A167" s="25" t="s">
        <v>453</v>
      </c>
      <c r="B167" s="20" t="s">
        <v>454</v>
      </c>
      <c r="C167" s="40" t="s">
        <v>279</v>
      </c>
      <c r="D167" s="40" t="s">
        <v>228</v>
      </c>
      <c r="E167" s="40"/>
      <c r="F167" s="40"/>
      <c r="G167" s="6" t="e">
        <f>G168</f>
        <v>#REF!</v>
      </c>
    </row>
    <row r="168" spans="1:8" ht="63" x14ac:dyDescent="0.25">
      <c r="A168" s="25" t="s">
        <v>287</v>
      </c>
      <c r="B168" s="20" t="s">
        <v>454</v>
      </c>
      <c r="C168" s="40" t="s">
        <v>279</v>
      </c>
      <c r="D168" s="40" t="s">
        <v>228</v>
      </c>
      <c r="E168" s="40" t="s">
        <v>288</v>
      </c>
      <c r="F168" s="40"/>
      <c r="G168" s="6" t="e">
        <f>G169</f>
        <v>#REF!</v>
      </c>
    </row>
    <row r="169" spans="1:8" ht="15.75" x14ac:dyDescent="0.25">
      <c r="A169" s="25" t="s">
        <v>289</v>
      </c>
      <c r="B169" s="20" t="s">
        <v>454</v>
      </c>
      <c r="C169" s="40" t="s">
        <v>279</v>
      </c>
      <c r="D169" s="40" t="s">
        <v>228</v>
      </c>
      <c r="E169" s="40" t="s">
        <v>290</v>
      </c>
      <c r="F169" s="40"/>
      <c r="G169" s="6" t="e">
        <f>'Пр.6 ведом.20'!#REF!</f>
        <v>#REF!</v>
      </c>
    </row>
    <row r="170" spans="1:8" ht="47.25" x14ac:dyDescent="0.25">
      <c r="A170" s="25" t="s">
        <v>293</v>
      </c>
      <c r="B170" s="40" t="s">
        <v>457</v>
      </c>
      <c r="C170" s="40" t="s">
        <v>279</v>
      </c>
      <c r="D170" s="40" t="s">
        <v>228</v>
      </c>
      <c r="E170" s="40"/>
      <c r="F170" s="40"/>
      <c r="G170" s="6" t="e">
        <f>G171</f>
        <v>#REF!</v>
      </c>
    </row>
    <row r="171" spans="1:8" ht="63" x14ac:dyDescent="0.25">
      <c r="A171" s="25" t="s">
        <v>287</v>
      </c>
      <c r="B171" s="40" t="s">
        <v>457</v>
      </c>
      <c r="C171" s="40" t="s">
        <v>279</v>
      </c>
      <c r="D171" s="40" t="s">
        <v>228</v>
      </c>
      <c r="E171" s="40" t="s">
        <v>288</v>
      </c>
      <c r="F171" s="40"/>
      <c r="G171" s="6" t="e">
        <f>G172</f>
        <v>#REF!</v>
      </c>
    </row>
    <row r="172" spans="1:8" ht="15.75" x14ac:dyDescent="0.25">
      <c r="A172" s="25" t="s">
        <v>289</v>
      </c>
      <c r="B172" s="40" t="s">
        <v>457</v>
      </c>
      <c r="C172" s="40" t="s">
        <v>279</v>
      </c>
      <c r="D172" s="40" t="s">
        <v>228</v>
      </c>
      <c r="E172" s="40" t="s">
        <v>290</v>
      </c>
      <c r="F172" s="40"/>
      <c r="G172" s="6" t="e">
        <f>'Пр.6 ведом.20'!#REF!</f>
        <v>#REF!</v>
      </c>
      <c r="H172" s="115"/>
    </row>
    <row r="173" spans="1:8" ht="47.25" x14ac:dyDescent="0.25">
      <c r="A173" s="29" t="s">
        <v>297</v>
      </c>
      <c r="B173" s="40" t="s">
        <v>459</v>
      </c>
      <c r="C173" s="40" t="s">
        <v>279</v>
      </c>
      <c r="D173" s="40" t="s">
        <v>228</v>
      </c>
      <c r="E173" s="40"/>
      <c r="F173" s="40"/>
      <c r="G173" s="10" t="e">
        <f>G174</f>
        <v>#REF!</v>
      </c>
    </row>
    <row r="174" spans="1:8" ht="63" x14ac:dyDescent="0.25">
      <c r="A174" s="29" t="s">
        <v>287</v>
      </c>
      <c r="B174" s="40" t="s">
        <v>459</v>
      </c>
      <c r="C174" s="40" t="s">
        <v>279</v>
      </c>
      <c r="D174" s="40" t="s">
        <v>228</v>
      </c>
      <c r="E174" s="40" t="s">
        <v>288</v>
      </c>
      <c r="F174" s="40"/>
      <c r="G174" s="10" t="e">
        <f>G175</f>
        <v>#REF!</v>
      </c>
    </row>
    <row r="175" spans="1:8" ht="26.25" customHeight="1" x14ac:dyDescent="0.25">
      <c r="A175" s="29" t="s">
        <v>289</v>
      </c>
      <c r="B175" s="40" t="s">
        <v>459</v>
      </c>
      <c r="C175" s="40" t="s">
        <v>279</v>
      </c>
      <c r="D175" s="40" t="s">
        <v>228</v>
      </c>
      <c r="E175" s="40" t="s">
        <v>290</v>
      </c>
      <c r="F175" s="40"/>
      <c r="G175" s="10" t="e">
        <f>'Пр.6 ведом.20'!#REF!</f>
        <v>#REF!</v>
      </c>
    </row>
    <row r="176" spans="1:8" ht="31.5" x14ac:dyDescent="0.25">
      <c r="A176" s="29" t="s">
        <v>299</v>
      </c>
      <c r="B176" s="40" t="s">
        <v>460</v>
      </c>
      <c r="C176" s="40" t="s">
        <v>279</v>
      </c>
      <c r="D176" s="40" t="s">
        <v>228</v>
      </c>
      <c r="E176" s="40"/>
      <c r="F176" s="40"/>
      <c r="G176" s="10" t="e">
        <f>G177</f>
        <v>#REF!</v>
      </c>
    </row>
    <row r="177" spans="1:7" ht="63" x14ac:dyDescent="0.25">
      <c r="A177" s="29" t="s">
        <v>287</v>
      </c>
      <c r="B177" s="40" t="s">
        <v>460</v>
      </c>
      <c r="C177" s="40" t="s">
        <v>279</v>
      </c>
      <c r="D177" s="40" t="s">
        <v>228</v>
      </c>
      <c r="E177" s="40" t="s">
        <v>288</v>
      </c>
      <c r="F177" s="40"/>
      <c r="G177" s="10" t="e">
        <f>G178</f>
        <v>#REF!</v>
      </c>
    </row>
    <row r="178" spans="1:7" ht="26.25" customHeight="1" x14ac:dyDescent="0.25">
      <c r="A178" s="29" t="s">
        <v>289</v>
      </c>
      <c r="B178" s="40" t="s">
        <v>460</v>
      </c>
      <c r="C178" s="40" t="s">
        <v>279</v>
      </c>
      <c r="D178" s="40" t="s">
        <v>228</v>
      </c>
      <c r="E178" s="40" t="s">
        <v>290</v>
      </c>
      <c r="F178" s="40"/>
      <c r="G178" s="10" t="e">
        <f>'Пр.6 ведом.20'!#REF!</f>
        <v>#REF!</v>
      </c>
    </row>
    <row r="179" spans="1:7" ht="47.25" x14ac:dyDescent="0.25">
      <c r="A179" s="29" t="s">
        <v>418</v>
      </c>
      <c r="B179" s="40" t="s">
        <v>446</v>
      </c>
      <c r="C179" s="40" t="s">
        <v>279</v>
      </c>
      <c r="D179" s="40" t="s">
        <v>228</v>
      </c>
      <c r="E179" s="40"/>
      <c r="F179" s="40" t="s">
        <v>652</v>
      </c>
      <c r="G179" s="10" t="e">
        <f>G141</f>
        <v>#REF!</v>
      </c>
    </row>
    <row r="180" spans="1:7" ht="31.5" hidden="1" x14ac:dyDescent="0.25">
      <c r="A180" s="29" t="s">
        <v>299</v>
      </c>
      <c r="B180" s="40" t="s">
        <v>620</v>
      </c>
      <c r="C180" s="40" t="s">
        <v>279</v>
      </c>
      <c r="D180" s="40" t="s">
        <v>228</v>
      </c>
      <c r="E180" s="40"/>
      <c r="F180" s="40"/>
      <c r="G180" s="10">
        <f>G181</f>
        <v>0</v>
      </c>
    </row>
    <row r="181" spans="1:7" ht="63" hidden="1" x14ac:dyDescent="0.25">
      <c r="A181" s="29" t="s">
        <v>287</v>
      </c>
      <c r="B181" s="40" t="s">
        <v>620</v>
      </c>
      <c r="C181" s="40" t="s">
        <v>279</v>
      </c>
      <c r="D181" s="40" t="s">
        <v>228</v>
      </c>
      <c r="E181" s="40" t="s">
        <v>288</v>
      </c>
      <c r="F181" s="40"/>
      <c r="G181" s="10">
        <f>G182</f>
        <v>0</v>
      </c>
    </row>
    <row r="182" spans="1:7" ht="15.75" hidden="1" x14ac:dyDescent="0.25">
      <c r="A182" s="29" t="s">
        <v>289</v>
      </c>
      <c r="B182" s="40" t="s">
        <v>620</v>
      </c>
      <c r="C182" s="40" t="s">
        <v>279</v>
      </c>
      <c r="D182" s="40" t="s">
        <v>228</v>
      </c>
      <c r="E182" s="40" t="s">
        <v>290</v>
      </c>
      <c r="F182" s="40"/>
      <c r="G182" s="10"/>
    </row>
    <row r="183" spans="1:7" ht="47.25" hidden="1" x14ac:dyDescent="0.25">
      <c r="A183" s="29" t="s">
        <v>418</v>
      </c>
      <c r="B183" s="40" t="s">
        <v>620</v>
      </c>
      <c r="C183" s="40" t="s">
        <v>279</v>
      </c>
      <c r="D183" s="40" t="s">
        <v>228</v>
      </c>
      <c r="E183" s="40"/>
      <c r="F183" s="40" t="s">
        <v>652</v>
      </c>
      <c r="G183" s="10">
        <v>0</v>
      </c>
    </row>
    <row r="184" spans="1:7" ht="47.25" hidden="1" x14ac:dyDescent="0.25">
      <c r="A184" s="29" t="s">
        <v>653</v>
      </c>
      <c r="B184" s="40" t="s">
        <v>621</v>
      </c>
      <c r="C184" s="40" t="s">
        <v>279</v>
      </c>
      <c r="D184" s="40" t="s">
        <v>228</v>
      </c>
      <c r="E184" s="40"/>
      <c r="F184" s="40"/>
      <c r="G184" s="10">
        <f>G185</f>
        <v>0</v>
      </c>
    </row>
    <row r="185" spans="1:7" ht="63" hidden="1" x14ac:dyDescent="0.25">
      <c r="A185" s="29" t="s">
        <v>287</v>
      </c>
      <c r="B185" s="40" t="s">
        <v>621</v>
      </c>
      <c r="C185" s="40" t="s">
        <v>279</v>
      </c>
      <c r="D185" s="40" t="s">
        <v>228</v>
      </c>
      <c r="E185" s="40" t="s">
        <v>288</v>
      </c>
      <c r="F185" s="40"/>
      <c r="G185" s="10">
        <f>G186</f>
        <v>0</v>
      </c>
    </row>
    <row r="186" spans="1:7" ht="15.75" hidden="1" x14ac:dyDescent="0.25">
      <c r="A186" s="29" t="s">
        <v>289</v>
      </c>
      <c r="B186" s="40" t="s">
        <v>621</v>
      </c>
      <c r="C186" s="40" t="s">
        <v>279</v>
      </c>
      <c r="D186" s="40" t="s">
        <v>228</v>
      </c>
      <c r="E186" s="40" t="s">
        <v>290</v>
      </c>
      <c r="F186" s="40"/>
      <c r="G186" s="10"/>
    </row>
    <row r="187" spans="1:7" ht="47.25" hidden="1" x14ac:dyDescent="0.25">
      <c r="A187" s="29" t="s">
        <v>418</v>
      </c>
      <c r="B187" s="40" t="s">
        <v>621</v>
      </c>
      <c r="C187" s="40" t="s">
        <v>279</v>
      </c>
      <c r="D187" s="40" t="s">
        <v>228</v>
      </c>
      <c r="E187" s="40"/>
      <c r="F187" s="40" t="s">
        <v>652</v>
      </c>
      <c r="G187" s="10">
        <v>0</v>
      </c>
    </row>
    <row r="188" spans="1:7" ht="45.75" customHeight="1" x14ac:dyDescent="0.25">
      <c r="A188" s="41" t="s">
        <v>461</v>
      </c>
      <c r="B188" s="7" t="s">
        <v>462</v>
      </c>
      <c r="C188" s="7"/>
      <c r="D188" s="7"/>
      <c r="E188" s="7"/>
      <c r="F188" s="7"/>
      <c r="G188" s="59" t="e">
        <f>G189</f>
        <v>#REF!</v>
      </c>
    </row>
    <row r="189" spans="1:7" ht="21" customHeight="1" x14ac:dyDescent="0.25">
      <c r="A189" s="29" t="s">
        <v>278</v>
      </c>
      <c r="B189" s="40" t="s">
        <v>462</v>
      </c>
      <c r="C189" s="40" t="s">
        <v>279</v>
      </c>
      <c r="D189" s="40"/>
      <c r="E189" s="40"/>
      <c r="F189" s="40"/>
      <c r="G189" s="10" t="e">
        <f>G190</f>
        <v>#REF!</v>
      </c>
    </row>
    <row r="190" spans="1:7" ht="22.5" customHeight="1" x14ac:dyDescent="0.25">
      <c r="A190" s="29" t="s">
        <v>280</v>
      </c>
      <c r="B190" s="40" t="s">
        <v>462</v>
      </c>
      <c r="C190" s="40" t="s">
        <v>279</v>
      </c>
      <c r="D190" s="40" t="s">
        <v>230</v>
      </c>
      <c r="E190" s="40"/>
      <c r="F190" s="40"/>
      <c r="G190" s="10" t="e">
        <f>G191</f>
        <v>#REF!</v>
      </c>
    </row>
    <row r="191" spans="1:7" ht="31.5" x14ac:dyDescent="0.25">
      <c r="A191" s="45" t="s">
        <v>721</v>
      </c>
      <c r="B191" s="20" t="s">
        <v>722</v>
      </c>
      <c r="C191" s="40" t="s">
        <v>279</v>
      </c>
      <c r="D191" s="40" t="s">
        <v>230</v>
      </c>
      <c r="E191" s="40"/>
      <c r="F191" s="40"/>
      <c r="G191" s="10" t="e">
        <f>G192</f>
        <v>#REF!</v>
      </c>
    </row>
    <row r="192" spans="1:7" ht="63" x14ac:dyDescent="0.25">
      <c r="A192" s="29" t="s">
        <v>287</v>
      </c>
      <c r="B192" s="20" t="s">
        <v>722</v>
      </c>
      <c r="C192" s="40" t="s">
        <v>279</v>
      </c>
      <c r="D192" s="40" t="s">
        <v>230</v>
      </c>
      <c r="E192" s="40" t="s">
        <v>288</v>
      </c>
      <c r="F192" s="40"/>
      <c r="G192" s="10" t="e">
        <f>G193</f>
        <v>#REF!</v>
      </c>
    </row>
    <row r="193" spans="1:8" ht="15.75" x14ac:dyDescent="0.25">
      <c r="A193" s="29" t="s">
        <v>289</v>
      </c>
      <c r="B193" s="20" t="s">
        <v>722</v>
      </c>
      <c r="C193" s="40" t="s">
        <v>279</v>
      </c>
      <c r="D193" s="40" t="s">
        <v>230</v>
      </c>
      <c r="E193" s="40" t="s">
        <v>290</v>
      </c>
      <c r="F193" s="40"/>
      <c r="G193" s="10" t="e">
        <f>'Пр.6 ведом.20'!#REF!</f>
        <v>#REF!</v>
      </c>
      <c r="H193" s="115"/>
    </row>
    <row r="194" spans="1:8" ht="47.25" x14ac:dyDescent="0.25">
      <c r="A194" s="29" t="s">
        <v>418</v>
      </c>
      <c r="B194" s="20" t="s">
        <v>722</v>
      </c>
      <c r="C194" s="40" t="s">
        <v>279</v>
      </c>
      <c r="D194" s="40" t="s">
        <v>230</v>
      </c>
      <c r="E194" s="40"/>
      <c r="F194" s="40" t="s">
        <v>652</v>
      </c>
      <c r="G194" s="10" t="e">
        <f>G189</f>
        <v>#REF!</v>
      </c>
    </row>
    <row r="195" spans="1:8" ht="47.25" hidden="1" x14ac:dyDescent="0.25">
      <c r="A195" s="29" t="s">
        <v>654</v>
      </c>
      <c r="B195" s="40" t="s">
        <v>622</v>
      </c>
      <c r="C195" s="40" t="s">
        <v>279</v>
      </c>
      <c r="D195" s="40" t="s">
        <v>228</v>
      </c>
      <c r="E195" s="40"/>
      <c r="F195" s="40"/>
      <c r="G195" s="10">
        <f>G199</f>
        <v>0</v>
      </c>
    </row>
    <row r="196" spans="1:8" ht="63" hidden="1" x14ac:dyDescent="0.25">
      <c r="A196" s="29" t="s">
        <v>287</v>
      </c>
      <c r="B196" s="40" t="s">
        <v>622</v>
      </c>
      <c r="C196" s="40" t="s">
        <v>483</v>
      </c>
      <c r="D196" s="40" t="s">
        <v>655</v>
      </c>
      <c r="E196" s="40" t="s">
        <v>288</v>
      </c>
      <c r="F196" s="40"/>
      <c r="G196" s="10">
        <f>G197</f>
        <v>0</v>
      </c>
    </row>
    <row r="197" spans="1:8" ht="15.75" hidden="1" x14ac:dyDescent="0.25">
      <c r="A197" s="29" t="s">
        <v>289</v>
      </c>
      <c r="B197" s="40" t="s">
        <v>622</v>
      </c>
      <c r="C197" s="40" t="s">
        <v>483</v>
      </c>
      <c r="D197" s="40" t="s">
        <v>655</v>
      </c>
      <c r="E197" s="40" t="s">
        <v>290</v>
      </c>
      <c r="F197" s="40"/>
      <c r="G197" s="10">
        <f>G198</f>
        <v>0</v>
      </c>
    </row>
    <row r="198" spans="1:8" ht="31.5" hidden="1" x14ac:dyDescent="0.25">
      <c r="A198" s="29" t="s">
        <v>614</v>
      </c>
      <c r="B198" s="40" t="s">
        <v>622</v>
      </c>
      <c r="C198" s="40" t="s">
        <v>483</v>
      </c>
      <c r="D198" s="40" t="s">
        <v>655</v>
      </c>
      <c r="E198" s="40" t="s">
        <v>615</v>
      </c>
      <c r="F198" s="40"/>
      <c r="G198" s="10">
        <f>G199</f>
        <v>0</v>
      </c>
    </row>
    <row r="199" spans="1:8" ht="47.25" hidden="1" x14ac:dyDescent="0.25">
      <c r="A199" s="29" t="s">
        <v>418</v>
      </c>
      <c r="B199" s="40" t="s">
        <v>622</v>
      </c>
      <c r="C199" s="40" t="s">
        <v>279</v>
      </c>
      <c r="D199" s="40" t="s">
        <v>228</v>
      </c>
      <c r="E199" s="40"/>
      <c r="F199" s="40" t="s">
        <v>652</v>
      </c>
      <c r="G199" s="10"/>
    </row>
    <row r="200" spans="1:8" ht="47.25" hidden="1" x14ac:dyDescent="0.25">
      <c r="A200" s="29" t="s">
        <v>656</v>
      </c>
      <c r="B200" s="20" t="s">
        <v>463</v>
      </c>
      <c r="C200" s="40" t="s">
        <v>279</v>
      </c>
      <c r="D200" s="40" t="s">
        <v>228</v>
      </c>
      <c r="E200" s="40"/>
      <c r="F200" s="40"/>
      <c r="G200" s="10">
        <f>G201</f>
        <v>0</v>
      </c>
    </row>
    <row r="201" spans="1:8" ht="31.5" hidden="1" x14ac:dyDescent="0.25">
      <c r="A201" s="29" t="s">
        <v>295</v>
      </c>
      <c r="B201" s="20" t="s">
        <v>463</v>
      </c>
      <c r="C201" s="40" t="s">
        <v>279</v>
      </c>
      <c r="D201" s="40" t="s">
        <v>228</v>
      </c>
      <c r="E201" s="40" t="s">
        <v>288</v>
      </c>
      <c r="F201" s="40"/>
      <c r="G201" s="10">
        <f>G202</f>
        <v>0</v>
      </c>
    </row>
    <row r="202" spans="1:8" ht="15.75" hidden="1" x14ac:dyDescent="0.25">
      <c r="A202" s="29" t="s">
        <v>289</v>
      </c>
      <c r="B202" s="20" t="s">
        <v>463</v>
      </c>
      <c r="C202" s="40" t="s">
        <v>279</v>
      </c>
      <c r="D202" s="40" t="s">
        <v>228</v>
      </c>
      <c r="E202" s="40" t="s">
        <v>290</v>
      </c>
      <c r="F202" s="40"/>
      <c r="G202" s="10"/>
    </row>
    <row r="203" spans="1:8" ht="31.5" hidden="1" x14ac:dyDescent="0.25">
      <c r="A203" s="29" t="s">
        <v>614</v>
      </c>
      <c r="B203" s="20" t="s">
        <v>463</v>
      </c>
      <c r="C203" s="40" t="s">
        <v>279</v>
      </c>
      <c r="D203" s="40" t="s">
        <v>228</v>
      </c>
      <c r="E203" s="40" t="s">
        <v>615</v>
      </c>
      <c r="F203" s="40"/>
      <c r="G203" s="10"/>
    </row>
    <row r="204" spans="1:8" ht="47.25" hidden="1" x14ac:dyDescent="0.25">
      <c r="A204" s="29" t="s">
        <v>418</v>
      </c>
      <c r="B204" s="20" t="s">
        <v>463</v>
      </c>
      <c r="C204" s="40" t="s">
        <v>279</v>
      </c>
      <c r="D204" s="40" t="s">
        <v>228</v>
      </c>
      <c r="E204" s="40"/>
      <c r="F204" s="40" t="s">
        <v>652</v>
      </c>
      <c r="G204" s="6">
        <f>G200</f>
        <v>0</v>
      </c>
    </row>
    <row r="205" spans="1:8" ht="47.25" hidden="1" x14ac:dyDescent="0.25">
      <c r="A205" s="29" t="s">
        <v>619</v>
      </c>
      <c r="B205" s="40" t="s">
        <v>464</v>
      </c>
      <c r="C205" s="40" t="s">
        <v>279</v>
      </c>
      <c r="D205" s="40" t="s">
        <v>228</v>
      </c>
      <c r="E205" s="40"/>
      <c r="F205" s="40"/>
      <c r="G205" s="10">
        <f>G206</f>
        <v>0</v>
      </c>
    </row>
    <row r="206" spans="1:8" ht="63" hidden="1" x14ac:dyDescent="0.25">
      <c r="A206" s="29" t="s">
        <v>287</v>
      </c>
      <c r="B206" s="40" t="s">
        <v>464</v>
      </c>
      <c r="C206" s="40" t="s">
        <v>279</v>
      </c>
      <c r="D206" s="40" t="s">
        <v>228</v>
      </c>
      <c r="E206" s="40" t="s">
        <v>288</v>
      </c>
      <c r="F206" s="40"/>
      <c r="G206" s="10">
        <f>G207</f>
        <v>0</v>
      </c>
    </row>
    <row r="207" spans="1:8" ht="15.75" hidden="1" x14ac:dyDescent="0.25">
      <c r="A207" s="29" t="s">
        <v>289</v>
      </c>
      <c r="B207" s="40" t="s">
        <v>464</v>
      </c>
      <c r="C207" s="40" t="s">
        <v>279</v>
      </c>
      <c r="D207" s="40" t="s">
        <v>228</v>
      </c>
      <c r="E207" s="40" t="s">
        <v>290</v>
      </c>
      <c r="F207" s="40" t="s">
        <v>652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482</v>
      </c>
      <c r="B210" s="7" t="s">
        <v>484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278</v>
      </c>
      <c r="B211" s="40" t="s">
        <v>484</v>
      </c>
      <c r="C211" s="40" t="s">
        <v>279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481</v>
      </c>
      <c r="B212" s="40" t="s">
        <v>484</v>
      </c>
      <c r="C212" s="40" t="s">
        <v>279</v>
      </c>
      <c r="D212" s="40" t="s">
        <v>279</v>
      </c>
      <c r="E212" s="40"/>
      <c r="F212" s="40"/>
      <c r="G212" s="10" t="e">
        <f>G213</f>
        <v>#REF!</v>
      </c>
    </row>
    <row r="213" spans="1:7" ht="47.25" x14ac:dyDescent="0.25">
      <c r="A213" s="25" t="s">
        <v>625</v>
      </c>
      <c r="B213" s="20" t="s">
        <v>486</v>
      </c>
      <c r="C213" s="40" t="s">
        <v>279</v>
      </c>
      <c r="D213" s="40" t="s">
        <v>279</v>
      </c>
      <c r="E213" s="40"/>
      <c r="F213" s="40"/>
      <c r="G213" s="10" t="e">
        <f>G214</f>
        <v>#REF!</v>
      </c>
    </row>
    <row r="214" spans="1:7" ht="63" x14ac:dyDescent="0.25">
      <c r="A214" s="29" t="s">
        <v>287</v>
      </c>
      <c r="B214" s="20" t="s">
        <v>486</v>
      </c>
      <c r="C214" s="40" t="s">
        <v>279</v>
      </c>
      <c r="D214" s="40" t="s">
        <v>279</v>
      </c>
      <c r="E214" s="40" t="s">
        <v>288</v>
      </c>
      <c r="F214" s="40"/>
      <c r="G214" s="10" t="e">
        <f>G215</f>
        <v>#REF!</v>
      </c>
    </row>
    <row r="215" spans="1:7" ht="15.75" x14ac:dyDescent="0.25">
      <c r="A215" s="29" t="s">
        <v>289</v>
      </c>
      <c r="B215" s="20" t="s">
        <v>486</v>
      </c>
      <c r="C215" s="40" t="s">
        <v>279</v>
      </c>
      <c r="D215" s="40" t="s">
        <v>279</v>
      </c>
      <c r="E215" s="40" t="s">
        <v>290</v>
      </c>
      <c r="F215" s="40"/>
      <c r="G215" s="10" t="e">
        <f>'Пр.6 ведом.20'!#REF!</f>
        <v>#REF!</v>
      </c>
    </row>
    <row r="216" spans="1:7" ht="47.25" x14ac:dyDescent="0.25">
      <c r="A216" s="29" t="s">
        <v>418</v>
      </c>
      <c r="B216" s="20" t="s">
        <v>484</v>
      </c>
      <c r="C216" s="40" t="s">
        <v>279</v>
      </c>
      <c r="D216" s="40" t="s">
        <v>279</v>
      </c>
      <c r="E216" s="40"/>
      <c r="F216" s="40" t="s">
        <v>652</v>
      </c>
      <c r="G216" s="10" t="e">
        <f>G210</f>
        <v>#REF!</v>
      </c>
    </row>
    <row r="217" spans="1:7" ht="78.75" x14ac:dyDescent="0.25">
      <c r="A217" s="58" t="s">
        <v>170</v>
      </c>
      <c r="B217" s="178" t="s">
        <v>171</v>
      </c>
      <c r="C217" s="7"/>
      <c r="D217" s="178"/>
      <c r="E217" s="178"/>
      <c r="F217" s="178"/>
      <c r="G217" s="59" t="e">
        <f>G220</f>
        <v>#REF!</v>
      </c>
    </row>
    <row r="218" spans="1:7" ht="15.75" x14ac:dyDescent="0.25">
      <c r="A218" s="45" t="s">
        <v>132</v>
      </c>
      <c r="B218" s="5" t="s">
        <v>171</v>
      </c>
      <c r="C218" s="40" t="s">
        <v>133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154</v>
      </c>
      <c r="B219" s="66" t="s">
        <v>171</v>
      </c>
      <c r="C219" s="40" t="s">
        <v>133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172</v>
      </c>
      <c r="B220" s="66" t="s">
        <v>173</v>
      </c>
      <c r="C220" s="40" t="s">
        <v>133</v>
      </c>
      <c r="D220" s="40" t="s">
        <v>155</v>
      </c>
      <c r="E220" s="40"/>
      <c r="F220" s="40"/>
      <c r="G220" s="10" t="e">
        <f>G221</f>
        <v>#REF!</v>
      </c>
    </row>
    <row r="221" spans="1:7" ht="47.25" x14ac:dyDescent="0.25">
      <c r="A221" s="29" t="s">
        <v>146</v>
      </c>
      <c r="B221" s="66" t="s">
        <v>173</v>
      </c>
      <c r="C221" s="40" t="s">
        <v>133</v>
      </c>
      <c r="D221" s="40" t="s">
        <v>155</v>
      </c>
      <c r="E221" s="40" t="s">
        <v>160</v>
      </c>
      <c r="F221" s="40"/>
      <c r="G221" s="10" t="e">
        <f>G222</f>
        <v>#REF!</v>
      </c>
    </row>
    <row r="222" spans="1:7" ht="78.75" x14ac:dyDescent="0.25">
      <c r="A222" s="29" t="s">
        <v>199</v>
      </c>
      <c r="B222" s="66" t="s">
        <v>173</v>
      </c>
      <c r="C222" s="40" t="s">
        <v>133</v>
      </c>
      <c r="D222" s="40" t="s">
        <v>155</v>
      </c>
      <c r="E222" s="40" t="s">
        <v>175</v>
      </c>
      <c r="F222" s="40"/>
      <c r="G222" s="10" t="e">
        <f>'Пр.6 ведом.20'!#REF!</f>
        <v>#REF!</v>
      </c>
    </row>
    <row r="223" spans="1:7" ht="31.5" x14ac:dyDescent="0.25">
      <c r="A223" s="29" t="s">
        <v>163</v>
      </c>
      <c r="B223" s="66" t="s">
        <v>171</v>
      </c>
      <c r="C223" s="40" t="s">
        <v>133</v>
      </c>
      <c r="D223" s="40" t="s">
        <v>155</v>
      </c>
      <c r="E223" s="40"/>
      <c r="F223" s="40" t="s">
        <v>657</v>
      </c>
      <c r="G223" s="10" t="e">
        <f>G217</f>
        <v>#REF!</v>
      </c>
    </row>
    <row r="224" spans="1:7" ht="73.5" customHeight="1" x14ac:dyDescent="0.25">
      <c r="A224" s="41" t="s">
        <v>176</v>
      </c>
      <c r="B224" s="178" t="s">
        <v>177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132</v>
      </c>
      <c r="B225" s="5" t="s">
        <v>177</v>
      </c>
      <c r="C225" s="40" t="s">
        <v>133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154</v>
      </c>
      <c r="B226" s="66" t="s">
        <v>177</v>
      </c>
      <c r="C226" s="40" t="s">
        <v>133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178</v>
      </c>
      <c r="B227" s="40" t="s">
        <v>179</v>
      </c>
      <c r="C227" s="40" t="s">
        <v>133</v>
      </c>
      <c r="D227" s="40" t="s">
        <v>155</v>
      </c>
      <c r="E227" s="40"/>
      <c r="F227" s="40"/>
      <c r="G227" s="10" t="e">
        <f>G228</f>
        <v>#REF!</v>
      </c>
    </row>
    <row r="228" spans="1:7" ht="47.25" x14ac:dyDescent="0.25">
      <c r="A228" s="29" t="s">
        <v>146</v>
      </c>
      <c r="B228" s="40" t="s">
        <v>179</v>
      </c>
      <c r="C228" s="40" t="s">
        <v>133</v>
      </c>
      <c r="D228" s="40" t="s">
        <v>155</v>
      </c>
      <c r="E228" s="40" t="s">
        <v>147</v>
      </c>
      <c r="F228" s="40"/>
      <c r="G228" s="10" t="e">
        <f>G229</f>
        <v>#REF!</v>
      </c>
    </row>
    <row r="229" spans="1:7" ht="47.25" x14ac:dyDescent="0.25">
      <c r="A229" s="29" t="s">
        <v>148</v>
      </c>
      <c r="B229" s="40" t="s">
        <v>179</v>
      </c>
      <c r="C229" s="40" t="s">
        <v>133</v>
      </c>
      <c r="D229" s="40" t="s">
        <v>155</v>
      </c>
      <c r="E229" s="40" t="s">
        <v>149</v>
      </c>
      <c r="F229" s="40"/>
      <c r="G229" s="10" t="e">
        <f>'Пр.6 ведом.20'!#REF!</f>
        <v>#REF!</v>
      </c>
    </row>
    <row r="230" spans="1:7" ht="78.75" x14ac:dyDescent="0.25">
      <c r="A230" s="100" t="s">
        <v>180</v>
      </c>
      <c r="B230" s="40" t="s">
        <v>181</v>
      </c>
      <c r="C230" s="40" t="s">
        <v>133</v>
      </c>
      <c r="D230" s="40" t="s">
        <v>155</v>
      </c>
      <c r="E230" s="40"/>
      <c r="F230" s="40"/>
      <c r="G230" s="10" t="e">
        <f>G231+G233</f>
        <v>#REF!</v>
      </c>
    </row>
    <row r="231" spans="1:7" ht="110.25" x14ac:dyDescent="0.25">
      <c r="A231" s="29" t="s">
        <v>142</v>
      </c>
      <c r="B231" s="40" t="s">
        <v>181</v>
      </c>
      <c r="C231" s="40" t="s">
        <v>133</v>
      </c>
      <c r="D231" s="40" t="s">
        <v>155</v>
      </c>
      <c r="E231" s="40" t="s">
        <v>143</v>
      </c>
      <c r="F231" s="40"/>
      <c r="G231" s="10" t="e">
        <f>G232</f>
        <v>#REF!</v>
      </c>
    </row>
    <row r="232" spans="1:7" ht="47.25" x14ac:dyDescent="0.25">
      <c r="A232" s="29" t="s">
        <v>144</v>
      </c>
      <c r="B232" s="40" t="s">
        <v>181</v>
      </c>
      <c r="C232" s="40" t="s">
        <v>133</v>
      </c>
      <c r="D232" s="40" t="s">
        <v>155</v>
      </c>
      <c r="E232" s="40" t="s">
        <v>145</v>
      </c>
      <c r="F232" s="40"/>
      <c r="G232" s="10" t="e">
        <f>'Пр.6 ведом.20'!#REF!</f>
        <v>#REF!</v>
      </c>
    </row>
    <row r="233" spans="1:7" ht="47.25" x14ac:dyDescent="0.25">
      <c r="A233" s="29" t="s">
        <v>146</v>
      </c>
      <c r="B233" s="40" t="s">
        <v>181</v>
      </c>
      <c r="C233" s="40" t="s">
        <v>133</v>
      </c>
      <c r="D233" s="40" t="s">
        <v>155</v>
      </c>
      <c r="E233" s="40" t="s">
        <v>147</v>
      </c>
      <c r="F233" s="40"/>
      <c r="G233" s="10" t="e">
        <f>G234</f>
        <v>#REF!</v>
      </c>
    </row>
    <row r="234" spans="1:7" ht="47.25" x14ac:dyDescent="0.25">
      <c r="A234" s="29" t="s">
        <v>148</v>
      </c>
      <c r="B234" s="40" t="s">
        <v>181</v>
      </c>
      <c r="C234" s="40" t="s">
        <v>133</v>
      </c>
      <c r="D234" s="40" t="s">
        <v>155</v>
      </c>
      <c r="E234" s="40" t="s">
        <v>149</v>
      </c>
      <c r="F234" s="40"/>
      <c r="G234" s="10" t="e">
        <f>'Пр.6 ведом.20'!#REF!</f>
        <v>#REF!</v>
      </c>
    </row>
    <row r="235" spans="1:7" ht="63" x14ac:dyDescent="0.25">
      <c r="A235" s="31" t="s">
        <v>711</v>
      </c>
      <c r="B235" s="40" t="s">
        <v>712</v>
      </c>
      <c r="C235" s="40" t="s">
        <v>133</v>
      </c>
      <c r="D235" s="40" t="s">
        <v>155</v>
      </c>
      <c r="E235" s="40"/>
      <c r="F235" s="40"/>
      <c r="G235" s="10" t="e">
        <f>G236</f>
        <v>#REF!</v>
      </c>
    </row>
    <row r="236" spans="1:7" ht="47.25" x14ac:dyDescent="0.25">
      <c r="A236" s="25" t="s">
        <v>146</v>
      </c>
      <c r="B236" s="40" t="s">
        <v>712</v>
      </c>
      <c r="C236" s="40" t="s">
        <v>133</v>
      </c>
      <c r="D236" s="40" t="s">
        <v>155</v>
      </c>
      <c r="E236" s="40" t="s">
        <v>147</v>
      </c>
      <c r="F236" s="40"/>
      <c r="G236" s="10" t="e">
        <f>G237</f>
        <v>#REF!</v>
      </c>
    </row>
    <row r="237" spans="1:7" ht="47.25" x14ac:dyDescent="0.25">
      <c r="A237" s="25" t="s">
        <v>148</v>
      </c>
      <c r="B237" s="40" t="s">
        <v>712</v>
      </c>
      <c r="C237" s="40" t="s">
        <v>133</v>
      </c>
      <c r="D237" s="40" t="s">
        <v>155</v>
      </c>
      <c r="E237" s="40" t="s">
        <v>149</v>
      </c>
      <c r="F237" s="40"/>
      <c r="G237" s="10" t="e">
        <f>'Пр.6 ведом.20'!#REF!</f>
        <v>#REF!</v>
      </c>
    </row>
    <row r="238" spans="1:7" ht="63" x14ac:dyDescent="0.25">
      <c r="A238" s="33" t="s">
        <v>206</v>
      </c>
      <c r="B238" s="40" t="s">
        <v>698</v>
      </c>
      <c r="C238" s="40" t="s">
        <v>133</v>
      </c>
      <c r="D238" s="40" t="s">
        <v>155</v>
      </c>
      <c r="E238" s="40"/>
      <c r="F238" s="40"/>
      <c r="G238" s="10" t="e">
        <f>G239</f>
        <v>#REF!</v>
      </c>
    </row>
    <row r="239" spans="1:7" ht="47.25" x14ac:dyDescent="0.25">
      <c r="A239" s="25" t="s">
        <v>146</v>
      </c>
      <c r="B239" s="40" t="s">
        <v>698</v>
      </c>
      <c r="C239" s="40" t="s">
        <v>133</v>
      </c>
      <c r="D239" s="40" t="s">
        <v>155</v>
      </c>
      <c r="E239" s="40" t="s">
        <v>147</v>
      </c>
      <c r="F239" s="40"/>
      <c r="G239" s="10" t="e">
        <f>G240</f>
        <v>#REF!</v>
      </c>
    </row>
    <row r="240" spans="1:7" ht="47.25" x14ac:dyDescent="0.25">
      <c r="A240" s="25" t="s">
        <v>148</v>
      </c>
      <c r="B240" s="40" t="s">
        <v>698</v>
      </c>
      <c r="C240" s="40" t="s">
        <v>133</v>
      </c>
      <c r="D240" s="40" t="s">
        <v>155</v>
      </c>
      <c r="E240" s="40" t="s">
        <v>149</v>
      </c>
      <c r="F240" s="40"/>
      <c r="G240" s="10" t="e">
        <f>'Пр.6 ведом.20'!#REF!</f>
        <v>#REF!</v>
      </c>
    </row>
    <row r="241" spans="1:7" ht="31.5" x14ac:dyDescent="0.25">
      <c r="A241" s="29" t="s">
        <v>163</v>
      </c>
      <c r="B241" s="40" t="s">
        <v>177</v>
      </c>
      <c r="C241" s="40" t="s">
        <v>133</v>
      </c>
      <c r="D241" s="40" t="s">
        <v>155</v>
      </c>
      <c r="E241" s="40"/>
      <c r="F241" s="40" t="s">
        <v>657</v>
      </c>
      <c r="G241" s="10" t="e">
        <f>G224</f>
        <v>#REF!</v>
      </c>
    </row>
    <row r="242" spans="1:7" ht="94.5" x14ac:dyDescent="0.25">
      <c r="A242" s="41" t="s">
        <v>268</v>
      </c>
      <c r="B242" s="178" t="s">
        <v>269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258</v>
      </c>
      <c r="B243" s="5" t="s">
        <v>269</v>
      </c>
      <c r="C243" s="40" t="s">
        <v>259</v>
      </c>
      <c r="D243" s="40"/>
      <c r="E243" s="40"/>
      <c r="F243" s="40"/>
      <c r="G243" s="10" t="e">
        <f>G244</f>
        <v>#REF!</v>
      </c>
    </row>
    <row r="244" spans="1:7" ht="22.5" customHeight="1" x14ac:dyDescent="0.25">
      <c r="A244" s="29" t="s">
        <v>267</v>
      </c>
      <c r="B244" s="5" t="s">
        <v>269</v>
      </c>
      <c r="C244" s="40" t="s">
        <v>259</v>
      </c>
      <c r="D244" s="40" t="s">
        <v>230</v>
      </c>
      <c r="E244" s="40"/>
      <c r="F244" s="40"/>
      <c r="G244" s="10" t="e">
        <f>G245</f>
        <v>#REF!</v>
      </c>
    </row>
    <row r="245" spans="1:7" ht="47.25" x14ac:dyDescent="0.25">
      <c r="A245" s="29" t="s">
        <v>172</v>
      </c>
      <c r="B245" s="66" t="s">
        <v>270</v>
      </c>
      <c r="C245" s="40" t="s">
        <v>259</v>
      </c>
      <c r="D245" s="40" t="s">
        <v>230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263</v>
      </c>
      <c r="B246" s="66" t="s">
        <v>270</v>
      </c>
      <c r="C246" s="40" t="s">
        <v>259</v>
      </c>
      <c r="D246" s="40" t="s">
        <v>230</v>
      </c>
      <c r="E246" s="40" t="s">
        <v>264</v>
      </c>
      <c r="F246" s="40"/>
      <c r="G246" s="10" t="e">
        <f>G247</f>
        <v>#REF!</v>
      </c>
    </row>
    <row r="247" spans="1:7" ht="47.25" x14ac:dyDescent="0.25">
      <c r="A247" s="29" t="s">
        <v>265</v>
      </c>
      <c r="B247" s="66" t="s">
        <v>270</v>
      </c>
      <c r="C247" s="40" t="s">
        <v>259</v>
      </c>
      <c r="D247" s="40" t="s">
        <v>230</v>
      </c>
      <c r="E247" s="40" t="s">
        <v>266</v>
      </c>
      <c r="F247" s="40"/>
      <c r="G247" s="10" t="e">
        <f>'Пр.6 ведом.20'!#REF!</f>
        <v>#REF!</v>
      </c>
    </row>
    <row r="248" spans="1:7" ht="31.5" x14ac:dyDescent="0.25">
      <c r="A248" s="45" t="s">
        <v>163</v>
      </c>
      <c r="B248" s="66" t="s">
        <v>269</v>
      </c>
      <c r="C248" s="40" t="s">
        <v>259</v>
      </c>
      <c r="D248" s="40" t="s">
        <v>230</v>
      </c>
      <c r="E248" s="40"/>
      <c r="F248" s="40" t="s">
        <v>657</v>
      </c>
      <c r="G248" s="10" t="e">
        <f>G242</f>
        <v>#REF!</v>
      </c>
    </row>
    <row r="249" spans="1:7" ht="141.75" x14ac:dyDescent="0.25">
      <c r="A249" s="41" t="s">
        <v>609</v>
      </c>
      <c r="B249" s="178" t="s">
        <v>183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184</v>
      </c>
      <c r="B250" s="178" t="s">
        <v>185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132</v>
      </c>
      <c r="B251" s="5" t="s">
        <v>185</v>
      </c>
      <c r="C251" s="40" t="s">
        <v>133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154</v>
      </c>
      <c r="B252" s="5" t="s">
        <v>185</v>
      </c>
      <c r="C252" s="40" t="s">
        <v>133</v>
      </c>
      <c r="D252" s="40" t="s">
        <v>155</v>
      </c>
      <c r="E252" s="40"/>
      <c r="F252" s="40"/>
      <c r="G252" s="10" t="e">
        <f>G253</f>
        <v>#REF!</v>
      </c>
    </row>
    <row r="253" spans="1:7" ht="47.25" x14ac:dyDescent="0.25">
      <c r="A253" s="100" t="s">
        <v>186</v>
      </c>
      <c r="B253" s="5" t="s">
        <v>187</v>
      </c>
      <c r="C253" s="40" t="s">
        <v>133</v>
      </c>
      <c r="D253" s="40" t="s">
        <v>155</v>
      </c>
      <c r="E253" s="40"/>
      <c r="F253" s="40"/>
      <c r="G253" s="10" t="e">
        <f>G254</f>
        <v>#REF!</v>
      </c>
    </row>
    <row r="254" spans="1:7" ht="47.25" x14ac:dyDescent="0.25">
      <c r="A254" s="29" t="s">
        <v>146</v>
      </c>
      <c r="B254" s="5" t="s">
        <v>187</v>
      </c>
      <c r="C254" s="40" t="s">
        <v>133</v>
      </c>
      <c r="D254" s="40" t="s">
        <v>155</v>
      </c>
      <c r="E254" s="40" t="s">
        <v>147</v>
      </c>
      <c r="F254" s="40"/>
      <c r="G254" s="10" t="e">
        <f>G255</f>
        <v>#REF!</v>
      </c>
    </row>
    <row r="255" spans="1:7" ht="47.25" x14ac:dyDescent="0.25">
      <c r="A255" s="29" t="s">
        <v>148</v>
      </c>
      <c r="B255" s="5" t="s">
        <v>187</v>
      </c>
      <c r="C255" s="40" t="s">
        <v>133</v>
      </c>
      <c r="D255" s="40" t="s">
        <v>155</v>
      </c>
      <c r="E255" s="40" t="s">
        <v>149</v>
      </c>
      <c r="F255" s="40"/>
      <c r="G255" s="10" t="e">
        <f>'Пр.6 ведом.20'!#REF!</f>
        <v>#REF!</v>
      </c>
    </row>
    <row r="256" spans="1:7" ht="31.5" x14ac:dyDescent="0.25">
      <c r="A256" s="29" t="s">
        <v>163</v>
      </c>
      <c r="B256" s="5" t="s">
        <v>185</v>
      </c>
      <c r="C256" s="40" t="s">
        <v>133</v>
      </c>
      <c r="D256" s="40" t="s">
        <v>155</v>
      </c>
      <c r="E256" s="40"/>
      <c r="F256" s="40" t="s">
        <v>657</v>
      </c>
      <c r="G256" s="6" t="e">
        <f>G250</f>
        <v>#REF!</v>
      </c>
    </row>
    <row r="257" spans="1:7" ht="94.5" x14ac:dyDescent="0.25">
      <c r="A257" s="41" t="s">
        <v>188</v>
      </c>
      <c r="B257" s="178" t="s">
        <v>189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132</v>
      </c>
      <c r="B258" s="5" t="s">
        <v>189</v>
      </c>
      <c r="C258" s="40" t="s">
        <v>133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154</v>
      </c>
      <c r="B259" s="5" t="s">
        <v>189</v>
      </c>
      <c r="C259" s="40" t="s">
        <v>133</v>
      </c>
      <c r="D259" s="40" t="s">
        <v>155</v>
      </c>
      <c r="E259" s="40"/>
      <c r="F259" s="40"/>
      <c r="G259" s="6" t="e">
        <f>G260</f>
        <v>#REF!</v>
      </c>
    </row>
    <row r="260" spans="1:7" ht="31.5" x14ac:dyDescent="0.25">
      <c r="A260" s="45" t="s">
        <v>190</v>
      </c>
      <c r="B260" s="5" t="s">
        <v>191</v>
      </c>
      <c r="C260" s="9" t="s">
        <v>133</v>
      </c>
      <c r="D260" s="9" t="s">
        <v>155</v>
      </c>
      <c r="E260" s="9"/>
      <c r="F260" s="26"/>
      <c r="G260" s="26" t="e">
        <f>G261</f>
        <v>#REF!</v>
      </c>
    </row>
    <row r="261" spans="1:7" ht="47.25" x14ac:dyDescent="0.25">
      <c r="A261" s="25" t="s">
        <v>146</v>
      </c>
      <c r="B261" s="5" t="s">
        <v>191</v>
      </c>
      <c r="C261" s="9" t="s">
        <v>133</v>
      </c>
      <c r="D261" s="9" t="s">
        <v>155</v>
      </c>
      <c r="E261" s="9" t="s">
        <v>147</v>
      </c>
      <c r="F261" s="26"/>
      <c r="G261" s="26" t="e">
        <f>G262</f>
        <v>#REF!</v>
      </c>
    </row>
    <row r="262" spans="1:7" ht="47.25" x14ac:dyDescent="0.25">
      <c r="A262" s="25" t="s">
        <v>148</v>
      </c>
      <c r="B262" s="5" t="s">
        <v>191</v>
      </c>
      <c r="C262" s="9" t="s">
        <v>133</v>
      </c>
      <c r="D262" s="9" t="s">
        <v>155</v>
      </c>
      <c r="E262" s="9" t="s">
        <v>149</v>
      </c>
      <c r="F262" s="26"/>
      <c r="G262" s="26" t="e">
        <f>'Пр.6 ведом.20'!#REF!</f>
        <v>#REF!</v>
      </c>
    </row>
    <row r="263" spans="1:7" ht="31.5" x14ac:dyDescent="0.25">
      <c r="A263" s="29" t="s">
        <v>163</v>
      </c>
      <c r="B263" s="5" t="s">
        <v>189</v>
      </c>
      <c r="C263" s="40" t="s">
        <v>133</v>
      </c>
      <c r="D263" s="40" t="s">
        <v>155</v>
      </c>
      <c r="E263" s="40"/>
      <c r="F263" s="40" t="s">
        <v>657</v>
      </c>
      <c r="G263" s="6" t="e">
        <f>G257</f>
        <v>#REF!</v>
      </c>
    </row>
    <row r="264" spans="1:7" ht="63" x14ac:dyDescent="0.25">
      <c r="A264" s="23" t="s">
        <v>192</v>
      </c>
      <c r="B264" s="178" t="s">
        <v>193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132</v>
      </c>
      <c r="B265" s="5" t="s">
        <v>193</v>
      </c>
      <c r="C265" s="40" t="s">
        <v>133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154</v>
      </c>
      <c r="B266" s="5" t="s">
        <v>193</v>
      </c>
      <c r="C266" s="40" t="s">
        <v>133</v>
      </c>
      <c r="D266" s="40" t="s">
        <v>155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194</v>
      </c>
      <c r="B267" s="5" t="s">
        <v>195</v>
      </c>
      <c r="C267" s="40" t="s">
        <v>133</v>
      </c>
      <c r="D267" s="40" t="s">
        <v>155</v>
      </c>
      <c r="E267" s="40"/>
      <c r="F267" s="40"/>
      <c r="G267" s="10" t="e">
        <f>G268</f>
        <v>#REF!</v>
      </c>
    </row>
    <row r="268" spans="1:7" ht="47.25" x14ac:dyDescent="0.25">
      <c r="A268" s="29" t="s">
        <v>146</v>
      </c>
      <c r="B268" s="5" t="s">
        <v>195</v>
      </c>
      <c r="C268" s="40" t="s">
        <v>133</v>
      </c>
      <c r="D268" s="40" t="s">
        <v>155</v>
      </c>
      <c r="E268" s="40" t="s">
        <v>147</v>
      </c>
      <c r="F268" s="40"/>
      <c r="G268" s="10" t="e">
        <f>G269</f>
        <v>#REF!</v>
      </c>
    </row>
    <row r="269" spans="1:7" ht="47.25" x14ac:dyDescent="0.25">
      <c r="A269" s="29" t="s">
        <v>148</v>
      </c>
      <c r="B269" s="5" t="s">
        <v>195</v>
      </c>
      <c r="C269" s="40" t="s">
        <v>133</v>
      </c>
      <c r="D269" s="40" t="s">
        <v>155</v>
      </c>
      <c r="E269" s="40" t="s">
        <v>149</v>
      </c>
      <c r="F269" s="40"/>
      <c r="G269" s="10" t="e">
        <f>'Пр.6 ведом.20'!#REF!</f>
        <v>#REF!</v>
      </c>
    </row>
    <row r="270" spans="1:7" ht="31.5" x14ac:dyDescent="0.25">
      <c r="A270" s="29" t="s">
        <v>163</v>
      </c>
      <c r="B270" s="5" t="s">
        <v>193</v>
      </c>
      <c r="C270" s="40" t="s">
        <v>133</v>
      </c>
      <c r="D270" s="40" t="s">
        <v>155</v>
      </c>
      <c r="E270" s="40"/>
      <c r="F270" s="40" t="s">
        <v>657</v>
      </c>
      <c r="G270" s="10" t="e">
        <f>G264</f>
        <v>#REF!</v>
      </c>
    </row>
    <row r="271" spans="1:7" ht="69" customHeight="1" x14ac:dyDescent="0.25">
      <c r="A271" s="41" t="s">
        <v>496</v>
      </c>
      <c r="B271" s="3" t="s">
        <v>497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658</v>
      </c>
      <c r="B272" s="3" t="s">
        <v>499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278</v>
      </c>
      <c r="B273" s="40" t="s">
        <v>499</v>
      </c>
      <c r="C273" s="40" t="s">
        <v>279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280</v>
      </c>
      <c r="B274" s="40" t="s">
        <v>499</v>
      </c>
      <c r="C274" s="40" t="s">
        <v>279</v>
      </c>
      <c r="D274" s="40" t="s">
        <v>230</v>
      </c>
      <c r="E274" s="68"/>
      <c r="F274" s="68"/>
      <c r="G274" s="10" t="e">
        <f>G275+G290</f>
        <v>#REF!</v>
      </c>
    </row>
    <row r="275" spans="1:7" ht="63" x14ac:dyDescent="0.25">
      <c r="A275" s="29" t="s">
        <v>285</v>
      </c>
      <c r="B275" s="40" t="s">
        <v>500</v>
      </c>
      <c r="C275" s="40" t="s">
        <v>279</v>
      </c>
      <c r="D275" s="40" t="s">
        <v>230</v>
      </c>
      <c r="E275" s="68"/>
      <c r="F275" s="68"/>
      <c r="G275" s="10" t="e">
        <f>G276</f>
        <v>#REF!</v>
      </c>
    </row>
    <row r="276" spans="1:7" ht="63" x14ac:dyDescent="0.25">
      <c r="A276" s="29" t="s">
        <v>287</v>
      </c>
      <c r="B276" s="40" t="s">
        <v>500</v>
      </c>
      <c r="C276" s="40" t="s">
        <v>279</v>
      </c>
      <c r="D276" s="40" t="s">
        <v>230</v>
      </c>
      <c r="E276" s="40" t="s">
        <v>288</v>
      </c>
      <c r="F276" s="68"/>
      <c r="G276" s="10" t="e">
        <f>G277</f>
        <v>#REF!</v>
      </c>
    </row>
    <row r="277" spans="1:7" ht="15.75" x14ac:dyDescent="0.25">
      <c r="A277" s="29" t="s">
        <v>289</v>
      </c>
      <c r="B277" s="40" t="s">
        <v>500</v>
      </c>
      <c r="C277" s="40" t="s">
        <v>279</v>
      </c>
      <c r="D277" s="40" t="s">
        <v>230</v>
      </c>
      <c r="E277" s="40" t="s">
        <v>290</v>
      </c>
      <c r="F277" s="68"/>
      <c r="G277" s="10" t="e">
        <f>'Пр.6 ведом.20'!#REF!</f>
        <v>#REF!</v>
      </c>
    </row>
    <row r="278" spans="1:7" ht="78.75" hidden="1" customHeight="1" x14ac:dyDescent="0.25">
      <c r="A278" s="29" t="s">
        <v>611</v>
      </c>
      <c r="B278" s="40" t="s">
        <v>659</v>
      </c>
      <c r="C278" s="40" t="s">
        <v>279</v>
      </c>
      <c r="D278" s="40" t="s">
        <v>230</v>
      </c>
      <c r="E278" s="40"/>
      <c r="F278" s="68"/>
      <c r="G278" s="10">
        <f>G279</f>
        <v>0</v>
      </c>
    </row>
    <row r="279" spans="1:7" ht="63" hidden="1" x14ac:dyDescent="0.25">
      <c r="A279" s="29" t="s">
        <v>287</v>
      </c>
      <c r="B279" s="40" t="s">
        <v>659</v>
      </c>
      <c r="C279" s="40" t="s">
        <v>279</v>
      </c>
      <c r="D279" s="40" t="s">
        <v>230</v>
      </c>
      <c r="E279" s="40" t="s">
        <v>288</v>
      </c>
      <c r="F279" s="68"/>
      <c r="G279" s="10">
        <f>G280</f>
        <v>0</v>
      </c>
    </row>
    <row r="280" spans="1:7" ht="15.75" hidden="1" x14ac:dyDescent="0.25">
      <c r="A280" s="29" t="s">
        <v>289</v>
      </c>
      <c r="B280" s="40" t="s">
        <v>659</v>
      </c>
      <c r="C280" s="40" t="s">
        <v>279</v>
      </c>
      <c r="D280" s="40" t="s">
        <v>230</v>
      </c>
      <c r="E280" s="40" t="s">
        <v>290</v>
      </c>
      <c r="F280" s="68"/>
      <c r="G280" s="10">
        <f>G281</f>
        <v>0</v>
      </c>
    </row>
    <row r="281" spans="1:7" ht="47.25" hidden="1" x14ac:dyDescent="0.25">
      <c r="A281" s="46" t="s">
        <v>495</v>
      </c>
      <c r="B281" s="40" t="s">
        <v>659</v>
      </c>
      <c r="C281" s="40" t="s">
        <v>279</v>
      </c>
      <c r="D281" s="40" t="s">
        <v>230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293</v>
      </c>
      <c r="B282" s="40" t="s">
        <v>660</v>
      </c>
      <c r="C282" s="40" t="s">
        <v>279</v>
      </c>
      <c r="D282" s="40" t="s">
        <v>230</v>
      </c>
      <c r="E282" s="40"/>
      <c r="F282" s="68"/>
      <c r="G282" s="10">
        <f>G283</f>
        <v>0</v>
      </c>
    </row>
    <row r="283" spans="1:7" ht="63" hidden="1" x14ac:dyDescent="0.25">
      <c r="A283" s="29" t="s">
        <v>287</v>
      </c>
      <c r="B283" s="40" t="s">
        <v>660</v>
      </c>
      <c r="C283" s="40" t="s">
        <v>279</v>
      </c>
      <c r="D283" s="40" t="s">
        <v>230</v>
      </c>
      <c r="E283" s="40" t="s">
        <v>288</v>
      </c>
      <c r="F283" s="68"/>
      <c r="G283" s="10">
        <f>G284</f>
        <v>0</v>
      </c>
    </row>
    <row r="284" spans="1:7" ht="15.75" hidden="1" x14ac:dyDescent="0.25">
      <c r="A284" s="29" t="s">
        <v>289</v>
      </c>
      <c r="B284" s="40" t="s">
        <v>660</v>
      </c>
      <c r="C284" s="40" t="s">
        <v>279</v>
      </c>
      <c r="D284" s="40" t="s">
        <v>230</v>
      </c>
      <c r="E284" s="40" t="s">
        <v>290</v>
      </c>
      <c r="F284" s="68"/>
      <c r="G284" s="10"/>
    </row>
    <row r="285" spans="1:7" ht="47.25" hidden="1" x14ac:dyDescent="0.25">
      <c r="A285" s="46" t="s">
        <v>495</v>
      </c>
      <c r="B285" s="40" t="s">
        <v>660</v>
      </c>
      <c r="C285" s="40" t="s">
        <v>279</v>
      </c>
      <c r="D285" s="40" t="s">
        <v>230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295</v>
      </c>
      <c r="B286" s="40" t="s">
        <v>661</v>
      </c>
      <c r="C286" s="40" t="s">
        <v>279</v>
      </c>
      <c r="D286" s="40" t="s">
        <v>230</v>
      </c>
      <c r="E286" s="40"/>
      <c r="F286" s="68"/>
      <c r="G286" s="10">
        <f>G287</f>
        <v>0</v>
      </c>
    </row>
    <row r="287" spans="1:7" ht="63" hidden="1" x14ac:dyDescent="0.25">
      <c r="A287" s="29" t="s">
        <v>287</v>
      </c>
      <c r="B287" s="40" t="s">
        <v>661</v>
      </c>
      <c r="C287" s="40" t="s">
        <v>279</v>
      </c>
      <c r="D287" s="40" t="s">
        <v>230</v>
      </c>
      <c r="E287" s="40" t="s">
        <v>288</v>
      </c>
      <c r="F287" s="68"/>
      <c r="G287" s="10">
        <f>G288</f>
        <v>0</v>
      </c>
    </row>
    <row r="288" spans="1:7" ht="15.75" hidden="1" x14ac:dyDescent="0.25">
      <c r="A288" s="29" t="s">
        <v>289</v>
      </c>
      <c r="B288" s="40" t="s">
        <v>661</v>
      </c>
      <c r="C288" s="40" t="s">
        <v>279</v>
      </c>
      <c r="D288" s="40" t="s">
        <v>230</v>
      </c>
      <c r="E288" s="40" t="s">
        <v>290</v>
      </c>
      <c r="F288" s="68"/>
      <c r="G288" s="10"/>
    </row>
    <row r="289" spans="1:7" ht="47.25" hidden="1" x14ac:dyDescent="0.25">
      <c r="A289" s="46" t="s">
        <v>495</v>
      </c>
      <c r="B289" s="40" t="s">
        <v>661</v>
      </c>
      <c r="C289" s="40" t="s">
        <v>279</v>
      </c>
      <c r="D289" s="40" t="s">
        <v>230</v>
      </c>
      <c r="E289" s="40"/>
      <c r="F289" s="2">
        <v>907</v>
      </c>
      <c r="G289" s="10">
        <v>0</v>
      </c>
    </row>
    <row r="290" spans="1:7" ht="47.25" x14ac:dyDescent="0.25">
      <c r="A290" s="29" t="s">
        <v>297</v>
      </c>
      <c r="B290" s="40" t="s">
        <v>503</v>
      </c>
      <c r="C290" s="40" t="s">
        <v>279</v>
      </c>
      <c r="D290" s="40" t="s">
        <v>230</v>
      </c>
      <c r="E290" s="40"/>
      <c r="F290" s="68"/>
      <c r="G290" s="10" t="e">
        <f>G291</f>
        <v>#REF!</v>
      </c>
    </row>
    <row r="291" spans="1:7" ht="63" x14ac:dyDescent="0.25">
      <c r="A291" s="29" t="s">
        <v>287</v>
      </c>
      <c r="B291" s="40" t="s">
        <v>503</v>
      </c>
      <c r="C291" s="40" t="s">
        <v>279</v>
      </c>
      <c r="D291" s="40" t="s">
        <v>230</v>
      </c>
      <c r="E291" s="40" t="s">
        <v>288</v>
      </c>
      <c r="F291" s="68"/>
      <c r="G291" s="10" t="e">
        <f>G292</f>
        <v>#REF!</v>
      </c>
    </row>
    <row r="292" spans="1:7" ht="15.75" x14ac:dyDescent="0.25">
      <c r="A292" s="29" t="s">
        <v>289</v>
      </c>
      <c r="B292" s="40" t="s">
        <v>503</v>
      </c>
      <c r="C292" s="40" t="s">
        <v>279</v>
      </c>
      <c r="D292" s="40" t="s">
        <v>230</v>
      </c>
      <c r="E292" s="40" t="s">
        <v>290</v>
      </c>
      <c r="F292" s="68"/>
      <c r="G292" s="10" t="e">
        <f>'Пр.6 ведом.20'!#REF!</f>
        <v>#REF!</v>
      </c>
    </row>
    <row r="293" spans="1:7" ht="58.5" customHeight="1" x14ac:dyDescent="0.25">
      <c r="A293" s="70" t="s">
        <v>495</v>
      </c>
      <c r="B293" s="40" t="s">
        <v>499</v>
      </c>
      <c r="C293" s="40" t="s">
        <v>279</v>
      </c>
      <c r="D293" s="40" t="s">
        <v>230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508</v>
      </c>
      <c r="B294" s="7" t="s">
        <v>509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505</v>
      </c>
      <c r="B295" s="40" t="s">
        <v>509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507</v>
      </c>
      <c r="B296" s="40" t="s">
        <v>509</v>
      </c>
      <c r="C296" s="40" t="s">
        <v>506</v>
      </c>
      <c r="D296" s="40" t="s">
        <v>133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510</v>
      </c>
      <c r="B297" s="40" t="s">
        <v>511</v>
      </c>
      <c r="C297" s="40" t="s">
        <v>506</v>
      </c>
      <c r="D297" s="40" t="s">
        <v>133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287</v>
      </c>
      <c r="B298" s="40" t="s">
        <v>511</v>
      </c>
      <c r="C298" s="40" t="s">
        <v>506</v>
      </c>
      <c r="D298" s="40" t="s">
        <v>133</v>
      </c>
      <c r="E298" s="40" t="s">
        <v>288</v>
      </c>
      <c r="F298" s="5"/>
      <c r="G298" s="10" t="e">
        <f>G299</f>
        <v>#REF!</v>
      </c>
    </row>
    <row r="299" spans="1:7" ht="15.75" x14ac:dyDescent="0.25">
      <c r="A299" s="29" t="s">
        <v>289</v>
      </c>
      <c r="B299" s="40" t="s">
        <v>511</v>
      </c>
      <c r="C299" s="40" t="s">
        <v>506</v>
      </c>
      <c r="D299" s="40" t="s">
        <v>133</v>
      </c>
      <c r="E299" s="40" t="s">
        <v>290</v>
      </c>
      <c r="F299" s="5"/>
      <c r="G299" s="10" t="e">
        <f>'Пр.6 ведом.20'!#REF!</f>
        <v>#REF!</v>
      </c>
    </row>
    <row r="300" spans="1:7" ht="47.25" hidden="1" x14ac:dyDescent="0.25">
      <c r="A300" s="46" t="s">
        <v>495</v>
      </c>
      <c r="B300" s="40" t="s">
        <v>509</v>
      </c>
      <c r="C300" s="40" t="s">
        <v>506</v>
      </c>
      <c r="D300" s="40" t="s">
        <v>133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611</v>
      </c>
      <c r="B301" s="40" t="s">
        <v>662</v>
      </c>
      <c r="C301" s="40" t="s">
        <v>506</v>
      </c>
      <c r="D301" s="40" t="s">
        <v>133</v>
      </c>
      <c r="E301" s="40"/>
      <c r="F301" s="5"/>
      <c r="G301" s="10">
        <f>G302</f>
        <v>0</v>
      </c>
    </row>
    <row r="302" spans="1:7" ht="63" hidden="1" x14ac:dyDescent="0.25">
      <c r="A302" s="29" t="s">
        <v>287</v>
      </c>
      <c r="B302" s="40" t="s">
        <v>662</v>
      </c>
      <c r="C302" s="40" t="s">
        <v>506</v>
      </c>
      <c r="D302" s="40" t="s">
        <v>133</v>
      </c>
      <c r="E302" s="40" t="s">
        <v>288</v>
      </c>
      <c r="F302" s="5"/>
      <c r="G302" s="10">
        <f>G303</f>
        <v>0</v>
      </c>
    </row>
    <row r="303" spans="1:7" ht="15.75" hidden="1" x14ac:dyDescent="0.25">
      <c r="A303" s="29" t="s">
        <v>289</v>
      </c>
      <c r="B303" s="40" t="s">
        <v>662</v>
      </c>
      <c r="C303" s="40" t="s">
        <v>506</v>
      </c>
      <c r="D303" s="40" t="s">
        <v>133</v>
      </c>
      <c r="E303" s="40" t="s">
        <v>290</v>
      </c>
      <c r="F303" s="5"/>
      <c r="G303" s="10">
        <f>G304</f>
        <v>0</v>
      </c>
    </row>
    <row r="304" spans="1:7" ht="47.25" hidden="1" x14ac:dyDescent="0.25">
      <c r="A304" s="70" t="s">
        <v>495</v>
      </c>
      <c r="B304" s="40" t="s">
        <v>662</v>
      </c>
      <c r="C304" s="40" t="s">
        <v>506</v>
      </c>
      <c r="D304" s="40" t="s">
        <v>133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293</v>
      </c>
      <c r="B305" s="40" t="s">
        <v>512</v>
      </c>
      <c r="C305" s="40" t="s">
        <v>506</v>
      </c>
      <c r="D305" s="40" t="s">
        <v>133</v>
      </c>
      <c r="E305" s="40"/>
      <c r="F305" s="5"/>
      <c r="G305" s="10" t="e">
        <f>G306</f>
        <v>#REF!</v>
      </c>
    </row>
    <row r="306" spans="1:8" ht="63" x14ac:dyDescent="0.25">
      <c r="A306" s="29" t="s">
        <v>287</v>
      </c>
      <c r="B306" s="40" t="s">
        <v>512</v>
      </c>
      <c r="C306" s="40" t="s">
        <v>506</v>
      </c>
      <c r="D306" s="40" t="s">
        <v>133</v>
      </c>
      <c r="E306" s="40" t="s">
        <v>288</v>
      </c>
      <c r="F306" s="5"/>
      <c r="G306" s="10" t="e">
        <f>G307</f>
        <v>#REF!</v>
      </c>
    </row>
    <row r="307" spans="1:8" ht="15.75" x14ac:dyDescent="0.25">
      <c r="A307" s="29" t="s">
        <v>289</v>
      </c>
      <c r="B307" s="40" t="s">
        <v>512</v>
      </c>
      <c r="C307" s="40" t="s">
        <v>506</v>
      </c>
      <c r="D307" s="40" t="s">
        <v>133</v>
      </c>
      <c r="E307" s="40" t="s">
        <v>290</v>
      </c>
      <c r="F307" s="5"/>
      <c r="G307" s="162" t="e">
        <f>'Пр.6 ведом.20'!#REF!</f>
        <v>#REF!</v>
      </c>
      <c r="H307" s="163" t="s">
        <v>753</v>
      </c>
    </row>
    <row r="308" spans="1:8" ht="47.25" x14ac:dyDescent="0.25">
      <c r="A308" s="46" t="s">
        <v>495</v>
      </c>
      <c r="B308" s="40" t="s">
        <v>509</v>
      </c>
      <c r="C308" s="40" t="s">
        <v>506</v>
      </c>
      <c r="D308" s="40" t="s">
        <v>133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295</v>
      </c>
      <c r="B309" s="40" t="s">
        <v>663</v>
      </c>
      <c r="C309" s="40" t="s">
        <v>506</v>
      </c>
      <c r="D309" s="40" t="s">
        <v>133</v>
      </c>
      <c r="E309" s="40"/>
      <c r="F309" s="5"/>
      <c r="G309" s="10">
        <f>G310</f>
        <v>0</v>
      </c>
    </row>
    <row r="310" spans="1:8" ht="63" hidden="1" x14ac:dyDescent="0.25">
      <c r="A310" s="29" t="s">
        <v>287</v>
      </c>
      <c r="B310" s="40" t="s">
        <v>663</v>
      </c>
      <c r="C310" s="40" t="s">
        <v>506</v>
      </c>
      <c r="D310" s="40" t="s">
        <v>133</v>
      </c>
      <c r="E310" s="40" t="s">
        <v>288</v>
      </c>
      <c r="F310" s="5"/>
      <c r="G310" s="10">
        <f>G311</f>
        <v>0</v>
      </c>
    </row>
    <row r="311" spans="1:8" ht="15.75" hidden="1" x14ac:dyDescent="0.25">
      <c r="A311" s="29" t="s">
        <v>289</v>
      </c>
      <c r="B311" s="40" t="s">
        <v>663</v>
      </c>
      <c r="C311" s="40" t="s">
        <v>506</v>
      </c>
      <c r="D311" s="40" t="s">
        <v>133</v>
      </c>
      <c r="E311" s="40" t="s">
        <v>290</v>
      </c>
      <c r="F311" s="5"/>
      <c r="G311" s="10"/>
    </row>
    <row r="312" spans="1:8" ht="47.25" hidden="1" x14ac:dyDescent="0.25">
      <c r="A312" s="46" t="s">
        <v>495</v>
      </c>
      <c r="B312" s="40" t="s">
        <v>663</v>
      </c>
      <c r="C312" s="40" t="s">
        <v>506</v>
      </c>
      <c r="D312" s="40" t="s">
        <v>133</v>
      </c>
      <c r="E312" s="40"/>
      <c r="F312" s="5">
        <v>907</v>
      </c>
      <c r="G312" s="10">
        <v>0</v>
      </c>
    </row>
    <row r="313" spans="1:8" ht="71.25" hidden="1" customHeight="1" x14ac:dyDescent="0.25">
      <c r="A313" s="29" t="s">
        <v>299</v>
      </c>
      <c r="B313" s="40" t="s">
        <v>664</v>
      </c>
      <c r="C313" s="40" t="s">
        <v>506</v>
      </c>
      <c r="D313" s="40" t="s">
        <v>133</v>
      </c>
      <c r="E313" s="40"/>
      <c r="F313" s="5"/>
      <c r="G313" s="10">
        <f>G314</f>
        <v>0</v>
      </c>
    </row>
    <row r="314" spans="1:8" ht="63" hidden="1" x14ac:dyDescent="0.25">
      <c r="A314" s="29" t="s">
        <v>287</v>
      </c>
      <c r="B314" s="40" t="s">
        <v>664</v>
      </c>
      <c r="C314" s="40" t="s">
        <v>506</v>
      </c>
      <c r="D314" s="40" t="s">
        <v>133</v>
      </c>
      <c r="E314" s="40" t="s">
        <v>288</v>
      </c>
      <c r="F314" s="5"/>
      <c r="G314" s="10">
        <f>G315</f>
        <v>0</v>
      </c>
    </row>
    <row r="315" spans="1:8" ht="15.75" hidden="1" x14ac:dyDescent="0.25">
      <c r="A315" s="29" t="s">
        <v>289</v>
      </c>
      <c r="B315" s="40" t="s">
        <v>664</v>
      </c>
      <c r="C315" s="40" t="s">
        <v>506</v>
      </c>
      <c r="D315" s="40" t="s">
        <v>133</v>
      </c>
      <c r="E315" s="40" t="s">
        <v>290</v>
      </c>
      <c r="F315" s="5"/>
      <c r="G315" s="10"/>
    </row>
    <row r="316" spans="1:8" ht="47.25" hidden="1" x14ac:dyDescent="0.25">
      <c r="A316" s="46" t="s">
        <v>495</v>
      </c>
      <c r="B316" s="40" t="s">
        <v>664</v>
      </c>
      <c r="C316" s="40" t="s">
        <v>506</v>
      </c>
      <c r="D316" s="40" t="s">
        <v>133</v>
      </c>
      <c r="E316" s="40"/>
      <c r="F316" s="5">
        <v>907</v>
      </c>
      <c r="G316" s="10">
        <v>0</v>
      </c>
    </row>
    <row r="317" spans="1:8" ht="63" x14ac:dyDescent="0.25">
      <c r="A317" s="58" t="s">
        <v>516</v>
      </c>
      <c r="B317" s="7" t="s">
        <v>517</v>
      </c>
      <c r="C317" s="7"/>
      <c r="D317" s="7"/>
      <c r="E317" s="7"/>
      <c r="F317" s="178"/>
      <c r="G317" s="4" t="e">
        <f>G318</f>
        <v>#REF!</v>
      </c>
    </row>
    <row r="318" spans="1:8" ht="15.75" x14ac:dyDescent="0.25">
      <c r="A318" s="29" t="s">
        <v>505</v>
      </c>
      <c r="B318" s="40" t="s">
        <v>517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515</v>
      </c>
      <c r="B319" s="40" t="s">
        <v>517</v>
      </c>
      <c r="C319" s="40" t="s">
        <v>506</v>
      </c>
      <c r="D319" s="40" t="s">
        <v>249</v>
      </c>
      <c r="E319" s="40"/>
      <c r="F319" s="5"/>
      <c r="G319" s="6" t="e">
        <f>G320</f>
        <v>#REF!</v>
      </c>
    </row>
    <row r="320" spans="1:8" ht="47.25" x14ac:dyDescent="0.25">
      <c r="A320" s="29" t="s">
        <v>172</v>
      </c>
      <c r="B320" s="40" t="s">
        <v>518</v>
      </c>
      <c r="C320" s="40" t="s">
        <v>506</v>
      </c>
      <c r="D320" s="40" t="s">
        <v>249</v>
      </c>
      <c r="E320" s="40"/>
      <c r="F320" s="5"/>
      <c r="G320" s="6" t="e">
        <f>G323+G321</f>
        <v>#REF!</v>
      </c>
    </row>
    <row r="321" spans="1:7" ht="110.25" x14ac:dyDescent="0.25">
      <c r="A321" s="25" t="s">
        <v>142</v>
      </c>
      <c r="B321" s="40" t="s">
        <v>518</v>
      </c>
      <c r="C321" s="40" t="s">
        <v>506</v>
      </c>
      <c r="D321" s="40" t="s">
        <v>249</v>
      </c>
      <c r="E321" s="40" t="s">
        <v>143</v>
      </c>
      <c r="F321" s="5"/>
      <c r="G321" s="6" t="e">
        <f>G322</f>
        <v>#REF!</v>
      </c>
    </row>
    <row r="322" spans="1:7" ht="55.5" customHeight="1" x14ac:dyDescent="0.25">
      <c r="A322" s="25" t="s">
        <v>144</v>
      </c>
      <c r="B322" s="40" t="s">
        <v>518</v>
      </c>
      <c r="C322" s="40" t="s">
        <v>506</v>
      </c>
      <c r="D322" s="40" t="s">
        <v>249</v>
      </c>
      <c r="E322" s="40" t="s">
        <v>145</v>
      </c>
      <c r="F322" s="5"/>
      <c r="G322" s="6" t="e">
        <f>'Пр.6 ведом.20'!#REF!</f>
        <v>#REF!</v>
      </c>
    </row>
    <row r="323" spans="1:7" ht="47.25" x14ac:dyDescent="0.25">
      <c r="A323" s="29" t="s">
        <v>146</v>
      </c>
      <c r="B323" s="40" t="s">
        <v>518</v>
      </c>
      <c r="C323" s="40" t="s">
        <v>506</v>
      </c>
      <c r="D323" s="40" t="s">
        <v>249</v>
      </c>
      <c r="E323" s="40" t="s">
        <v>147</v>
      </c>
      <c r="F323" s="5"/>
      <c r="G323" s="6" t="e">
        <f>G324</f>
        <v>#REF!</v>
      </c>
    </row>
    <row r="324" spans="1:7" ht="47.25" x14ac:dyDescent="0.25">
      <c r="A324" s="29" t="s">
        <v>148</v>
      </c>
      <c r="B324" s="40" t="s">
        <v>518</v>
      </c>
      <c r="C324" s="40" t="s">
        <v>506</v>
      </c>
      <c r="D324" s="40" t="s">
        <v>249</v>
      </c>
      <c r="E324" s="40" t="s">
        <v>149</v>
      </c>
      <c r="F324" s="5"/>
      <c r="G324" s="6" t="e">
        <f>'Пр.6 ведом.20'!#REF!</f>
        <v>#REF!</v>
      </c>
    </row>
    <row r="325" spans="1:7" ht="47.25" x14ac:dyDescent="0.25">
      <c r="A325" s="70" t="s">
        <v>495</v>
      </c>
      <c r="B325" s="40" t="s">
        <v>517</v>
      </c>
      <c r="C325" s="40" t="s">
        <v>506</v>
      </c>
      <c r="D325" s="40" t="s">
        <v>249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281</v>
      </c>
      <c r="B326" s="7" t="s">
        <v>282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283</v>
      </c>
      <c r="B327" s="7" t="s">
        <v>284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278</v>
      </c>
      <c r="B328" s="40" t="s">
        <v>284</v>
      </c>
      <c r="C328" s="40" t="s">
        <v>279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440</v>
      </c>
      <c r="B329" s="40" t="s">
        <v>284</v>
      </c>
      <c r="C329" s="40" t="s">
        <v>279</v>
      </c>
      <c r="D329" s="40" t="s">
        <v>230</v>
      </c>
      <c r="E329" s="72"/>
      <c r="F329" s="3"/>
      <c r="G329" s="10" t="e">
        <f>G330+G345</f>
        <v>#REF!</v>
      </c>
    </row>
    <row r="330" spans="1:7" ht="63" x14ac:dyDescent="0.25">
      <c r="A330" s="29" t="s">
        <v>285</v>
      </c>
      <c r="B330" s="40" t="s">
        <v>286</v>
      </c>
      <c r="C330" s="40" t="s">
        <v>279</v>
      </c>
      <c r="D330" s="40" t="s">
        <v>230</v>
      </c>
      <c r="E330" s="72"/>
      <c r="F330" s="3"/>
      <c r="G330" s="10" t="e">
        <f>G331</f>
        <v>#REF!</v>
      </c>
    </row>
    <row r="331" spans="1:7" ht="63" x14ac:dyDescent="0.25">
      <c r="A331" s="29" t="s">
        <v>287</v>
      </c>
      <c r="B331" s="40" t="s">
        <v>286</v>
      </c>
      <c r="C331" s="40" t="s">
        <v>279</v>
      </c>
      <c r="D331" s="40" t="s">
        <v>230</v>
      </c>
      <c r="E331" s="40" t="s">
        <v>288</v>
      </c>
      <c r="F331" s="3"/>
      <c r="G331" s="10" t="e">
        <f>G332</f>
        <v>#REF!</v>
      </c>
    </row>
    <row r="332" spans="1:7" ht="15.75" x14ac:dyDescent="0.25">
      <c r="A332" s="29" t="s">
        <v>289</v>
      </c>
      <c r="B332" s="40" t="s">
        <v>286</v>
      </c>
      <c r="C332" s="40" t="s">
        <v>279</v>
      </c>
      <c r="D332" s="40" t="s">
        <v>230</v>
      </c>
      <c r="E332" s="40" t="s">
        <v>290</v>
      </c>
      <c r="F332" s="3"/>
      <c r="G332" s="6" t="e">
        <f>'Пр.6 ведом.20'!#REF!</f>
        <v>#REF!</v>
      </c>
    </row>
    <row r="333" spans="1:7" ht="63" hidden="1" x14ac:dyDescent="0.25">
      <c r="A333" s="29" t="s">
        <v>291</v>
      </c>
      <c r="B333" s="40" t="s">
        <v>665</v>
      </c>
      <c r="C333" s="40" t="s">
        <v>279</v>
      </c>
      <c r="D333" s="40" t="s">
        <v>230</v>
      </c>
      <c r="E333" s="40"/>
      <c r="F333" s="3"/>
      <c r="G333" s="10">
        <f>G334</f>
        <v>0</v>
      </c>
    </row>
    <row r="334" spans="1:7" ht="63" hidden="1" x14ac:dyDescent="0.25">
      <c r="A334" s="29" t="s">
        <v>287</v>
      </c>
      <c r="B334" s="40" t="s">
        <v>665</v>
      </c>
      <c r="C334" s="40" t="s">
        <v>279</v>
      </c>
      <c r="D334" s="40" t="s">
        <v>230</v>
      </c>
      <c r="E334" s="40" t="s">
        <v>288</v>
      </c>
      <c r="F334" s="3"/>
      <c r="G334" s="10">
        <f>G335</f>
        <v>0</v>
      </c>
    </row>
    <row r="335" spans="1:7" ht="15.75" hidden="1" x14ac:dyDescent="0.25">
      <c r="A335" s="29" t="s">
        <v>289</v>
      </c>
      <c r="B335" s="40" t="s">
        <v>665</v>
      </c>
      <c r="C335" s="40" t="s">
        <v>279</v>
      </c>
      <c r="D335" s="40" t="s">
        <v>230</v>
      </c>
      <c r="E335" s="40" t="s">
        <v>290</v>
      </c>
      <c r="F335" s="3"/>
      <c r="G335" s="10"/>
    </row>
    <row r="336" spans="1:7" ht="63" hidden="1" x14ac:dyDescent="0.25">
      <c r="A336" s="45" t="s">
        <v>276</v>
      </c>
      <c r="B336" s="40" t="s">
        <v>665</v>
      </c>
      <c r="C336" s="40" t="s">
        <v>279</v>
      </c>
      <c r="D336" s="40" t="s">
        <v>230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293</v>
      </c>
      <c r="B337" s="40" t="s">
        <v>666</v>
      </c>
      <c r="C337" s="40" t="s">
        <v>279</v>
      </c>
      <c r="D337" s="40" t="s">
        <v>230</v>
      </c>
      <c r="E337" s="40"/>
      <c r="F337" s="3"/>
      <c r="G337" s="10">
        <f>G338</f>
        <v>0</v>
      </c>
    </row>
    <row r="338" spans="1:7" ht="63" hidden="1" x14ac:dyDescent="0.25">
      <c r="A338" s="29" t="s">
        <v>287</v>
      </c>
      <c r="B338" s="40" t="s">
        <v>666</v>
      </c>
      <c r="C338" s="40" t="s">
        <v>279</v>
      </c>
      <c r="D338" s="40" t="s">
        <v>230</v>
      </c>
      <c r="E338" s="40" t="s">
        <v>288</v>
      </c>
      <c r="F338" s="3"/>
      <c r="G338" s="10">
        <f>G339</f>
        <v>0</v>
      </c>
    </row>
    <row r="339" spans="1:7" ht="15.75" hidden="1" x14ac:dyDescent="0.25">
      <c r="A339" s="29" t="s">
        <v>289</v>
      </c>
      <c r="B339" s="40" t="s">
        <v>666</v>
      </c>
      <c r="C339" s="40" t="s">
        <v>279</v>
      </c>
      <c r="D339" s="40" t="s">
        <v>230</v>
      </c>
      <c r="E339" s="40" t="s">
        <v>290</v>
      </c>
      <c r="F339" s="3"/>
      <c r="G339" s="10"/>
    </row>
    <row r="340" spans="1:7" ht="63" hidden="1" x14ac:dyDescent="0.25">
      <c r="A340" s="45" t="s">
        <v>276</v>
      </c>
      <c r="B340" s="40" t="s">
        <v>666</v>
      </c>
      <c r="C340" s="40" t="s">
        <v>279</v>
      </c>
      <c r="D340" s="40" t="s">
        <v>230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295</v>
      </c>
      <c r="B341" s="40" t="s">
        <v>667</v>
      </c>
      <c r="C341" s="40" t="s">
        <v>279</v>
      </c>
      <c r="D341" s="40" t="s">
        <v>230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287</v>
      </c>
      <c r="B342" s="40" t="s">
        <v>667</v>
      </c>
      <c r="C342" s="40" t="s">
        <v>279</v>
      </c>
      <c r="D342" s="40" t="s">
        <v>230</v>
      </c>
      <c r="E342" s="40" t="s">
        <v>288</v>
      </c>
      <c r="F342" s="3"/>
      <c r="G342" s="10">
        <f>G343</f>
        <v>0</v>
      </c>
    </row>
    <row r="343" spans="1:7" ht="15.75" hidden="1" x14ac:dyDescent="0.25">
      <c r="A343" s="29" t="s">
        <v>289</v>
      </c>
      <c r="B343" s="40" t="s">
        <v>667</v>
      </c>
      <c r="C343" s="40" t="s">
        <v>279</v>
      </c>
      <c r="D343" s="40" t="s">
        <v>230</v>
      </c>
      <c r="E343" s="40" t="s">
        <v>290</v>
      </c>
      <c r="F343" s="3"/>
      <c r="G343" s="10"/>
    </row>
    <row r="344" spans="1:7" ht="63" hidden="1" x14ac:dyDescent="0.25">
      <c r="A344" s="45" t="s">
        <v>276</v>
      </c>
      <c r="B344" s="40" t="s">
        <v>667</v>
      </c>
      <c r="C344" s="40" t="s">
        <v>279</v>
      </c>
      <c r="D344" s="40" t="s">
        <v>230</v>
      </c>
      <c r="E344" s="40"/>
      <c r="F344" s="2">
        <v>903</v>
      </c>
      <c r="G344" s="10">
        <v>0</v>
      </c>
    </row>
    <row r="345" spans="1:7" ht="47.25" x14ac:dyDescent="0.25">
      <c r="A345" s="29" t="s">
        <v>297</v>
      </c>
      <c r="B345" s="40" t="s">
        <v>298</v>
      </c>
      <c r="C345" s="40" t="s">
        <v>279</v>
      </c>
      <c r="D345" s="40" t="s">
        <v>230</v>
      </c>
      <c r="E345" s="40"/>
      <c r="F345" s="3"/>
      <c r="G345" s="10" t="e">
        <f>G346</f>
        <v>#REF!</v>
      </c>
    </row>
    <row r="346" spans="1:7" ht="63" x14ac:dyDescent="0.25">
      <c r="A346" s="29" t="s">
        <v>287</v>
      </c>
      <c r="B346" s="40" t="s">
        <v>298</v>
      </c>
      <c r="C346" s="40" t="s">
        <v>279</v>
      </c>
      <c r="D346" s="40" t="s">
        <v>230</v>
      </c>
      <c r="E346" s="40" t="s">
        <v>288</v>
      </c>
      <c r="F346" s="3"/>
      <c r="G346" s="10" t="e">
        <f>G347</f>
        <v>#REF!</v>
      </c>
    </row>
    <row r="347" spans="1:7" ht="15.75" x14ac:dyDescent="0.25">
      <c r="A347" s="29" t="s">
        <v>289</v>
      </c>
      <c r="B347" s="40" t="s">
        <v>298</v>
      </c>
      <c r="C347" s="40" t="s">
        <v>279</v>
      </c>
      <c r="D347" s="40" t="s">
        <v>230</v>
      </c>
      <c r="E347" s="40" t="s">
        <v>290</v>
      </c>
      <c r="F347" s="3"/>
      <c r="G347" s="6" t="e">
        <f>'Пр.6 ведом.20'!#REF!</f>
        <v>#REF!</v>
      </c>
    </row>
    <row r="348" spans="1:7" ht="63" x14ac:dyDescent="0.25">
      <c r="A348" s="45" t="s">
        <v>276</v>
      </c>
      <c r="B348" s="40" t="s">
        <v>284</v>
      </c>
      <c r="C348" s="40" t="s">
        <v>279</v>
      </c>
      <c r="D348" s="40" t="s">
        <v>230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623</v>
      </c>
      <c r="B349" s="40" t="s">
        <v>624</v>
      </c>
      <c r="C349" s="40" t="s">
        <v>279</v>
      </c>
      <c r="D349" s="40" t="s">
        <v>228</v>
      </c>
      <c r="E349" s="40"/>
      <c r="F349" s="3"/>
      <c r="G349" s="10">
        <f>G350</f>
        <v>0</v>
      </c>
    </row>
    <row r="350" spans="1:7" ht="63" hidden="1" x14ac:dyDescent="0.25">
      <c r="A350" s="29" t="s">
        <v>287</v>
      </c>
      <c r="B350" s="40" t="s">
        <v>624</v>
      </c>
      <c r="C350" s="40" t="s">
        <v>279</v>
      </c>
      <c r="D350" s="40" t="s">
        <v>228</v>
      </c>
      <c r="E350" s="40" t="s">
        <v>288</v>
      </c>
      <c r="F350" s="3"/>
      <c r="G350" s="10">
        <f>G351</f>
        <v>0</v>
      </c>
    </row>
    <row r="351" spans="1:7" ht="15.75" hidden="1" x14ac:dyDescent="0.25">
      <c r="A351" s="29" t="s">
        <v>289</v>
      </c>
      <c r="B351" s="40" t="s">
        <v>624</v>
      </c>
      <c r="C351" s="40" t="s">
        <v>279</v>
      </c>
      <c r="D351" s="40" t="s">
        <v>228</v>
      </c>
      <c r="E351" s="40" t="s">
        <v>290</v>
      </c>
      <c r="F351" s="3"/>
      <c r="G351" s="10"/>
    </row>
    <row r="352" spans="1:7" ht="63" hidden="1" x14ac:dyDescent="0.25">
      <c r="A352" s="45" t="s">
        <v>276</v>
      </c>
      <c r="B352" s="40" t="s">
        <v>624</v>
      </c>
      <c r="C352" s="40" t="s">
        <v>279</v>
      </c>
      <c r="D352" s="40" t="s">
        <v>228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316</v>
      </c>
      <c r="B353" s="7" t="s">
        <v>317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313</v>
      </c>
      <c r="B354" s="40" t="s">
        <v>317</v>
      </c>
      <c r="C354" s="40" t="s">
        <v>314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315</v>
      </c>
      <c r="B355" s="40" t="s">
        <v>317</v>
      </c>
      <c r="C355" s="40" t="s">
        <v>314</v>
      </c>
      <c r="D355" s="40" t="s">
        <v>133</v>
      </c>
      <c r="E355" s="73"/>
      <c r="F355" s="2"/>
      <c r="G355" s="10" t="e">
        <f>G356+G363+G366</f>
        <v>#REF!</v>
      </c>
    </row>
    <row r="356" spans="1:7" ht="63" x14ac:dyDescent="0.25">
      <c r="A356" s="29" t="s">
        <v>318</v>
      </c>
      <c r="B356" s="40" t="s">
        <v>319</v>
      </c>
      <c r="C356" s="40" t="s">
        <v>314</v>
      </c>
      <c r="D356" s="40" t="s">
        <v>133</v>
      </c>
      <c r="E356" s="73"/>
      <c r="F356" s="2"/>
      <c r="G356" s="10" t="e">
        <f>G357</f>
        <v>#REF!</v>
      </c>
    </row>
    <row r="357" spans="1:7" ht="63" x14ac:dyDescent="0.25">
      <c r="A357" s="29" t="s">
        <v>287</v>
      </c>
      <c r="B357" s="40" t="s">
        <v>319</v>
      </c>
      <c r="C357" s="40" t="s">
        <v>314</v>
      </c>
      <c r="D357" s="40" t="s">
        <v>133</v>
      </c>
      <c r="E357" s="40" t="s">
        <v>288</v>
      </c>
      <c r="F357" s="2"/>
      <c r="G357" s="10" t="e">
        <f>G358</f>
        <v>#REF!</v>
      </c>
    </row>
    <row r="358" spans="1:7" ht="15.75" x14ac:dyDescent="0.25">
      <c r="A358" s="29" t="s">
        <v>289</v>
      </c>
      <c r="B358" s="40" t="s">
        <v>319</v>
      </c>
      <c r="C358" s="40" t="s">
        <v>314</v>
      </c>
      <c r="D358" s="40" t="s">
        <v>133</v>
      </c>
      <c r="E358" s="40" t="s">
        <v>290</v>
      </c>
      <c r="F358" s="2"/>
      <c r="G358" s="10" t="e">
        <f>'Пр.6 ведом.20'!#REF!</f>
        <v>#REF!</v>
      </c>
    </row>
    <row r="359" spans="1:7" ht="63" hidden="1" x14ac:dyDescent="0.25">
      <c r="A359" s="29" t="s">
        <v>291</v>
      </c>
      <c r="B359" s="40" t="s">
        <v>626</v>
      </c>
      <c r="C359" s="40" t="s">
        <v>314</v>
      </c>
      <c r="D359" s="40" t="s">
        <v>133</v>
      </c>
      <c r="E359" s="40"/>
      <c r="F359" s="2"/>
      <c r="G359" s="10">
        <f>G360</f>
        <v>0</v>
      </c>
    </row>
    <row r="360" spans="1:7" ht="63" hidden="1" x14ac:dyDescent="0.25">
      <c r="A360" s="29" t="s">
        <v>287</v>
      </c>
      <c r="B360" s="40" t="s">
        <v>626</v>
      </c>
      <c r="C360" s="40" t="s">
        <v>314</v>
      </c>
      <c r="D360" s="40" t="s">
        <v>133</v>
      </c>
      <c r="E360" s="40" t="s">
        <v>288</v>
      </c>
      <c r="F360" s="2"/>
      <c r="G360" s="10">
        <f>G361</f>
        <v>0</v>
      </c>
    </row>
    <row r="361" spans="1:7" ht="15.75" hidden="1" x14ac:dyDescent="0.25">
      <c r="A361" s="29" t="s">
        <v>289</v>
      </c>
      <c r="B361" s="40" t="s">
        <v>626</v>
      </c>
      <c r="C361" s="40" t="s">
        <v>314</v>
      </c>
      <c r="D361" s="40" t="s">
        <v>133</v>
      </c>
      <c r="E361" s="40" t="s">
        <v>290</v>
      </c>
      <c r="F361" s="2"/>
      <c r="G361" s="10"/>
    </row>
    <row r="362" spans="1:7" ht="63" hidden="1" x14ac:dyDescent="0.25">
      <c r="A362" s="45" t="s">
        <v>276</v>
      </c>
      <c r="B362" s="40" t="s">
        <v>626</v>
      </c>
      <c r="C362" s="40" t="s">
        <v>314</v>
      </c>
      <c r="D362" s="40" t="s">
        <v>133</v>
      </c>
      <c r="E362" s="40"/>
      <c r="F362" s="2">
        <v>903</v>
      </c>
      <c r="G362" s="10">
        <v>0</v>
      </c>
    </row>
    <row r="363" spans="1:7" ht="31.5" x14ac:dyDescent="0.25">
      <c r="A363" s="29" t="s">
        <v>628</v>
      </c>
      <c r="B363" s="40" t="s">
        <v>321</v>
      </c>
      <c r="C363" s="40" t="s">
        <v>314</v>
      </c>
      <c r="D363" s="40" t="s">
        <v>133</v>
      </c>
      <c r="E363" s="40"/>
      <c r="F363" s="2"/>
      <c r="G363" s="10" t="e">
        <f>G364</f>
        <v>#REF!</v>
      </c>
    </row>
    <row r="364" spans="1:7" ht="71.25" customHeight="1" x14ac:dyDescent="0.25">
      <c r="A364" s="29" t="s">
        <v>287</v>
      </c>
      <c r="B364" s="40" t="s">
        <v>321</v>
      </c>
      <c r="C364" s="40" t="s">
        <v>314</v>
      </c>
      <c r="D364" s="40" t="s">
        <v>133</v>
      </c>
      <c r="E364" s="40" t="s">
        <v>288</v>
      </c>
      <c r="F364" s="2"/>
      <c r="G364" s="10" t="e">
        <f>G365</f>
        <v>#REF!</v>
      </c>
    </row>
    <row r="365" spans="1:7" ht="15.75" x14ac:dyDescent="0.25">
      <c r="A365" s="29" t="s">
        <v>289</v>
      </c>
      <c r="B365" s="40" t="s">
        <v>321</v>
      </c>
      <c r="C365" s="40" t="s">
        <v>314</v>
      </c>
      <c r="D365" s="40" t="s">
        <v>133</v>
      </c>
      <c r="E365" s="40" t="s">
        <v>290</v>
      </c>
      <c r="F365" s="2"/>
      <c r="G365" s="10" t="e">
        <f>'Пр.6 ведом.20'!#REF!</f>
        <v>#REF!</v>
      </c>
    </row>
    <row r="366" spans="1:7" ht="31.5" x14ac:dyDescent="0.25">
      <c r="A366" s="29" t="s">
        <v>322</v>
      </c>
      <c r="B366" s="40" t="s">
        <v>323</v>
      </c>
      <c r="C366" s="40" t="s">
        <v>314</v>
      </c>
      <c r="D366" s="40" t="s">
        <v>133</v>
      </c>
      <c r="E366" s="40"/>
      <c r="F366" s="2"/>
      <c r="G366" s="10" t="e">
        <f>G367</f>
        <v>#REF!</v>
      </c>
    </row>
    <row r="367" spans="1:7" ht="63" x14ac:dyDescent="0.25">
      <c r="A367" s="29" t="s">
        <v>287</v>
      </c>
      <c r="B367" s="40" t="s">
        <v>323</v>
      </c>
      <c r="C367" s="40" t="s">
        <v>314</v>
      </c>
      <c r="D367" s="40" t="s">
        <v>133</v>
      </c>
      <c r="E367" s="40" t="s">
        <v>288</v>
      </c>
      <c r="F367" s="2"/>
      <c r="G367" s="10" t="e">
        <f>G368</f>
        <v>#REF!</v>
      </c>
    </row>
    <row r="368" spans="1:7" ht="15.75" x14ac:dyDescent="0.25">
      <c r="A368" s="29" t="s">
        <v>289</v>
      </c>
      <c r="B368" s="40" t="s">
        <v>323</v>
      </c>
      <c r="C368" s="40" t="s">
        <v>314</v>
      </c>
      <c r="D368" s="40" t="s">
        <v>133</v>
      </c>
      <c r="E368" s="40" t="s">
        <v>290</v>
      </c>
      <c r="F368" s="2"/>
      <c r="G368" s="10" t="e">
        <f>'Пр.6 ведом.20'!#REF!</f>
        <v>#REF!</v>
      </c>
    </row>
    <row r="369" spans="1:7" ht="63" x14ac:dyDescent="0.25">
      <c r="A369" s="45" t="s">
        <v>276</v>
      </c>
      <c r="B369" s="40" t="s">
        <v>317</v>
      </c>
      <c r="C369" s="40" t="s">
        <v>314</v>
      </c>
      <c r="D369" s="40" t="s">
        <v>133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299</v>
      </c>
      <c r="B370" s="40" t="s">
        <v>627</v>
      </c>
      <c r="C370" s="40" t="s">
        <v>314</v>
      </c>
      <c r="D370" s="40" t="s">
        <v>133</v>
      </c>
      <c r="E370" s="40"/>
      <c r="F370" s="2"/>
      <c r="G370" s="10">
        <f>G371</f>
        <v>0</v>
      </c>
    </row>
    <row r="371" spans="1:7" ht="63" hidden="1" x14ac:dyDescent="0.25">
      <c r="A371" s="29" t="s">
        <v>287</v>
      </c>
      <c r="B371" s="40" t="s">
        <v>627</v>
      </c>
      <c r="C371" s="40" t="s">
        <v>314</v>
      </c>
      <c r="D371" s="40" t="s">
        <v>133</v>
      </c>
      <c r="E371" s="40" t="s">
        <v>288</v>
      </c>
      <c r="F371" s="2"/>
      <c r="G371" s="10">
        <f>G372</f>
        <v>0</v>
      </c>
    </row>
    <row r="372" spans="1:7" ht="15.75" hidden="1" x14ac:dyDescent="0.25">
      <c r="A372" s="29" t="s">
        <v>289</v>
      </c>
      <c r="B372" s="40" t="s">
        <v>627</v>
      </c>
      <c r="C372" s="40" t="s">
        <v>314</v>
      </c>
      <c r="D372" s="40" t="s">
        <v>133</v>
      </c>
      <c r="E372" s="40" t="s">
        <v>290</v>
      </c>
      <c r="F372" s="2"/>
      <c r="G372" s="10"/>
    </row>
    <row r="373" spans="1:7" ht="63" hidden="1" x14ac:dyDescent="0.25">
      <c r="A373" s="45" t="s">
        <v>276</v>
      </c>
      <c r="B373" s="40" t="s">
        <v>627</v>
      </c>
      <c r="C373" s="40" t="s">
        <v>314</v>
      </c>
      <c r="D373" s="40" t="s">
        <v>133</v>
      </c>
      <c r="E373" s="40"/>
      <c r="F373" s="2">
        <v>903</v>
      </c>
      <c r="G373" s="10">
        <v>0</v>
      </c>
    </row>
    <row r="374" spans="1:7" ht="63" x14ac:dyDescent="0.25">
      <c r="A374" s="41" t="s">
        <v>327</v>
      </c>
      <c r="B374" s="7" t="s">
        <v>328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313</v>
      </c>
      <c r="B375" s="40" t="s">
        <v>328</v>
      </c>
      <c r="C375" s="40" t="s">
        <v>314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315</v>
      </c>
      <c r="B376" s="40" t="s">
        <v>328</v>
      </c>
      <c r="C376" s="40" t="s">
        <v>314</v>
      </c>
      <c r="D376" s="40" t="s">
        <v>133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318</v>
      </c>
      <c r="B377" s="40" t="s">
        <v>329</v>
      </c>
      <c r="C377" s="40" t="s">
        <v>314</v>
      </c>
      <c r="D377" s="40" t="s">
        <v>133</v>
      </c>
      <c r="E377" s="40"/>
      <c r="F377" s="74"/>
      <c r="G377" s="10" t="e">
        <f>G378</f>
        <v>#REF!</v>
      </c>
    </row>
    <row r="378" spans="1:7" ht="63" x14ac:dyDescent="0.25">
      <c r="A378" s="29" t="s">
        <v>287</v>
      </c>
      <c r="B378" s="40" t="s">
        <v>329</v>
      </c>
      <c r="C378" s="40" t="s">
        <v>314</v>
      </c>
      <c r="D378" s="40" t="s">
        <v>133</v>
      </c>
      <c r="E378" s="40" t="s">
        <v>288</v>
      </c>
      <c r="F378" s="74"/>
      <c r="G378" s="10" t="e">
        <f>G379</f>
        <v>#REF!</v>
      </c>
    </row>
    <row r="379" spans="1:7" ht="15.75" x14ac:dyDescent="0.25">
      <c r="A379" s="29" t="s">
        <v>289</v>
      </c>
      <c r="B379" s="40" t="s">
        <v>329</v>
      </c>
      <c r="C379" s="40" t="s">
        <v>314</v>
      </c>
      <c r="D379" s="40" t="s">
        <v>133</v>
      </c>
      <c r="E379" s="40" t="s">
        <v>290</v>
      </c>
      <c r="F379" s="74"/>
      <c r="G379" s="6" t="e">
        <f>'Пр.6 ведом.20'!#REF!</f>
        <v>#REF!</v>
      </c>
    </row>
    <row r="380" spans="1:7" ht="63" x14ac:dyDescent="0.25">
      <c r="A380" s="29" t="s">
        <v>291</v>
      </c>
      <c r="B380" s="40" t="s">
        <v>332</v>
      </c>
      <c r="C380" s="40" t="s">
        <v>314</v>
      </c>
      <c r="D380" s="40" t="s">
        <v>133</v>
      </c>
      <c r="E380" s="40"/>
      <c r="F380" s="74"/>
      <c r="G380" s="10" t="e">
        <f>G381</f>
        <v>#REF!</v>
      </c>
    </row>
    <row r="381" spans="1:7" ht="63" x14ac:dyDescent="0.25">
      <c r="A381" s="29" t="s">
        <v>287</v>
      </c>
      <c r="B381" s="40" t="s">
        <v>332</v>
      </c>
      <c r="C381" s="40" t="s">
        <v>314</v>
      </c>
      <c r="D381" s="40" t="s">
        <v>133</v>
      </c>
      <c r="E381" s="40" t="s">
        <v>288</v>
      </c>
      <c r="F381" s="74"/>
      <c r="G381" s="10" t="e">
        <f>G382</f>
        <v>#REF!</v>
      </c>
    </row>
    <row r="382" spans="1:7" ht="15.75" x14ac:dyDescent="0.25">
      <c r="A382" s="29" t="s">
        <v>289</v>
      </c>
      <c r="B382" s="40" t="s">
        <v>332</v>
      </c>
      <c r="C382" s="40" t="s">
        <v>314</v>
      </c>
      <c r="D382" s="40" t="s">
        <v>133</v>
      </c>
      <c r="E382" s="40" t="s">
        <v>290</v>
      </c>
      <c r="F382" s="74"/>
      <c r="G382" s="10" t="e">
        <f>'Пр.6 ведом.20'!#REF!</f>
        <v>#REF!</v>
      </c>
    </row>
    <row r="383" spans="1:7" ht="63" hidden="1" x14ac:dyDescent="0.25">
      <c r="A383" s="45" t="s">
        <v>276</v>
      </c>
      <c r="B383" s="40" t="s">
        <v>668</v>
      </c>
      <c r="C383" s="40" t="s">
        <v>314</v>
      </c>
      <c r="D383" s="40" t="s">
        <v>133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293</v>
      </c>
      <c r="B384" s="40" t="s">
        <v>333</v>
      </c>
      <c r="C384" s="40" t="s">
        <v>314</v>
      </c>
      <c r="D384" s="40" t="s">
        <v>133</v>
      </c>
      <c r="E384" s="40"/>
      <c r="F384" s="74"/>
      <c r="G384" s="10">
        <f>G385</f>
        <v>0</v>
      </c>
    </row>
    <row r="385" spans="1:7" ht="63" hidden="1" x14ac:dyDescent="0.25">
      <c r="A385" s="29" t="s">
        <v>287</v>
      </c>
      <c r="B385" s="40" t="s">
        <v>333</v>
      </c>
      <c r="C385" s="40" t="s">
        <v>314</v>
      </c>
      <c r="D385" s="40" t="s">
        <v>133</v>
      </c>
      <c r="E385" s="40" t="s">
        <v>288</v>
      </c>
      <c r="F385" s="74"/>
      <c r="G385" s="10">
        <f>G386</f>
        <v>0</v>
      </c>
    </row>
    <row r="386" spans="1:7" ht="35.25" hidden="1" customHeight="1" x14ac:dyDescent="0.25">
      <c r="A386" s="29" t="s">
        <v>289</v>
      </c>
      <c r="B386" s="40" t="s">
        <v>333</v>
      </c>
      <c r="C386" s="40" t="s">
        <v>314</v>
      </c>
      <c r="D386" s="40" t="s">
        <v>133</v>
      </c>
      <c r="E386" s="40" t="s">
        <v>290</v>
      </c>
      <c r="F386" s="74"/>
      <c r="G386" s="10"/>
    </row>
    <row r="387" spans="1:7" ht="63" hidden="1" x14ac:dyDescent="0.25">
      <c r="A387" s="45" t="s">
        <v>276</v>
      </c>
      <c r="B387" s="40" t="s">
        <v>333</v>
      </c>
      <c r="C387" s="40" t="s">
        <v>314</v>
      </c>
      <c r="D387" s="40" t="s">
        <v>133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669</v>
      </c>
      <c r="B388" s="40" t="s">
        <v>334</v>
      </c>
      <c r="C388" s="40" t="s">
        <v>314</v>
      </c>
      <c r="D388" s="40" t="s">
        <v>133</v>
      </c>
      <c r="E388" s="40"/>
      <c r="F388" s="74"/>
      <c r="G388" s="10">
        <f>G389</f>
        <v>0</v>
      </c>
    </row>
    <row r="389" spans="1:7" ht="63" hidden="1" x14ac:dyDescent="0.25">
      <c r="A389" s="29" t="s">
        <v>287</v>
      </c>
      <c r="B389" s="40" t="s">
        <v>334</v>
      </c>
      <c r="C389" s="40" t="s">
        <v>314</v>
      </c>
      <c r="D389" s="40" t="s">
        <v>133</v>
      </c>
      <c r="E389" s="40" t="s">
        <v>288</v>
      </c>
      <c r="F389" s="74"/>
      <c r="G389" s="10">
        <f>G390</f>
        <v>0</v>
      </c>
    </row>
    <row r="390" spans="1:7" ht="15.75" hidden="1" x14ac:dyDescent="0.25">
      <c r="A390" s="29" t="s">
        <v>289</v>
      </c>
      <c r="B390" s="40" t="s">
        <v>334</v>
      </c>
      <c r="C390" s="40" t="s">
        <v>314</v>
      </c>
      <c r="D390" s="40" t="s">
        <v>133</v>
      </c>
      <c r="E390" s="40" t="s">
        <v>290</v>
      </c>
      <c r="F390" s="74"/>
      <c r="G390" s="10"/>
    </row>
    <row r="391" spans="1:7" ht="63" hidden="1" x14ac:dyDescent="0.25">
      <c r="A391" s="45" t="s">
        <v>276</v>
      </c>
      <c r="B391" s="40" t="s">
        <v>334</v>
      </c>
      <c r="C391" s="40" t="s">
        <v>314</v>
      </c>
      <c r="D391" s="40" t="s">
        <v>133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299</v>
      </c>
      <c r="B392" s="40" t="s">
        <v>629</v>
      </c>
      <c r="C392" s="40" t="s">
        <v>314</v>
      </c>
      <c r="D392" s="40" t="s">
        <v>133</v>
      </c>
      <c r="E392" s="40"/>
      <c r="F392" s="74"/>
      <c r="G392" s="10">
        <f>G393</f>
        <v>0</v>
      </c>
    </row>
    <row r="393" spans="1:7" ht="63" hidden="1" x14ac:dyDescent="0.25">
      <c r="A393" s="29" t="s">
        <v>287</v>
      </c>
      <c r="B393" s="40" t="s">
        <v>629</v>
      </c>
      <c r="C393" s="40" t="s">
        <v>314</v>
      </c>
      <c r="D393" s="40" t="s">
        <v>133</v>
      </c>
      <c r="E393" s="40" t="s">
        <v>288</v>
      </c>
      <c r="F393" s="74"/>
      <c r="G393" s="10">
        <f>G394</f>
        <v>0</v>
      </c>
    </row>
    <row r="394" spans="1:7" ht="15.75" hidden="1" x14ac:dyDescent="0.25">
      <c r="A394" s="29" t="s">
        <v>289</v>
      </c>
      <c r="B394" s="40" t="s">
        <v>629</v>
      </c>
      <c r="C394" s="40" t="s">
        <v>314</v>
      </c>
      <c r="D394" s="40" t="s">
        <v>133</v>
      </c>
      <c r="E394" s="40" t="s">
        <v>290</v>
      </c>
      <c r="F394" s="74"/>
      <c r="G394" s="10"/>
    </row>
    <row r="395" spans="1:7" ht="63" hidden="1" x14ac:dyDescent="0.25">
      <c r="A395" s="45" t="s">
        <v>276</v>
      </c>
      <c r="B395" s="40" t="s">
        <v>629</v>
      </c>
      <c r="C395" s="40" t="s">
        <v>314</v>
      </c>
      <c r="D395" s="40" t="s">
        <v>133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670</v>
      </c>
      <c r="B396" s="40" t="s">
        <v>331</v>
      </c>
      <c r="C396" s="40" t="s">
        <v>314</v>
      </c>
      <c r="D396" s="40" t="s">
        <v>133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146</v>
      </c>
      <c r="B397" s="40" t="s">
        <v>331</v>
      </c>
      <c r="C397" s="40" t="s">
        <v>314</v>
      </c>
      <c r="D397" s="40" t="s">
        <v>133</v>
      </c>
      <c r="E397" s="40" t="s">
        <v>147</v>
      </c>
      <c r="F397" s="2"/>
      <c r="G397" s="10">
        <f>G398</f>
        <v>0</v>
      </c>
    </row>
    <row r="398" spans="1:7" ht="47.25" hidden="1" x14ac:dyDescent="0.25">
      <c r="A398" s="29" t="s">
        <v>148</v>
      </c>
      <c r="B398" s="40" t="s">
        <v>331</v>
      </c>
      <c r="C398" s="40" t="s">
        <v>314</v>
      </c>
      <c r="D398" s="40" t="s">
        <v>133</v>
      </c>
      <c r="E398" s="40" t="s">
        <v>149</v>
      </c>
      <c r="F398" s="2"/>
      <c r="G398" s="10">
        <v>0</v>
      </c>
    </row>
    <row r="399" spans="1:7" ht="62.25" customHeight="1" x14ac:dyDescent="0.25">
      <c r="A399" s="29" t="s">
        <v>287</v>
      </c>
      <c r="B399" s="40" t="s">
        <v>331</v>
      </c>
      <c r="C399" s="40" t="s">
        <v>314</v>
      </c>
      <c r="D399" s="40" t="s">
        <v>133</v>
      </c>
      <c r="E399" s="40" t="s">
        <v>288</v>
      </c>
      <c r="F399" s="2"/>
      <c r="G399" s="10" t="e">
        <f>G400</f>
        <v>#REF!</v>
      </c>
    </row>
    <row r="400" spans="1:7" ht="15.75" x14ac:dyDescent="0.25">
      <c r="A400" s="29" t="s">
        <v>289</v>
      </c>
      <c r="B400" s="40" t="s">
        <v>331</v>
      </c>
      <c r="C400" s="40" t="s">
        <v>314</v>
      </c>
      <c r="D400" s="40" t="s">
        <v>133</v>
      </c>
      <c r="E400" s="40" t="s">
        <v>290</v>
      </c>
      <c r="F400" s="2"/>
      <c r="G400" s="10" t="e">
        <f>'Пр.6 ведом.20'!#REF!</f>
        <v>#REF!</v>
      </c>
    </row>
    <row r="401" spans="1:7" ht="15.75" x14ac:dyDescent="0.25">
      <c r="A401" s="25" t="s">
        <v>699</v>
      </c>
      <c r="B401" s="20" t="s">
        <v>700</v>
      </c>
      <c r="C401" s="40" t="s">
        <v>314</v>
      </c>
      <c r="D401" s="40" t="s">
        <v>133</v>
      </c>
      <c r="E401" s="40"/>
      <c r="F401" s="2"/>
      <c r="G401" s="10" t="e">
        <f>G402</f>
        <v>#REF!</v>
      </c>
    </row>
    <row r="402" spans="1:7" ht="63" x14ac:dyDescent="0.25">
      <c r="A402" s="25" t="s">
        <v>287</v>
      </c>
      <c r="B402" s="20" t="s">
        <v>700</v>
      </c>
      <c r="C402" s="40" t="s">
        <v>314</v>
      </c>
      <c r="D402" s="40" t="s">
        <v>133</v>
      </c>
      <c r="E402" s="40" t="s">
        <v>288</v>
      </c>
      <c r="F402" s="2"/>
      <c r="G402" s="10" t="e">
        <f>G403</f>
        <v>#REF!</v>
      </c>
    </row>
    <row r="403" spans="1:7" ht="15.75" x14ac:dyDescent="0.25">
      <c r="A403" s="25" t="s">
        <v>289</v>
      </c>
      <c r="B403" s="20" t="s">
        <v>700</v>
      </c>
      <c r="C403" s="40" t="s">
        <v>314</v>
      </c>
      <c r="D403" s="40" t="s">
        <v>133</v>
      </c>
      <c r="E403" s="40" t="s">
        <v>290</v>
      </c>
      <c r="F403" s="2"/>
      <c r="G403" s="10" t="e">
        <f>'Пр.6 ведом.20'!#REF!</f>
        <v>#REF!</v>
      </c>
    </row>
    <row r="404" spans="1:7" ht="63" x14ac:dyDescent="0.25">
      <c r="A404" s="45" t="s">
        <v>276</v>
      </c>
      <c r="B404" s="40" t="s">
        <v>328</v>
      </c>
      <c r="C404" s="40" t="s">
        <v>314</v>
      </c>
      <c r="D404" s="40" t="s">
        <v>133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336</v>
      </c>
      <c r="B405" s="40" t="s">
        <v>337</v>
      </c>
      <c r="C405" s="40" t="s">
        <v>314</v>
      </c>
      <c r="D405" s="40" t="s">
        <v>133</v>
      </c>
      <c r="E405" s="40"/>
      <c r="F405" s="2"/>
      <c r="G405" s="10">
        <f>G406</f>
        <v>0</v>
      </c>
    </row>
    <row r="406" spans="1:7" ht="63" hidden="1" x14ac:dyDescent="0.25">
      <c r="A406" s="29" t="s">
        <v>287</v>
      </c>
      <c r="B406" s="40" t="s">
        <v>337</v>
      </c>
      <c r="C406" s="40" t="s">
        <v>314</v>
      </c>
      <c r="D406" s="40" t="s">
        <v>133</v>
      </c>
      <c r="E406" s="40" t="s">
        <v>288</v>
      </c>
      <c r="F406" s="2"/>
      <c r="G406" s="10"/>
    </row>
    <row r="407" spans="1:7" ht="15.75" hidden="1" x14ac:dyDescent="0.25">
      <c r="A407" s="29" t="s">
        <v>289</v>
      </c>
      <c r="B407" s="40" t="s">
        <v>337</v>
      </c>
      <c r="C407" s="40" t="s">
        <v>314</v>
      </c>
      <c r="D407" s="40" t="s">
        <v>133</v>
      </c>
      <c r="E407" s="40" t="s">
        <v>290</v>
      </c>
      <c r="F407" s="2"/>
      <c r="G407" s="10"/>
    </row>
    <row r="408" spans="1:7" ht="63" hidden="1" x14ac:dyDescent="0.25">
      <c r="A408" s="45" t="s">
        <v>276</v>
      </c>
      <c r="B408" s="40" t="s">
        <v>337</v>
      </c>
      <c r="C408" s="40" t="s">
        <v>314</v>
      </c>
      <c r="D408" s="40" t="s">
        <v>133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338</v>
      </c>
      <c r="B409" s="7" t="s">
        <v>339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313</v>
      </c>
      <c r="B410" s="40" t="s">
        <v>339</v>
      </c>
      <c r="C410" s="40" t="s">
        <v>314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315</v>
      </c>
      <c r="B411" s="40" t="s">
        <v>339</v>
      </c>
      <c r="C411" s="40" t="s">
        <v>314</v>
      </c>
      <c r="D411" s="40" t="s">
        <v>133</v>
      </c>
      <c r="E411" s="73"/>
      <c r="F411" s="73"/>
      <c r="G411" s="10" t="e">
        <f>G412</f>
        <v>#REF!</v>
      </c>
    </row>
    <row r="412" spans="1:7" ht="63" x14ac:dyDescent="0.25">
      <c r="A412" s="29" t="s">
        <v>340</v>
      </c>
      <c r="B412" s="40" t="s">
        <v>341</v>
      </c>
      <c r="C412" s="40" t="s">
        <v>314</v>
      </c>
      <c r="D412" s="40" t="s">
        <v>133</v>
      </c>
      <c r="E412" s="73"/>
      <c r="F412" s="73"/>
      <c r="G412" s="10" t="e">
        <f>G413</f>
        <v>#REF!</v>
      </c>
    </row>
    <row r="413" spans="1:7" ht="63" x14ac:dyDescent="0.25">
      <c r="A413" s="25" t="s">
        <v>287</v>
      </c>
      <c r="B413" s="40" t="s">
        <v>341</v>
      </c>
      <c r="C413" s="40" t="s">
        <v>314</v>
      </c>
      <c r="D413" s="40" t="s">
        <v>133</v>
      </c>
      <c r="E413" s="40" t="s">
        <v>288</v>
      </c>
      <c r="F413" s="73"/>
      <c r="G413" s="10" t="e">
        <f>G414</f>
        <v>#REF!</v>
      </c>
    </row>
    <row r="414" spans="1:7" ht="15.75" x14ac:dyDescent="0.25">
      <c r="A414" s="25" t="s">
        <v>289</v>
      </c>
      <c r="B414" s="40" t="s">
        <v>341</v>
      </c>
      <c r="C414" s="40" t="s">
        <v>314</v>
      </c>
      <c r="D414" s="40" t="s">
        <v>133</v>
      </c>
      <c r="E414" s="40" t="s">
        <v>290</v>
      </c>
      <c r="F414" s="73"/>
      <c r="G414" s="10" t="e">
        <f>'Пр.6 ведом.20'!#REF!</f>
        <v>#REF!</v>
      </c>
    </row>
    <row r="415" spans="1:7" ht="63" hidden="1" x14ac:dyDescent="0.25">
      <c r="A415" s="45" t="s">
        <v>671</v>
      </c>
      <c r="B415" s="40" t="s">
        <v>341</v>
      </c>
      <c r="C415" s="40" t="s">
        <v>314</v>
      </c>
      <c r="D415" s="40" t="s">
        <v>133</v>
      </c>
      <c r="E415" s="40"/>
      <c r="F415" s="73"/>
      <c r="G415" s="10">
        <f>G416</f>
        <v>0</v>
      </c>
    </row>
    <row r="416" spans="1:7" ht="63" hidden="1" x14ac:dyDescent="0.25">
      <c r="A416" s="29" t="s">
        <v>287</v>
      </c>
      <c r="B416" s="40" t="s">
        <v>341</v>
      </c>
      <c r="C416" s="40" t="s">
        <v>314</v>
      </c>
      <c r="D416" s="40" t="s">
        <v>133</v>
      </c>
      <c r="E416" s="40" t="s">
        <v>288</v>
      </c>
      <c r="F416" s="73"/>
      <c r="G416" s="10">
        <f>G417</f>
        <v>0</v>
      </c>
    </row>
    <row r="417" spans="1:7" ht="15.75" hidden="1" x14ac:dyDescent="0.25">
      <c r="A417" s="29" t="s">
        <v>289</v>
      </c>
      <c r="B417" s="40" t="s">
        <v>341</v>
      </c>
      <c r="C417" s="40" t="s">
        <v>314</v>
      </c>
      <c r="D417" s="40" t="s">
        <v>133</v>
      </c>
      <c r="E417" s="40" t="s">
        <v>290</v>
      </c>
      <c r="F417" s="73"/>
      <c r="G417" s="10"/>
    </row>
    <row r="418" spans="1:7" ht="63" x14ac:dyDescent="0.25">
      <c r="A418" s="45" t="s">
        <v>276</v>
      </c>
      <c r="B418" s="40" t="s">
        <v>339</v>
      </c>
      <c r="C418" s="40" t="s">
        <v>314</v>
      </c>
      <c r="D418" s="40" t="s">
        <v>133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557</v>
      </c>
      <c r="B419" s="7" t="s">
        <v>558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559</v>
      </c>
      <c r="B420" s="7" t="s">
        <v>560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405</v>
      </c>
      <c r="B421" s="40" t="s">
        <v>560</v>
      </c>
      <c r="C421" s="40" t="s">
        <v>249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556</v>
      </c>
      <c r="B422" s="40" t="s">
        <v>560</v>
      </c>
      <c r="C422" s="40" t="s">
        <v>249</v>
      </c>
      <c r="D422" s="40" t="s">
        <v>230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561</v>
      </c>
      <c r="B423" s="20" t="s">
        <v>562</v>
      </c>
      <c r="C423" s="40" t="s">
        <v>249</v>
      </c>
      <c r="D423" s="40" t="s">
        <v>230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146</v>
      </c>
      <c r="B424" s="20" t="s">
        <v>562</v>
      </c>
      <c r="C424" s="40" t="s">
        <v>249</v>
      </c>
      <c r="D424" s="40" t="s">
        <v>230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148</v>
      </c>
      <c r="B425" s="20" t="s">
        <v>562</v>
      </c>
      <c r="C425" s="40" t="s">
        <v>249</v>
      </c>
      <c r="D425" s="40" t="s">
        <v>230</v>
      </c>
      <c r="E425" s="2">
        <v>240</v>
      </c>
      <c r="F425" s="2"/>
      <c r="G425" s="10" t="e">
        <f>'Пр.6 ведом.20'!#REF!</f>
        <v>#REF!</v>
      </c>
    </row>
    <row r="426" spans="1:7" ht="31.5" customHeight="1" x14ac:dyDescent="0.25">
      <c r="A426" s="25" t="s">
        <v>563</v>
      </c>
      <c r="B426" s="20" t="s">
        <v>564</v>
      </c>
      <c r="C426" s="40" t="s">
        <v>249</v>
      </c>
      <c r="D426" s="40" t="s">
        <v>230</v>
      </c>
      <c r="E426" s="2"/>
      <c r="F426" s="2"/>
      <c r="G426" s="10" t="e">
        <f>G427</f>
        <v>#REF!</v>
      </c>
    </row>
    <row r="427" spans="1:7" ht="47.25" x14ac:dyDescent="0.25">
      <c r="A427" s="25" t="s">
        <v>146</v>
      </c>
      <c r="B427" s="20" t="s">
        <v>564</v>
      </c>
      <c r="C427" s="40" t="s">
        <v>249</v>
      </c>
      <c r="D427" s="40" t="s">
        <v>230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148</v>
      </c>
      <c r="B428" s="20" t="s">
        <v>564</v>
      </c>
      <c r="C428" s="40" t="s">
        <v>249</v>
      </c>
      <c r="D428" s="40" t="s">
        <v>230</v>
      </c>
      <c r="E428" s="2">
        <v>240</v>
      </c>
      <c r="F428" s="2"/>
      <c r="G428" s="10" t="e">
        <f>'Пр.6 ведом.20'!#REF!</f>
        <v>#REF!</v>
      </c>
    </row>
    <row r="429" spans="1:7" ht="31.5" x14ac:dyDescent="0.25">
      <c r="A429" s="25" t="s">
        <v>565</v>
      </c>
      <c r="B429" s="20" t="s">
        <v>566</v>
      </c>
      <c r="C429" s="40" t="s">
        <v>249</v>
      </c>
      <c r="D429" s="40" t="s">
        <v>230</v>
      </c>
      <c r="E429" s="2"/>
      <c r="F429" s="2"/>
      <c r="G429" s="10" t="e">
        <f>G430</f>
        <v>#REF!</v>
      </c>
    </row>
    <row r="430" spans="1:7" ht="47.25" x14ac:dyDescent="0.25">
      <c r="A430" s="25" t="s">
        <v>146</v>
      </c>
      <c r="B430" s="20" t="s">
        <v>566</v>
      </c>
      <c r="C430" s="40" t="s">
        <v>249</v>
      </c>
      <c r="D430" s="40" t="s">
        <v>230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148</v>
      </c>
      <c r="B431" s="20" t="s">
        <v>566</v>
      </c>
      <c r="C431" s="40" t="s">
        <v>249</v>
      </c>
      <c r="D431" s="40" t="s">
        <v>230</v>
      </c>
      <c r="E431" s="2">
        <v>240</v>
      </c>
      <c r="F431" s="2"/>
      <c r="G431" s="10" t="e">
        <f>'Пр.6 ведом.20'!#REF!</f>
        <v>#REF!</v>
      </c>
    </row>
    <row r="432" spans="1:7" ht="47.25" x14ac:dyDescent="0.25">
      <c r="A432" s="45" t="s">
        <v>639</v>
      </c>
      <c r="B432" s="40" t="s">
        <v>560</v>
      </c>
      <c r="C432" s="40" t="s">
        <v>249</v>
      </c>
      <c r="D432" s="40" t="s">
        <v>230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567</v>
      </c>
      <c r="B433" s="7" t="s">
        <v>568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405</v>
      </c>
      <c r="B434" s="40" t="s">
        <v>568</v>
      </c>
      <c r="C434" s="40" t="s">
        <v>249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556</v>
      </c>
      <c r="B435" s="40" t="s">
        <v>568</v>
      </c>
      <c r="C435" s="40" t="s">
        <v>249</v>
      </c>
      <c r="D435" s="40" t="s">
        <v>230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565</v>
      </c>
      <c r="B436" s="20" t="s">
        <v>569</v>
      </c>
      <c r="C436" s="40" t="s">
        <v>249</v>
      </c>
      <c r="D436" s="40" t="s">
        <v>230</v>
      </c>
      <c r="E436" s="2"/>
      <c r="F436" s="2"/>
      <c r="G436" s="10" t="e">
        <f>G437+G439</f>
        <v>#REF!</v>
      </c>
    </row>
    <row r="437" spans="1:7" ht="110.25" x14ac:dyDescent="0.25">
      <c r="A437" s="25" t="s">
        <v>142</v>
      </c>
      <c r="B437" s="20" t="s">
        <v>569</v>
      </c>
      <c r="C437" s="40" t="s">
        <v>249</v>
      </c>
      <c r="D437" s="40" t="s">
        <v>230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357</v>
      </c>
      <c r="B438" s="20" t="s">
        <v>569</v>
      </c>
      <c r="C438" s="40" t="s">
        <v>249</v>
      </c>
      <c r="D438" s="40" t="s">
        <v>230</v>
      </c>
      <c r="E438" s="2">
        <v>110</v>
      </c>
      <c r="F438" s="2"/>
      <c r="G438" s="10" t="e">
        <f>'Пр.6 ведом.20'!#REF!</f>
        <v>#REF!</v>
      </c>
    </row>
    <row r="439" spans="1:7" ht="47.25" x14ac:dyDescent="0.25">
      <c r="A439" s="25" t="s">
        <v>146</v>
      </c>
      <c r="B439" s="20" t="s">
        <v>569</v>
      </c>
      <c r="C439" s="40" t="s">
        <v>249</v>
      </c>
      <c r="D439" s="40" t="s">
        <v>230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148</v>
      </c>
      <c r="B440" s="20" t="s">
        <v>569</v>
      </c>
      <c r="C440" s="40" t="s">
        <v>249</v>
      </c>
      <c r="D440" s="40" t="s">
        <v>230</v>
      </c>
      <c r="E440" s="2">
        <v>240</v>
      </c>
      <c r="F440" s="2"/>
      <c r="G440" s="10" t="e">
        <f>'Пр.6 ведом.20'!#REF!</f>
        <v>#REF!</v>
      </c>
    </row>
    <row r="441" spans="1:7" ht="15.75" x14ac:dyDescent="0.25">
      <c r="A441" s="25" t="s">
        <v>570</v>
      </c>
      <c r="B441" s="20" t="s">
        <v>571</v>
      </c>
      <c r="C441" s="40" t="s">
        <v>249</v>
      </c>
      <c r="D441" s="40" t="s">
        <v>230</v>
      </c>
      <c r="E441" s="2"/>
      <c r="F441" s="2"/>
      <c r="G441" s="10" t="e">
        <f>G442</f>
        <v>#REF!</v>
      </c>
    </row>
    <row r="442" spans="1:7" ht="47.25" x14ac:dyDescent="0.25">
      <c r="A442" s="25" t="s">
        <v>146</v>
      </c>
      <c r="B442" s="20" t="s">
        <v>571</v>
      </c>
      <c r="C442" s="40" t="s">
        <v>249</v>
      </c>
      <c r="D442" s="40" t="s">
        <v>230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148</v>
      </c>
      <c r="B443" s="20" t="s">
        <v>571</v>
      </c>
      <c r="C443" s="40" t="s">
        <v>249</v>
      </c>
      <c r="D443" s="40" t="s">
        <v>230</v>
      </c>
      <c r="E443" s="2">
        <v>240</v>
      </c>
      <c r="F443" s="2"/>
      <c r="G443" s="10" t="e">
        <f>'Пр.6 ведом.20'!#REF!</f>
        <v>#REF!</v>
      </c>
    </row>
    <row r="444" spans="1:7" ht="63" x14ac:dyDescent="0.25">
      <c r="A444" s="101" t="s">
        <v>572</v>
      </c>
      <c r="B444" s="20" t="s">
        <v>573</v>
      </c>
      <c r="C444" s="40" t="s">
        <v>249</v>
      </c>
      <c r="D444" s="40" t="s">
        <v>230</v>
      </c>
      <c r="E444" s="2"/>
      <c r="F444" s="2"/>
      <c r="G444" s="10" t="e">
        <f>G445</f>
        <v>#REF!</v>
      </c>
    </row>
    <row r="445" spans="1:7" ht="47.25" x14ac:dyDescent="0.25">
      <c r="A445" s="25" t="s">
        <v>146</v>
      </c>
      <c r="B445" s="20" t="s">
        <v>573</v>
      </c>
      <c r="C445" s="40" t="s">
        <v>249</v>
      </c>
      <c r="D445" s="40" t="s">
        <v>230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148</v>
      </c>
      <c r="B446" s="20" t="s">
        <v>573</v>
      </c>
      <c r="C446" s="40" t="s">
        <v>249</v>
      </c>
      <c r="D446" s="40" t="s">
        <v>230</v>
      </c>
      <c r="E446" s="2">
        <v>240</v>
      </c>
      <c r="F446" s="2"/>
      <c r="G446" s="10" t="e">
        <f>'Пр.6 ведом.20'!#REF!</f>
        <v>#REF!</v>
      </c>
    </row>
    <row r="447" spans="1:7" ht="31.5" x14ac:dyDescent="0.25">
      <c r="A447" s="101" t="s">
        <v>574</v>
      </c>
      <c r="B447" s="20" t="s">
        <v>575</v>
      </c>
      <c r="C447" s="40" t="s">
        <v>249</v>
      </c>
      <c r="D447" s="40" t="s">
        <v>230</v>
      </c>
      <c r="E447" s="2"/>
      <c r="F447" s="2"/>
      <c r="G447" s="10" t="e">
        <f>G448</f>
        <v>#REF!</v>
      </c>
    </row>
    <row r="448" spans="1:7" ht="47.25" x14ac:dyDescent="0.25">
      <c r="A448" s="25" t="s">
        <v>146</v>
      </c>
      <c r="B448" s="20" t="s">
        <v>575</v>
      </c>
      <c r="C448" s="40" t="s">
        <v>249</v>
      </c>
      <c r="D448" s="40" t="s">
        <v>230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148</v>
      </c>
      <c r="B449" s="20" t="s">
        <v>575</v>
      </c>
      <c r="C449" s="40" t="s">
        <v>249</v>
      </c>
      <c r="D449" s="40" t="s">
        <v>230</v>
      </c>
      <c r="E449" s="2">
        <v>240</v>
      </c>
      <c r="F449" s="2"/>
      <c r="G449" s="10" t="e">
        <f>'Пр.6 ведом.20'!#REF!</f>
        <v>#REF!</v>
      </c>
    </row>
    <row r="450" spans="1:7" ht="47.25" x14ac:dyDescent="0.25">
      <c r="A450" s="45" t="s">
        <v>639</v>
      </c>
      <c r="B450" s="20" t="s">
        <v>568</v>
      </c>
      <c r="C450" s="40" t="s">
        <v>249</v>
      </c>
      <c r="D450" s="40" t="s">
        <v>230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196</v>
      </c>
      <c r="B451" s="178" t="s">
        <v>197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132</v>
      </c>
      <c r="B452" s="5" t="s">
        <v>197</v>
      </c>
      <c r="C452" s="40" t="s">
        <v>133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154</v>
      </c>
      <c r="B453" s="30" t="s">
        <v>197</v>
      </c>
      <c r="C453" s="40" t="s">
        <v>133</v>
      </c>
      <c r="D453" s="40" t="s">
        <v>155</v>
      </c>
      <c r="E453" s="40"/>
      <c r="F453" s="2"/>
      <c r="G453" s="10" t="e">
        <f>G454</f>
        <v>#REF!</v>
      </c>
    </row>
    <row r="454" spans="1:7" ht="47.25" x14ac:dyDescent="0.25">
      <c r="A454" s="29" t="s">
        <v>172</v>
      </c>
      <c r="B454" s="20" t="s">
        <v>198</v>
      </c>
      <c r="C454" s="40" t="s">
        <v>133</v>
      </c>
      <c r="D454" s="40" t="s">
        <v>155</v>
      </c>
      <c r="E454" s="40"/>
      <c r="F454" s="2"/>
      <c r="G454" s="10" t="e">
        <f>G455</f>
        <v>#REF!</v>
      </c>
    </row>
    <row r="455" spans="1:7" ht="47.25" x14ac:dyDescent="0.25">
      <c r="A455" s="29" t="s">
        <v>146</v>
      </c>
      <c r="B455" s="20" t="s">
        <v>198</v>
      </c>
      <c r="C455" s="40" t="s">
        <v>133</v>
      </c>
      <c r="D455" s="40" t="s">
        <v>155</v>
      </c>
      <c r="E455" s="40" t="s">
        <v>160</v>
      </c>
      <c r="F455" s="2"/>
      <c r="G455" s="10" t="e">
        <f>G456</f>
        <v>#REF!</v>
      </c>
    </row>
    <row r="456" spans="1:7" ht="78.75" x14ac:dyDescent="0.25">
      <c r="A456" s="29" t="s">
        <v>199</v>
      </c>
      <c r="B456" s="20" t="s">
        <v>198</v>
      </c>
      <c r="C456" s="40" t="s">
        <v>133</v>
      </c>
      <c r="D456" s="40" t="s">
        <v>155</v>
      </c>
      <c r="E456" s="40" t="s">
        <v>175</v>
      </c>
      <c r="F456" s="2"/>
      <c r="G456" s="10" t="e">
        <f>'Пр.6 ведом.20'!#REF!</f>
        <v>#REF!</v>
      </c>
    </row>
    <row r="457" spans="1:7" ht="31.5" x14ac:dyDescent="0.25">
      <c r="A457" s="29" t="s">
        <v>163</v>
      </c>
      <c r="B457" s="30" t="s">
        <v>197</v>
      </c>
      <c r="C457" s="40" t="s">
        <v>133</v>
      </c>
      <c r="D457" s="40" t="s">
        <v>155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672</v>
      </c>
      <c r="B458" s="7" t="s">
        <v>533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405</v>
      </c>
      <c r="B459" s="40" t="s">
        <v>533</v>
      </c>
      <c r="C459" s="40" t="s">
        <v>249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532</v>
      </c>
      <c r="B460" s="40" t="s">
        <v>533</v>
      </c>
      <c r="C460" s="40" t="s">
        <v>249</v>
      </c>
      <c r="D460" s="40" t="s">
        <v>228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534</v>
      </c>
      <c r="B461" s="20" t="s">
        <v>535</v>
      </c>
      <c r="C461" s="40" t="s">
        <v>249</v>
      </c>
      <c r="D461" s="40" t="s">
        <v>228</v>
      </c>
      <c r="E461" s="73"/>
      <c r="F461" s="2"/>
      <c r="G461" s="10">
        <f>G462</f>
        <v>0</v>
      </c>
    </row>
    <row r="462" spans="1:7" ht="47.25" hidden="1" x14ac:dyDescent="0.25">
      <c r="A462" s="29" t="s">
        <v>146</v>
      </c>
      <c r="B462" s="20" t="s">
        <v>535</v>
      </c>
      <c r="C462" s="40" t="s">
        <v>249</v>
      </c>
      <c r="D462" s="40" t="s">
        <v>228</v>
      </c>
      <c r="E462" s="40" t="s">
        <v>147</v>
      </c>
      <c r="F462" s="2"/>
      <c r="G462" s="10">
        <f>G463</f>
        <v>0</v>
      </c>
    </row>
    <row r="463" spans="1:7" ht="47.25" hidden="1" x14ac:dyDescent="0.25">
      <c r="A463" s="29" t="s">
        <v>148</v>
      </c>
      <c r="B463" s="20" t="s">
        <v>535</v>
      </c>
      <c r="C463" s="40" t="s">
        <v>249</v>
      </c>
      <c r="D463" s="40" t="s">
        <v>228</v>
      </c>
      <c r="E463" s="40" t="s">
        <v>149</v>
      </c>
      <c r="F463" s="2"/>
      <c r="G463" s="10"/>
    </row>
    <row r="464" spans="1:7" ht="47.25" hidden="1" x14ac:dyDescent="0.25">
      <c r="A464" s="45" t="s">
        <v>639</v>
      </c>
      <c r="B464" s="20" t="s">
        <v>535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101" t="s">
        <v>536</v>
      </c>
      <c r="B465" s="20" t="s">
        <v>537</v>
      </c>
      <c r="C465" s="40" t="s">
        <v>249</v>
      </c>
      <c r="D465" s="40" t="s">
        <v>228</v>
      </c>
      <c r="E465" s="40"/>
      <c r="F465" s="2"/>
      <c r="G465" s="10" t="e">
        <f>G466</f>
        <v>#REF!</v>
      </c>
    </row>
    <row r="466" spans="1:7" ht="47.25" x14ac:dyDescent="0.25">
      <c r="A466" s="31" t="s">
        <v>146</v>
      </c>
      <c r="B466" s="20" t="s">
        <v>537</v>
      </c>
      <c r="C466" s="40" t="s">
        <v>249</v>
      </c>
      <c r="D466" s="40" t="s">
        <v>228</v>
      </c>
      <c r="E466" s="40" t="s">
        <v>147</v>
      </c>
      <c r="F466" s="2"/>
      <c r="G466" s="10" t="e">
        <f>G467</f>
        <v>#REF!</v>
      </c>
    </row>
    <row r="467" spans="1:7" ht="47.25" x14ac:dyDescent="0.25">
      <c r="A467" s="31" t="s">
        <v>148</v>
      </c>
      <c r="B467" s="20" t="s">
        <v>537</v>
      </c>
      <c r="C467" s="40" t="s">
        <v>249</v>
      </c>
      <c r="D467" s="40" t="s">
        <v>228</v>
      </c>
      <c r="E467" s="40" t="s">
        <v>149</v>
      </c>
      <c r="F467" s="2"/>
      <c r="G467" s="10" t="e">
        <f>'Пр.6 ведом.20'!#REF!</f>
        <v>#REF!</v>
      </c>
    </row>
    <row r="468" spans="1:7" ht="15.75" x14ac:dyDescent="0.25">
      <c r="A468" s="101" t="s">
        <v>538</v>
      </c>
      <c r="B468" s="20" t="s">
        <v>539</v>
      </c>
      <c r="C468" s="40" t="s">
        <v>249</v>
      </c>
      <c r="D468" s="40" t="s">
        <v>228</v>
      </c>
      <c r="E468" s="40"/>
      <c r="F468" s="2"/>
      <c r="G468" s="10" t="e">
        <f>G469</f>
        <v>#REF!</v>
      </c>
    </row>
    <row r="469" spans="1:7" ht="47.25" x14ac:dyDescent="0.25">
      <c r="A469" s="31" t="s">
        <v>146</v>
      </c>
      <c r="B469" s="20" t="s">
        <v>539</v>
      </c>
      <c r="C469" s="40" t="s">
        <v>249</v>
      </c>
      <c r="D469" s="40" t="s">
        <v>228</v>
      </c>
      <c r="E469" s="40" t="s">
        <v>147</v>
      </c>
      <c r="F469" s="2"/>
      <c r="G469" s="10" t="e">
        <f>G470</f>
        <v>#REF!</v>
      </c>
    </row>
    <row r="470" spans="1:7" ht="47.25" x14ac:dyDescent="0.25">
      <c r="A470" s="31" t="s">
        <v>148</v>
      </c>
      <c r="B470" s="20" t="s">
        <v>539</v>
      </c>
      <c r="C470" s="40" t="s">
        <v>249</v>
      </c>
      <c r="D470" s="40" t="s">
        <v>228</v>
      </c>
      <c r="E470" s="40" t="s">
        <v>149</v>
      </c>
      <c r="F470" s="2"/>
      <c r="G470" s="10" t="e">
        <f>'Пр.6 ведом.20'!#REF!</f>
        <v>#REF!</v>
      </c>
    </row>
    <row r="471" spans="1:7" ht="15.75" x14ac:dyDescent="0.25">
      <c r="A471" s="101" t="s">
        <v>540</v>
      </c>
      <c r="B471" s="20" t="s">
        <v>541</v>
      </c>
      <c r="C471" s="40" t="s">
        <v>249</v>
      </c>
      <c r="D471" s="40" t="s">
        <v>228</v>
      </c>
      <c r="E471" s="40"/>
      <c r="F471" s="2"/>
      <c r="G471" s="10" t="e">
        <f>G472</f>
        <v>#REF!</v>
      </c>
    </row>
    <row r="472" spans="1:7" ht="47.25" x14ac:dyDescent="0.25">
      <c r="A472" s="31" t="s">
        <v>146</v>
      </c>
      <c r="B472" s="20" t="s">
        <v>541</v>
      </c>
      <c r="C472" s="40" t="s">
        <v>249</v>
      </c>
      <c r="D472" s="40" t="s">
        <v>228</v>
      </c>
      <c r="E472" s="40" t="s">
        <v>147</v>
      </c>
      <c r="F472" s="2"/>
      <c r="G472" s="10" t="e">
        <f>G473</f>
        <v>#REF!</v>
      </c>
    </row>
    <row r="473" spans="1:7" ht="47.25" x14ac:dyDescent="0.25">
      <c r="A473" s="31" t="s">
        <v>148</v>
      </c>
      <c r="B473" s="20" t="s">
        <v>541</v>
      </c>
      <c r="C473" s="40" t="s">
        <v>249</v>
      </c>
      <c r="D473" s="40" t="s">
        <v>228</v>
      </c>
      <c r="E473" s="40" t="s">
        <v>149</v>
      </c>
      <c r="F473" s="2"/>
      <c r="G473" s="10" t="e">
        <f>'Пр.6 ведом.20'!#REF!</f>
        <v>#REF!</v>
      </c>
    </row>
    <row r="474" spans="1:7" ht="31.5" x14ac:dyDescent="0.25">
      <c r="A474" s="101" t="s">
        <v>542</v>
      </c>
      <c r="B474" s="20" t="s">
        <v>543</v>
      </c>
      <c r="C474" s="40" t="s">
        <v>249</v>
      </c>
      <c r="D474" s="40" t="s">
        <v>228</v>
      </c>
      <c r="E474" s="40"/>
      <c r="F474" s="2"/>
      <c r="G474" s="10" t="e">
        <f>G475</f>
        <v>#REF!</v>
      </c>
    </row>
    <row r="475" spans="1:7" ht="47.25" x14ac:dyDescent="0.25">
      <c r="A475" s="31" t="s">
        <v>146</v>
      </c>
      <c r="B475" s="20" t="s">
        <v>543</v>
      </c>
      <c r="C475" s="40" t="s">
        <v>249</v>
      </c>
      <c r="D475" s="40" t="s">
        <v>228</v>
      </c>
      <c r="E475" s="40" t="s">
        <v>147</v>
      </c>
      <c r="F475" s="2"/>
      <c r="G475" s="10" t="e">
        <f>G476</f>
        <v>#REF!</v>
      </c>
    </row>
    <row r="476" spans="1:7" ht="47.25" x14ac:dyDescent="0.25">
      <c r="A476" s="31" t="s">
        <v>148</v>
      </c>
      <c r="B476" s="20" t="s">
        <v>543</v>
      </c>
      <c r="C476" s="40" t="s">
        <v>249</v>
      </c>
      <c r="D476" s="40" t="s">
        <v>228</v>
      </c>
      <c r="E476" s="40" t="s">
        <v>149</v>
      </c>
      <c r="F476" s="2"/>
      <c r="G476" s="10" t="e">
        <f>'Пр.6 ведом.20'!#REF!</f>
        <v>#REF!</v>
      </c>
    </row>
    <row r="477" spans="1:7" ht="15.75" x14ac:dyDescent="0.25">
      <c r="A477" s="101" t="s">
        <v>544</v>
      </c>
      <c r="B477" s="20" t="s">
        <v>545</v>
      </c>
      <c r="C477" s="40" t="s">
        <v>249</v>
      </c>
      <c r="D477" s="40" t="s">
        <v>228</v>
      </c>
      <c r="E477" s="40"/>
      <c r="F477" s="2"/>
      <c r="G477" s="10" t="e">
        <f>G478</f>
        <v>#REF!</v>
      </c>
    </row>
    <row r="478" spans="1:7" ht="47.25" x14ac:dyDescent="0.25">
      <c r="A478" s="31" t="s">
        <v>146</v>
      </c>
      <c r="B478" s="20" t="s">
        <v>545</v>
      </c>
      <c r="C478" s="40" t="s">
        <v>249</v>
      </c>
      <c r="D478" s="40" t="s">
        <v>228</v>
      </c>
      <c r="E478" s="40" t="s">
        <v>147</v>
      </c>
      <c r="F478" s="2"/>
      <c r="G478" s="10" t="e">
        <f>G479</f>
        <v>#REF!</v>
      </c>
    </row>
    <row r="479" spans="1:7" ht="47.25" x14ac:dyDescent="0.25">
      <c r="A479" s="31" t="s">
        <v>148</v>
      </c>
      <c r="B479" s="20" t="s">
        <v>545</v>
      </c>
      <c r="C479" s="40" t="s">
        <v>249</v>
      </c>
      <c r="D479" s="40" t="s">
        <v>228</v>
      </c>
      <c r="E479" s="40" t="s">
        <v>149</v>
      </c>
      <c r="F479" s="2"/>
      <c r="G479" s="10" t="e">
        <f>'Пр.6 ведом.20'!#REF!</f>
        <v>#REF!</v>
      </c>
    </row>
    <row r="480" spans="1:7" ht="31.5" hidden="1" x14ac:dyDescent="0.25">
      <c r="A480" s="100" t="s">
        <v>546</v>
      </c>
      <c r="B480" s="20" t="s">
        <v>547</v>
      </c>
      <c r="C480" s="40" t="s">
        <v>249</v>
      </c>
      <c r="D480" s="40" t="s">
        <v>228</v>
      </c>
      <c r="E480" s="40"/>
      <c r="F480" s="2"/>
      <c r="G480" s="10">
        <f>G481</f>
        <v>0</v>
      </c>
    </row>
    <row r="481" spans="1:7" ht="47.25" hidden="1" x14ac:dyDescent="0.25">
      <c r="A481" s="31" t="s">
        <v>146</v>
      </c>
      <c r="B481" s="20" t="s">
        <v>547</v>
      </c>
      <c r="C481" s="40" t="s">
        <v>249</v>
      </c>
      <c r="D481" s="40" t="s">
        <v>228</v>
      </c>
      <c r="E481" s="40"/>
      <c r="F481" s="2"/>
      <c r="G481" s="10">
        <f>G482</f>
        <v>0</v>
      </c>
    </row>
    <row r="482" spans="1:7" ht="47.25" hidden="1" x14ac:dyDescent="0.25">
      <c r="A482" s="31" t="s">
        <v>148</v>
      </c>
      <c r="B482" s="20" t="s">
        <v>547</v>
      </c>
      <c r="C482" s="40" t="s">
        <v>249</v>
      </c>
      <c r="D482" s="40" t="s">
        <v>228</v>
      </c>
      <c r="E482" s="40"/>
      <c r="F482" s="2"/>
      <c r="G482" s="10"/>
    </row>
    <row r="483" spans="1:7" ht="31.5" x14ac:dyDescent="0.25">
      <c r="A483" s="100" t="s">
        <v>548</v>
      </c>
      <c r="B483" s="20" t="s">
        <v>549</v>
      </c>
      <c r="C483" s="40" t="s">
        <v>249</v>
      </c>
      <c r="D483" s="40" t="s">
        <v>228</v>
      </c>
      <c r="E483" s="40"/>
      <c r="F483" s="2"/>
      <c r="G483" s="10" t="e">
        <f>G484</f>
        <v>#REF!</v>
      </c>
    </row>
    <row r="484" spans="1:7" ht="47.25" x14ac:dyDescent="0.3">
      <c r="A484" s="25" t="s">
        <v>146</v>
      </c>
      <c r="B484" s="20" t="s">
        <v>549</v>
      </c>
      <c r="C484" s="40" t="s">
        <v>249</v>
      </c>
      <c r="D484" s="40" t="s">
        <v>228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148</v>
      </c>
      <c r="B485" s="20" t="s">
        <v>549</v>
      </c>
      <c r="C485" s="40" t="s">
        <v>249</v>
      </c>
      <c r="D485" s="40" t="s">
        <v>228</v>
      </c>
      <c r="E485" s="2">
        <v>240</v>
      </c>
      <c r="F485" s="77"/>
      <c r="G485" s="6" t="e">
        <f>'Пр.6 ведом.20'!#REF!</f>
        <v>#REF!</v>
      </c>
    </row>
    <row r="486" spans="1:7" ht="47.25" x14ac:dyDescent="0.25">
      <c r="A486" s="45" t="s">
        <v>639</v>
      </c>
      <c r="B486" s="20" t="s">
        <v>533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349</v>
      </c>
      <c r="B487" s="24" t="s">
        <v>350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278</v>
      </c>
      <c r="B488" s="20" t="s">
        <v>350</v>
      </c>
      <c r="C488" s="40" t="s">
        <v>279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310</v>
      </c>
      <c r="B489" s="20" t="s">
        <v>350</v>
      </c>
      <c r="C489" s="40" t="s">
        <v>279</v>
      </c>
      <c r="D489" s="40" t="s">
        <v>234</v>
      </c>
      <c r="E489" s="2"/>
      <c r="F489" s="2"/>
      <c r="G489" s="6" t="e">
        <f>G490+G493</f>
        <v>#REF!</v>
      </c>
    </row>
    <row r="490" spans="1:7" ht="47.25" x14ac:dyDescent="0.25">
      <c r="A490" s="25" t="s">
        <v>351</v>
      </c>
      <c r="B490" s="20" t="s">
        <v>352</v>
      </c>
      <c r="C490" s="40" t="s">
        <v>279</v>
      </c>
      <c r="D490" s="40" t="s">
        <v>234</v>
      </c>
      <c r="E490" s="2"/>
      <c r="F490" s="2"/>
      <c r="G490" s="6" t="e">
        <f>G491</f>
        <v>#REF!</v>
      </c>
    </row>
    <row r="491" spans="1:7" ht="47.25" x14ac:dyDescent="0.25">
      <c r="A491" s="25" t="s">
        <v>146</v>
      </c>
      <c r="B491" s="20" t="s">
        <v>352</v>
      </c>
      <c r="C491" s="40" t="s">
        <v>279</v>
      </c>
      <c r="D491" s="40" t="s">
        <v>234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148</v>
      </c>
      <c r="B492" s="20" t="s">
        <v>352</v>
      </c>
      <c r="C492" s="40" t="s">
        <v>279</v>
      </c>
      <c r="D492" s="40" t="s">
        <v>234</v>
      </c>
      <c r="E492" s="2">
        <v>240</v>
      </c>
      <c r="F492" s="2"/>
      <c r="G492" s="6" t="e">
        <f>'Пр.6 ведом.20'!#REF!</f>
        <v>#REF!</v>
      </c>
    </row>
    <row r="493" spans="1:7" ht="78.75" x14ac:dyDescent="0.25">
      <c r="A493" s="25" t="s">
        <v>491</v>
      </c>
      <c r="B493" s="20" t="s">
        <v>492</v>
      </c>
      <c r="C493" s="40" t="s">
        <v>279</v>
      </c>
      <c r="D493" s="40" t="s">
        <v>234</v>
      </c>
      <c r="E493" s="2"/>
      <c r="F493" s="2"/>
      <c r="G493" s="6" t="e">
        <f>G494+G496</f>
        <v>#REF!</v>
      </c>
    </row>
    <row r="494" spans="1:7" ht="110.25" x14ac:dyDescent="0.25">
      <c r="A494" s="25" t="s">
        <v>142</v>
      </c>
      <c r="B494" s="20" t="s">
        <v>492</v>
      </c>
      <c r="C494" s="40" t="s">
        <v>279</v>
      </c>
      <c r="D494" s="40" t="s">
        <v>234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357</v>
      </c>
      <c r="B495" s="20" t="s">
        <v>492</v>
      </c>
      <c r="C495" s="40" t="s">
        <v>279</v>
      </c>
      <c r="D495" s="40" t="s">
        <v>234</v>
      </c>
      <c r="E495" s="2">
        <v>110</v>
      </c>
      <c r="F495" s="2"/>
      <c r="G495" s="6" t="e">
        <f>'Пр.6 ведом.20'!#REF!</f>
        <v>#REF!</v>
      </c>
    </row>
    <row r="496" spans="1:7" ht="47.25" x14ac:dyDescent="0.25">
      <c r="A496" s="25" t="s">
        <v>146</v>
      </c>
      <c r="B496" s="20" t="s">
        <v>492</v>
      </c>
      <c r="C496" s="40" t="s">
        <v>279</v>
      </c>
      <c r="D496" s="40" t="s">
        <v>234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148</v>
      </c>
      <c r="B497" s="20" t="s">
        <v>492</v>
      </c>
      <c r="C497" s="40" t="s">
        <v>279</v>
      </c>
      <c r="D497" s="40" t="s">
        <v>234</v>
      </c>
      <c r="E497" s="2">
        <v>240</v>
      </c>
      <c r="F497" s="2"/>
      <c r="G497" s="6" t="e">
        <f>'Пр.6 ведом.20'!#REF!</f>
        <v>#REF!</v>
      </c>
    </row>
    <row r="498" spans="1:9" ht="47.25" x14ac:dyDescent="0.25">
      <c r="A498" s="29" t="s">
        <v>418</v>
      </c>
      <c r="B498" s="20" t="s">
        <v>350</v>
      </c>
      <c r="C498" s="40" t="s">
        <v>279</v>
      </c>
      <c r="D498" s="40" t="s">
        <v>234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313</v>
      </c>
      <c r="B499" s="20" t="s">
        <v>350</v>
      </c>
      <c r="C499" s="40" t="s">
        <v>314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348</v>
      </c>
      <c r="B500" s="20" t="s">
        <v>350</v>
      </c>
      <c r="C500" s="40" t="s">
        <v>314</v>
      </c>
      <c r="D500" s="40" t="s">
        <v>165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351</v>
      </c>
      <c r="B501" s="20" t="s">
        <v>352</v>
      </c>
      <c r="C501" s="40" t="s">
        <v>314</v>
      </c>
      <c r="D501" s="40" t="s">
        <v>165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146</v>
      </c>
      <c r="B502" s="20" t="s">
        <v>352</v>
      </c>
      <c r="C502" s="40" t="s">
        <v>314</v>
      </c>
      <c r="D502" s="40" t="s">
        <v>165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148</v>
      </c>
      <c r="B503" s="20" t="s">
        <v>352</v>
      </c>
      <c r="C503" s="40" t="s">
        <v>314</v>
      </c>
      <c r="D503" s="40" t="s">
        <v>165</v>
      </c>
      <c r="E503" s="2">
        <v>240</v>
      </c>
      <c r="F503" s="2"/>
      <c r="G503" s="6" t="e">
        <f>'Пр.6 ведом.20'!#REF!</f>
        <v>#REF!</v>
      </c>
    </row>
    <row r="504" spans="1:9" ht="31.5" x14ac:dyDescent="0.25">
      <c r="A504" s="25" t="s">
        <v>353</v>
      </c>
      <c r="B504" s="20" t="s">
        <v>354</v>
      </c>
      <c r="C504" s="40" t="s">
        <v>314</v>
      </c>
      <c r="D504" s="40" t="s">
        <v>165</v>
      </c>
      <c r="E504" s="2"/>
      <c r="F504" s="2"/>
      <c r="G504" s="6" t="e">
        <f>G505</f>
        <v>#REF!</v>
      </c>
    </row>
    <row r="505" spans="1:9" ht="47.25" x14ac:dyDescent="0.25">
      <c r="A505" s="25" t="s">
        <v>146</v>
      </c>
      <c r="B505" s="20" t="s">
        <v>354</v>
      </c>
      <c r="C505" s="40" t="s">
        <v>314</v>
      </c>
      <c r="D505" s="40" t="s">
        <v>165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148</v>
      </c>
      <c r="B506" s="20" t="s">
        <v>354</v>
      </c>
      <c r="C506" s="40" t="s">
        <v>314</v>
      </c>
      <c r="D506" s="40" t="s">
        <v>165</v>
      </c>
      <c r="E506" s="2">
        <v>240</v>
      </c>
      <c r="F506" s="2"/>
      <c r="G506" s="6" t="e">
        <f>'Пр.6 ведом.20'!#REF!</f>
        <v>#REF!</v>
      </c>
    </row>
    <row r="507" spans="1:9" ht="47.25" x14ac:dyDescent="0.25">
      <c r="A507" s="25" t="s">
        <v>695</v>
      </c>
      <c r="B507" s="20" t="s">
        <v>696</v>
      </c>
      <c r="C507" s="40" t="s">
        <v>314</v>
      </c>
      <c r="D507" s="40" t="s">
        <v>165</v>
      </c>
      <c r="E507" s="2"/>
      <c r="F507" s="2"/>
      <c r="G507" s="6" t="e">
        <f>G508</f>
        <v>#REF!</v>
      </c>
    </row>
    <row r="508" spans="1:9" ht="47.25" x14ac:dyDescent="0.25">
      <c r="A508" s="25" t="s">
        <v>146</v>
      </c>
      <c r="B508" s="20" t="s">
        <v>696</v>
      </c>
      <c r="C508" s="40" t="s">
        <v>314</v>
      </c>
      <c r="D508" s="40" t="s">
        <v>165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148</v>
      </c>
      <c r="B509" s="20" t="s">
        <v>696</v>
      </c>
      <c r="C509" s="40" t="s">
        <v>314</v>
      </c>
      <c r="D509" s="40" t="s">
        <v>165</v>
      </c>
      <c r="E509" s="2">
        <v>240</v>
      </c>
      <c r="F509" s="2"/>
      <c r="G509" s="6" t="e">
        <f>'Пр.6 ведом.20'!#REF!</f>
        <v>#REF!</v>
      </c>
    </row>
    <row r="510" spans="1:9" ht="63" x14ac:dyDescent="0.25">
      <c r="A510" s="45" t="s">
        <v>276</v>
      </c>
      <c r="B510" s="20" t="s">
        <v>350</v>
      </c>
      <c r="C510" s="40" t="s">
        <v>314</v>
      </c>
      <c r="D510" s="40" t="s">
        <v>165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729</v>
      </c>
      <c r="B511" s="24" t="s">
        <v>727</v>
      </c>
      <c r="C511" s="7"/>
      <c r="D511" s="7"/>
      <c r="E511" s="3"/>
      <c r="F511" s="3"/>
      <c r="G511" s="4" t="e">
        <f>G512+G521</f>
        <v>#REF!</v>
      </c>
    </row>
    <row r="512" spans="1:9" s="124" customFormat="1" ht="15.75" x14ac:dyDescent="0.25">
      <c r="A512" s="29" t="s">
        <v>132</v>
      </c>
      <c r="B512" s="20" t="s">
        <v>727</v>
      </c>
      <c r="C512" s="40" t="s">
        <v>133</v>
      </c>
      <c r="D512" s="40"/>
      <c r="E512" s="2"/>
      <c r="F512" s="2"/>
      <c r="G512" s="6" t="e">
        <f>G513</f>
        <v>#REF!</v>
      </c>
      <c r="I512" s="125"/>
    </row>
    <row r="513" spans="1:9" s="124" customFormat="1" ht="31.5" x14ac:dyDescent="0.25">
      <c r="A513" s="29" t="s">
        <v>154</v>
      </c>
      <c r="B513" s="20" t="s">
        <v>727</v>
      </c>
      <c r="C513" s="40" t="s">
        <v>133</v>
      </c>
      <c r="D513" s="40" t="s">
        <v>155</v>
      </c>
      <c r="E513" s="2"/>
      <c r="F513" s="2"/>
      <c r="G513" s="6" t="e">
        <f>G514+G517</f>
        <v>#REF!</v>
      </c>
      <c r="I513" s="125"/>
    </row>
    <row r="514" spans="1:9" ht="47.25" x14ac:dyDescent="0.25">
      <c r="A514" s="31" t="s">
        <v>172</v>
      </c>
      <c r="B514" s="20" t="s">
        <v>735</v>
      </c>
      <c r="C514" s="40" t="s">
        <v>133</v>
      </c>
      <c r="D514" s="40" t="s">
        <v>155</v>
      </c>
      <c r="E514" s="2"/>
      <c r="F514" s="2"/>
      <c r="G514" s="6" t="e">
        <f>G515</f>
        <v>#REF!</v>
      </c>
    </row>
    <row r="515" spans="1:9" ht="47.25" x14ac:dyDescent="0.25">
      <c r="A515" s="25" t="s">
        <v>146</v>
      </c>
      <c r="B515" s="20" t="s">
        <v>735</v>
      </c>
      <c r="C515" s="40" t="s">
        <v>133</v>
      </c>
      <c r="D515" s="40" t="s">
        <v>155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148</v>
      </c>
      <c r="B516" s="20" t="s">
        <v>735</v>
      </c>
      <c r="C516" s="40" t="s">
        <v>133</v>
      </c>
      <c r="D516" s="40" t="s">
        <v>155</v>
      </c>
      <c r="E516" s="2">
        <v>240</v>
      </c>
      <c r="F516" s="2"/>
      <c r="G516" s="6" t="e">
        <f>'Пр.6 ведом.20'!#REF!</f>
        <v>#REF!</v>
      </c>
    </row>
    <row r="517" spans="1:9" ht="66" hidden="1" customHeight="1" x14ac:dyDescent="0.25">
      <c r="A517" s="29"/>
      <c r="B517" s="20" t="s">
        <v>728</v>
      </c>
      <c r="C517" s="40" t="s">
        <v>133</v>
      </c>
      <c r="D517" s="40" t="s">
        <v>155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146</v>
      </c>
      <c r="B518" s="20" t="s">
        <v>728</v>
      </c>
      <c r="C518" s="40" t="s">
        <v>133</v>
      </c>
      <c r="D518" s="40" t="s">
        <v>155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148</v>
      </c>
      <c r="B519" s="20" t="s">
        <v>728</v>
      </c>
      <c r="C519" s="40" t="s">
        <v>133</v>
      </c>
      <c r="D519" s="40" t="s">
        <v>155</v>
      </c>
      <c r="E519" s="2">
        <v>240</v>
      </c>
      <c r="F519" s="2"/>
      <c r="G519" s="6" t="e">
        <f>'Пр.6 ведом.20'!#REF!</f>
        <v>#REF!</v>
      </c>
    </row>
    <row r="520" spans="1:9" ht="31.5" x14ac:dyDescent="0.25">
      <c r="A520" s="29" t="s">
        <v>163</v>
      </c>
      <c r="B520" s="20" t="s">
        <v>727</v>
      </c>
      <c r="C520" s="40" t="s">
        <v>133</v>
      </c>
      <c r="D520" s="40" t="s">
        <v>155</v>
      </c>
      <c r="E520" s="2"/>
      <c r="F520" s="2">
        <v>902</v>
      </c>
      <c r="G520" s="6" t="e">
        <f>G511</f>
        <v>#REF!</v>
      </c>
    </row>
    <row r="521" spans="1:9" s="124" customFormat="1" ht="15.75" x14ac:dyDescent="0.25">
      <c r="A521" s="25" t="s">
        <v>313</v>
      </c>
      <c r="B521" s="20" t="s">
        <v>727</v>
      </c>
      <c r="C521" s="40" t="s">
        <v>314</v>
      </c>
      <c r="D521" s="40"/>
      <c r="E521" s="2"/>
      <c r="F521" s="2"/>
      <c r="G521" s="6" t="e">
        <f>G522</f>
        <v>#REF!</v>
      </c>
      <c r="I521" s="125"/>
    </row>
    <row r="522" spans="1:9" ht="31.5" x14ac:dyDescent="0.25">
      <c r="A522" s="41" t="s">
        <v>348</v>
      </c>
      <c r="B522" s="20" t="s">
        <v>727</v>
      </c>
      <c r="C522" s="40" t="s">
        <v>314</v>
      </c>
      <c r="D522" s="40" t="s">
        <v>165</v>
      </c>
      <c r="E522" s="2"/>
      <c r="F522" s="2"/>
      <c r="G522" s="6" t="e">
        <f>G523</f>
        <v>#REF!</v>
      </c>
    </row>
    <row r="523" spans="1:9" ht="47.25" x14ac:dyDescent="0.25">
      <c r="A523" s="31" t="s">
        <v>172</v>
      </c>
      <c r="B523" s="20" t="s">
        <v>735</v>
      </c>
      <c r="C523" s="40" t="s">
        <v>314</v>
      </c>
      <c r="D523" s="40" t="s">
        <v>165</v>
      </c>
      <c r="E523" s="2"/>
      <c r="F523" s="2"/>
      <c r="G523" s="6" t="e">
        <f>G524</f>
        <v>#REF!</v>
      </c>
    </row>
    <row r="524" spans="1:9" ht="47.25" x14ac:dyDescent="0.25">
      <c r="A524" s="25" t="s">
        <v>146</v>
      </c>
      <c r="B524" s="20" t="s">
        <v>735</v>
      </c>
      <c r="C524" s="40" t="s">
        <v>314</v>
      </c>
      <c r="D524" s="40" t="s">
        <v>165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148</v>
      </c>
      <c r="B525" s="20" t="s">
        <v>735</v>
      </c>
      <c r="C525" s="40" t="s">
        <v>314</v>
      </c>
      <c r="D525" s="40" t="s">
        <v>165</v>
      </c>
      <c r="E525" s="2">
        <v>240</v>
      </c>
      <c r="F525" s="2"/>
      <c r="G525" s="6" t="e">
        <f>'Пр.6 ведом.20'!#REF!</f>
        <v>#REF!</v>
      </c>
    </row>
    <row r="526" spans="1:9" ht="63" x14ac:dyDescent="0.25">
      <c r="A526" s="45" t="s">
        <v>276</v>
      </c>
      <c r="B526" s="20" t="s">
        <v>727</v>
      </c>
      <c r="C526" s="40" t="s">
        <v>314</v>
      </c>
      <c r="D526" s="40" t="s">
        <v>165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731</v>
      </c>
      <c r="B527" s="24" t="s">
        <v>733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405</v>
      </c>
      <c r="B528" s="20" t="s">
        <v>733</v>
      </c>
      <c r="C528" s="40" t="s">
        <v>249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556</v>
      </c>
      <c r="B529" s="20" t="s">
        <v>733</v>
      </c>
      <c r="C529" s="40" t="s">
        <v>249</v>
      </c>
      <c r="D529" s="40" t="s">
        <v>230</v>
      </c>
      <c r="E529" s="2"/>
      <c r="F529" s="2"/>
      <c r="G529" s="6" t="e">
        <f>G530</f>
        <v>#REF!</v>
      </c>
    </row>
    <row r="530" spans="1:7" ht="31.5" x14ac:dyDescent="0.25">
      <c r="A530" s="129" t="s">
        <v>732</v>
      </c>
      <c r="B530" s="20" t="s">
        <v>734</v>
      </c>
      <c r="C530" s="40" t="s">
        <v>249</v>
      </c>
      <c r="D530" s="40" t="s">
        <v>230</v>
      </c>
      <c r="E530" s="2"/>
      <c r="F530" s="2"/>
      <c r="G530" s="6" t="e">
        <f>G531</f>
        <v>#REF!</v>
      </c>
    </row>
    <row r="531" spans="1:7" ht="47.25" x14ac:dyDescent="0.25">
      <c r="A531" s="25" t="s">
        <v>146</v>
      </c>
      <c r="B531" s="20" t="s">
        <v>734</v>
      </c>
      <c r="C531" s="40" t="s">
        <v>249</v>
      </c>
      <c r="D531" s="40" t="s">
        <v>230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148</v>
      </c>
      <c r="B532" s="20" t="s">
        <v>734</v>
      </c>
      <c r="C532" s="40" t="s">
        <v>249</v>
      </c>
      <c r="D532" s="40" t="s">
        <v>230</v>
      </c>
      <c r="E532" s="2">
        <v>240</v>
      </c>
      <c r="F532" s="2"/>
      <c r="G532" s="6" t="e">
        <f>'Пр.6 ведом.20'!#REF!</f>
        <v>#REF!</v>
      </c>
    </row>
    <row r="533" spans="1:7" ht="47.25" x14ac:dyDescent="0.25">
      <c r="A533" s="45" t="s">
        <v>639</v>
      </c>
      <c r="B533" s="20" t="s">
        <v>733</v>
      </c>
      <c r="C533" s="40" t="s">
        <v>249</v>
      </c>
      <c r="D533" s="40" t="s">
        <v>230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673</v>
      </c>
      <c r="B534" s="72"/>
      <c r="C534" s="72"/>
      <c r="D534" s="78"/>
      <c r="E534" s="78"/>
      <c r="F534" s="78"/>
      <c r="G534" s="123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3"/>
  <sheetViews>
    <sheetView topLeftCell="A806" workbookViewId="0">
      <selection activeCell="A876" sqref="A876"/>
    </sheetView>
  </sheetViews>
  <sheetFormatPr defaultRowHeight="15" x14ac:dyDescent="0.25"/>
  <cols>
    <col min="1" max="1" width="36.7109375" customWidth="1"/>
    <col min="2" max="2" width="15.28515625" customWidth="1"/>
    <col min="3" max="3" width="5.7109375" customWidth="1"/>
    <col min="4" max="4" width="4.85546875" customWidth="1"/>
    <col min="5" max="5" width="6.5703125" customWidth="1"/>
    <col min="6" max="6" width="5.42578125" customWidth="1"/>
    <col min="7" max="7" width="12" customWidth="1"/>
    <col min="8" max="8" width="12.28515625" customWidth="1"/>
  </cols>
  <sheetData>
    <row r="1" spans="1:8" ht="15.75" x14ac:dyDescent="0.25">
      <c r="A1" s="230"/>
      <c r="B1" s="230"/>
      <c r="C1" s="230"/>
      <c r="D1" s="230"/>
      <c r="E1" s="230"/>
      <c r="F1" s="230"/>
      <c r="G1" s="477" t="s">
        <v>1290</v>
      </c>
      <c r="H1" s="477"/>
    </row>
    <row r="2" spans="1:8" ht="15.75" x14ac:dyDescent="0.25">
      <c r="A2" s="230"/>
      <c r="B2" s="230"/>
      <c r="C2" s="230"/>
      <c r="D2" s="230"/>
      <c r="E2" s="230"/>
      <c r="F2" s="230"/>
      <c r="G2" s="477" t="s">
        <v>607</v>
      </c>
      <c r="H2" s="477"/>
    </row>
    <row r="3" spans="1:8" ht="15.75" x14ac:dyDescent="0.25">
      <c r="A3" s="230"/>
      <c r="B3" s="230"/>
      <c r="C3" s="230"/>
      <c r="D3" s="230"/>
      <c r="E3" s="230"/>
      <c r="F3" s="62"/>
      <c r="G3" s="467" t="s">
        <v>1480</v>
      </c>
      <c r="H3" s="467"/>
    </row>
    <row r="4" spans="1:8" s="229" customFormat="1" ht="15.75" x14ac:dyDescent="0.25">
      <c r="A4" s="230"/>
      <c r="B4" s="230"/>
      <c r="C4" s="230"/>
      <c r="D4" s="230"/>
      <c r="E4" s="230"/>
      <c r="F4" s="62"/>
      <c r="G4" s="230"/>
      <c r="H4" s="132"/>
    </row>
    <row r="5" spans="1:8" ht="44.25" customHeight="1" x14ac:dyDescent="0.25">
      <c r="A5" s="478" t="s">
        <v>1376</v>
      </c>
      <c r="B5" s="478"/>
      <c r="C5" s="478"/>
      <c r="D5" s="478"/>
      <c r="E5" s="478"/>
      <c r="F5" s="478"/>
      <c r="G5" s="478"/>
      <c r="H5" s="478"/>
    </row>
    <row r="6" spans="1:8" ht="16.5" x14ac:dyDescent="0.25">
      <c r="A6" s="341"/>
      <c r="B6" s="341"/>
      <c r="C6" s="341"/>
      <c r="D6" s="341"/>
      <c r="E6" s="341"/>
      <c r="F6" s="341"/>
      <c r="G6" s="230"/>
      <c r="H6" s="230"/>
    </row>
    <row r="7" spans="1:8" ht="15.75" x14ac:dyDescent="0.25">
      <c r="A7" s="62"/>
      <c r="B7" s="62"/>
      <c r="C7" s="62"/>
      <c r="D7" s="62"/>
      <c r="E7" s="64"/>
      <c r="F7" s="64"/>
      <c r="G7" s="230"/>
      <c r="H7" s="198" t="s">
        <v>1</v>
      </c>
    </row>
    <row r="8" spans="1:8" ht="47.25" x14ac:dyDescent="0.25">
      <c r="A8" s="66" t="s">
        <v>608</v>
      </c>
      <c r="B8" s="66" t="s">
        <v>633</v>
      </c>
      <c r="C8" s="66" t="s">
        <v>634</v>
      </c>
      <c r="D8" s="66" t="s">
        <v>635</v>
      </c>
      <c r="E8" s="66" t="s">
        <v>636</v>
      </c>
      <c r="F8" s="66" t="s">
        <v>637</v>
      </c>
      <c r="G8" s="183" t="s">
        <v>1204</v>
      </c>
      <c r="H8" s="182" t="s">
        <v>1205</v>
      </c>
    </row>
    <row r="9" spans="1:8" ht="78.75" x14ac:dyDescent="0.25">
      <c r="A9" s="58" t="s">
        <v>1187</v>
      </c>
      <c r="B9" s="7" t="s">
        <v>525</v>
      </c>
      <c r="C9" s="7"/>
      <c r="D9" s="7"/>
      <c r="E9" s="7"/>
      <c r="F9" s="7"/>
      <c r="G9" s="4">
        <f>G10+G17</f>
        <v>3189</v>
      </c>
      <c r="H9" s="4">
        <f>H10+H17</f>
        <v>3278</v>
      </c>
    </row>
    <row r="10" spans="1:8" ht="36" hidden="1" customHeight="1" x14ac:dyDescent="0.25">
      <c r="A10" s="34" t="s">
        <v>1156</v>
      </c>
      <c r="B10" s="7" t="s">
        <v>1099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247</v>
      </c>
      <c r="B11" s="40" t="s">
        <v>1099</v>
      </c>
      <c r="C11" s="40" t="s">
        <v>165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31.5" hidden="1" x14ac:dyDescent="0.25">
      <c r="A12" s="29" t="s">
        <v>523</v>
      </c>
      <c r="B12" s="40" t="s">
        <v>1099</v>
      </c>
      <c r="C12" s="40" t="s">
        <v>165</v>
      </c>
      <c r="D12" s="40" t="s">
        <v>234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1158</v>
      </c>
      <c r="B13" s="40" t="s">
        <v>1157</v>
      </c>
      <c r="C13" s="40" t="s">
        <v>165</v>
      </c>
      <c r="D13" s="40" t="s">
        <v>234</v>
      </c>
      <c r="E13" s="40"/>
      <c r="F13" s="40"/>
      <c r="G13" s="6">
        <f t="shared" si="1"/>
        <v>0</v>
      </c>
      <c r="H13" s="6">
        <f t="shared" si="1"/>
        <v>0</v>
      </c>
    </row>
    <row r="14" spans="1:8" ht="47.25" hidden="1" x14ac:dyDescent="0.25">
      <c r="A14" s="25" t="s">
        <v>146</v>
      </c>
      <c r="B14" s="40" t="s">
        <v>1157</v>
      </c>
      <c r="C14" s="40" t="s">
        <v>165</v>
      </c>
      <c r="D14" s="40" t="s">
        <v>234</v>
      </c>
      <c r="E14" s="40" t="s">
        <v>147</v>
      </c>
      <c r="F14" s="40"/>
      <c r="G14" s="6">
        <f t="shared" si="1"/>
        <v>0</v>
      </c>
      <c r="H14" s="6">
        <f t="shared" si="1"/>
        <v>0</v>
      </c>
    </row>
    <row r="15" spans="1:8" ht="63" hidden="1" x14ac:dyDescent="0.25">
      <c r="A15" s="25" t="s">
        <v>148</v>
      </c>
      <c r="B15" s="40" t="s">
        <v>1157</v>
      </c>
      <c r="C15" s="40" t="s">
        <v>165</v>
      </c>
      <c r="D15" s="40" t="s">
        <v>234</v>
      </c>
      <c r="E15" s="40" t="s">
        <v>149</v>
      </c>
      <c r="F15" s="40"/>
      <c r="G15" s="6">
        <f>'пр.6.1.ведом.21-22'!G866</f>
        <v>0</v>
      </c>
      <c r="H15" s="6">
        <f>'пр.6.1.ведом.21-22'!H866</f>
        <v>0</v>
      </c>
    </row>
    <row r="16" spans="1:8" ht="63" hidden="1" x14ac:dyDescent="0.25">
      <c r="A16" s="45" t="s">
        <v>639</v>
      </c>
      <c r="B16" s="40" t="s">
        <v>1157</v>
      </c>
      <c r="C16" s="40" t="s">
        <v>165</v>
      </c>
      <c r="D16" s="40" t="s">
        <v>234</v>
      </c>
      <c r="E16" s="40" t="s">
        <v>149</v>
      </c>
      <c r="F16" s="40" t="s">
        <v>640</v>
      </c>
      <c r="G16" s="6">
        <f>G15</f>
        <v>0</v>
      </c>
      <c r="H16" s="6">
        <f>H15</f>
        <v>0</v>
      </c>
    </row>
    <row r="17" spans="1:8" ht="63" x14ac:dyDescent="0.25">
      <c r="A17" s="34" t="s">
        <v>1248</v>
      </c>
      <c r="B17" s="24" t="s">
        <v>1100</v>
      </c>
      <c r="C17" s="40"/>
      <c r="D17" s="40"/>
      <c r="E17" s="40"/>
      <c r="F17" s="40"/>
      <c r="G17" s="6">
        <f t="shared" ref="G17:H19" si="2">G18</f>
        <v>3189</v>
      </c>
      <c r="H17" s="6">
        <f t="shared" si="2"/>
        <v>3278</v>
      </c>
    </row>
    <row r="18" spans="1:8" ht="15.75" x14ac:dyDescent="0.25">
      <c r="A18" s="29" t="s">
        <v>247</v>
      </c>
      <c r="B18" s="40" t="s">
        <v>1100</v>
      </c>
      <c r="C18" s="40" t="s">
        <v>165</v>
      </c>
      <c r="D18" s="40"/>
      <c r="E18" s="40"/>
      <c r="F18" s="40"/>
      <c r="G18" s="6">
        <f t="shared" si="2"/>
        <v>3189</v>
      </c>
      <c r="H18" s="6">
        <f t="shared" si="2"/>
        <v>3278</v>
      </c>
    </row>
    <row r="19" spans="1:8" ht="31.5" x14ac:dyDescent="0.25">
      <c r="A19" s="29" t="s">
        <v>523</v>
      </c>
      <c r="B19" s="40" t="s">
        <v>1100</v>
      </c>
      <c r="C19" s="40" t="s">
        <v>165</v>
      </c>
      <c r="D19" s="40" t="s">
        <v>234</v>
      </c>
      <c r="E19" s="40"/>
      <c r="F19" s="40"/>
      <c r="G19" s="6">
        <f t="shared" si="2"/>
        <v>3189</v>
      </c>
      <c r="H19" s="6">
        <f t="shared" si="2"/>
        <v>3278</v>
      </c>
    </row>
    <row r="20" spans="1:8" ht="15.75" x14ac:dyDescent="0.25">
      <c r="A20" s="29" t="s">
        <v>526</v>
      </c>
      <c r="B20" s="40" t="s">
        <v>1159</v>
      </c>
      <c r="C20" s="40" t="s">
        <v>165</v>
      </c>
      <c r="D20" s="40" t="s">
        <v>234</v>
      </c>
      <c r="E20" s="40"/>
      <c r="F20" s="40"/>
      <c r="G20" s="6">
        <f>G21+G24</f>
        <v>3189</v>
      </c>
      <c r="H20" s="6">
        <f>H21+H24</f>
        <v>3278</v>
      </c>
    </row>
    <row r="21" spans="1:8" ht="47.25" x14ac:dyDescent="0.25">
      <c r="A21" s="29" t="s">
        <v>146</v>
      </c>
      <c r="B21" s="40" t="s">
        <v>1159</v>
      </c>
      <c r="C21" s="40" t="s">
        <v>165</v>
      </c>
      <c r="D21" s="40" t="s">
        <v>234</v>
      </c>
      <c r="E21" s="40" t="s">
        <v>147</v>
      </c>
      <c r="F21" s="40"/>
      <c r="G21" s="6">
        <f t="shared" ref="G21:H21" si="3">G22</f>
        <v>3189</v>
      </c>
      <c r="H21" s="6">
        <f t="shared" si="3"/>
        <v>3278</v>
      </c>
    </row>
    <row r="22" spans="1:8" ht="63" x14ac:dyDescent="0.25">
      <c r="A22" s="29" t="s">
        <v>148</v>
      </c>
      <c r="B22" s="40" t="s">
        <v>1159</v>
      </c>
      <c r="C22" s="40" t="s">
        <v>165</v>
      </c>
      <c r="D22" s="40" t="s">
        <v>234</v>
      </c>
      <c r="E22" s="40" t="s">
        <v>149</v>
      </c>
      <c r="F22" s="40"/>
      <c r="G22" s="6">
        <f>'пр.6.1.ведом.21-22'!G870</f>
        <v>3189</v>
      </c>
      <c r="H22" s="6">
        <f>'пр.6.1.ведом.21-22'!H870</f>
        <v>3278</v>
      </c>
    </row>
    <row r="23" spans="1:8" ht="63" x14ac:dyDescent="0.25">
      <c r="A23" s="45" t="s">
        <v>639</v>
      </c>
      <c r="B23" s="40" t="s">
        <v>1159</v>
      </c>
      <c r="C23" s="40" t="s">
        <v>165</v>
      </c>
      <c r="D23" s="40" t="s">
        <v>234</v>
      </c>
      <c r="E23" s="40" t="s">
        <v>149</v>
      </c>
      <c r="F23" s="40" t="s">
        <v>640</v>
      </c>
      <c r="G23" s="6">
        <f>G22</f>
        <v>3189</v>
      </c>
      <c r="H23" s="6">
        <f>H22</f>
        <v>3278</v>
      </c>
    </row>
    <row r="24" spans="1:8" ht="15.75" hidden="1" x14ac:dyDescent="0.25">
      <c r="A24" s="25" t="s">
        <v>150</v>
      </c>
      <c r="B24" s="40" t="s">
        <v>1159</v>
      </c>
      <c r="C24" s="40" t="s">
        <v>165</v>
      </c>
      <c r="D24" s="40" t="s">
        <v>234</v>
      </c>
      <c r="E24" s="40" t="s">
        <v>160</v>
      </c>
      <c r="F24" s="40"/>
      <c r="G24" s="6">
        <f t="shared" ref="G24:H24" si="4">G25</f>
        <v>0</v>
      </c>
      <c r="H24" s="6">
        <f t="shared" si="4"/>
        <v>0</v>
      </c>
    </row>
    <row r="25" spans="1:8" ht="31.5" hidden="1" x14ac:dyDescent="0.25">
      <c r="A25" s="25" t="s">
        <v>152</v>
      </c>
      <c r="B25" s="40" t="s">
        <v>1159</v>
      </c>
      <c r="C25" s="40" t="s">
        <v>165</v>
      </c>
      <c r="D25" s="40" t="s">
        <v>234</v>
      </c>
      <c r="E25" s="40" t="s">
        <v>153</v>
      </c>
      <c r="F25" s="40"/>
      <c r="G25" s="6">
        <f>'пр.6.1.ведом.21-22'!G872</f>
        <v>0</v>
      </c>
      <c r="H25" s="6">
        <f>'пр.6.1.ведом.21-22'!H872</f>
        <v>0</v>
      </c>
    </row>
    <row r="26" spans="1:8" ht="63" hidden="1" x14ac:dyDescent="0.25">
      <c r="A26" s="45" t="s">
        <v>639</v>
      </c>
      <c r="B26" s="40" t="s">
        <v>1159</v>
      </c>
      <c r="C26" s="40" t="s">
        <v>165</v>
      </c>
      <c r="D26" s="40" t="s">
        <v>234</v>
      </c>
      <c r="E26" s="40" t="s">
        <v>153</v>
      </c>
      <c r="F26" s="40" t="s">
        <v>640</v>
      </c>
      <c r="G26" s="6">
        <f>G25</f>
        <v>0</v>
      </c>
      <c r="H26" s="6">
        <f>H25</f>
        <v>0</v>
      </c>
    </row>
    <row r="27" spans="1:8" ht="78.75" x14ac:dyDescent="0.25">
      <c r="A27" s="58" t="s">
        <v>358</v>
      </c>
      <c r="B27" s="7" t="s">
        <v>359</v>
      </c>
      <c r="C27" s="7"/>
      <c r="D27" s="7"/>
      <c r="E27" s="7"/>
      <c r="F27" s="7"/>
      <c r="G27" s="59">
        <f>G28+G57+G65+G73+G91+G99+G107+G148</f>
        <v>3474</v>
      </c>
      <c r="H27" s="59">
        <f>H28+H57+H65+H73+H91+H99+H107+H148</f>
        <v>3484</v>
      </c>
    </row>
    <row r="28" spans="1:8" ht="47.25" x14ac:dyDescent="0.25">
      <c r="A28" s="58" t="s">
        <v>641</v>
      </c>
      <c r="B28" s="7" t="s">
        <v>361</v>
      </c>
      <c r="C28" s="7"/>
      <c r="D28" s="7"/>
      <c r="E28" s="7"/>
      <c r="F28" s="7"/>
      <c r="G28" s="59">
        <f>G30+G40+G50</f>
        <v>760</v>
      </c>
      <c r="H28" s="59">
        <f>H30+H40+H50</f>
        <v>760</v>
      </c>
    </row>
    <row r="29" spans="1:8" ht="63" x14ac:dyDescent="0.25">
      <c r="A29" s="273" t="s">
        <v>1207</v>
      </c>
      <c r="B29" s="24" t="s">
        <v>954</v>
      </c>
      <c r="C29" s="7"/>
      <c r="D29" s="7"/>
      <c r="E29" s="40"/>
      <c r="F29" s="40"/>
      <c r="G29" s="59">
        <f>G30</f>
        <v>280</v>
      </c>
      <c r="H29" s="59">
        <f>H30</f>
        <v>280</v>
      </c>
    </row>
    <row r="30" spans="1:8" ht="15" customHeight="1" x14ac:dyDescent="0.25">
      <c r="A30" s="45" t="s">
        <v>278</v>
      </c>
      <c r="B30" s="40" t="s">
        <v>954</v>
      </c>
      <c r="C30" s="40" t="s">
        <v>279</v>
      </c>
      <c r="D30" s="40"/>
      <c r="E30" s="40"/>
      <c r="F30" s="40"/>
      <c r="G30" s="10">
        <f t="shared" ref="G30:H30" si="5">G31</f>
        <v>280</v>
      </c>
      <c r="H30" s="10">
        <f t="shared" si="5"/>
        <v>280</v>
      </c>
    </row>
    <row r="31" spans="1:8" ht="35.25" customHeight="1" x14ac:dyDescent="0.25">
      <c r="A31" s="45" t="s">
        <v>481</v>
      </c>
      <c r="B31" s="40" t="s">
        <v>954</v>
      </c>
      <c r="C31" s="40" t="s">
        <v>279</v>
      </c>
      <c r="D31" s="40" t="s">
        <v>279</v>
      </c>
      <c r="E31" s="40"/>
      <c r="F31" s="40"/>
      <c r="G31" s="10">
        <f>G32+G36</f>
        <v>280</v>
      </c>
      <c r="H31" s="10">
        <f>H32+H36</f>
        <v>280</v>
      </c>
    </row>
    <row r="32" spans="1:8" ht="36.75" customHeight="1" x14ac:dyDescent="0.25">
      <c r="A32" s="101" t="s">
        <v>1213</v>
      </c>
      <c r="B32" s="20" t="s">
        <v>955</v>
      </c>
      <c r="C32" s="40" t="s">
        <v>279</v>
      </c>
      <c r="D32" s="40" t="s">
        <v>279</v>
      </c>
      <c r="E32" s="40"/>
      <c r="F32" s="40"/>
      <c r="G32" s="10">
        <f>G33</f>
        <v>280</v>
      </c>
      <c r="H32" s="10">
        <f>H33</f>
        <v>280</v>
      </c>
    </row>
    <row r="33" spans="1:8" ht="126" x14ac:dyDescent="0.25">
      <c r="A33" s="25" t="s">
        <v>142</v>
      </c>
      <c r="B33" s="20" t="s">
        <v>955</v>
      </c>
      <c r="C33" s="40" t="s">
        <v>279</v>
      </c>
      <c r="D33" s="40" t="s">
        <v>279</v>
      </c>
      <c r="E33" s="40" t="s">
        <v>143</v>
      </c>
      <c r="F33" s="40"/>
      <c r="G33" s="10">
        <f>G34</f>
        <v>280</v>
      </c>
      <c r="H33" s="10">
        <f>H34</f>
        <v>280</v>
      </c>
    </row>
    <row r="34" spans="1:8" ht="31.5" x14ac:dyDescent="0.25">
      <c r="A34" s="25" t="s">
        <v>357</v>
      </c>
      <c r="B34" s="20" t="s">
        <v>955</v>
      </c>
      <c r="C34" s="40" t="s">
        <v>279</v>
      </c>
      <c r="D34" s="40" t="s">
        <v>279</v>
      </c>
      <c r="E34" s="40" t="s">
        <v>224</v>
      </c>
      <c r="F34" s="40"/>
      <c r="G34" s="10">
        <f>'пр.6.1.ведом.21-22'!G324</f>
        <v>280</v>
      </c>
      <c r="H34" s="10">
        <f>'пр.6.1.ведом.21-22'!H324</f>
        <v>280</v>
      </c>
    </row>
    <row r="35" spans="1:8" ht="63" x14ac:dyDescent="0.25">
      <c r="A35" s="45" t="s">
        <v>276</v>
      </c>
      <c r="B35" s="20" t="s">
        <v>955</v>
      </c>
      <c r="C35" s="40" t="s">
        <v>279</v>
      </c>
      <c r="D35" s="40" t="s">
        <v>279</v>
      </c>
      <c r="E35" s="40" t="s">
        <v>224</v>
      </c>
      <c r="F35" s="40" t="s">
        <v>643</v>
      </c>
      <c r="G35" s="6">
        <f>G34</f>
        <v>280</v>
      </c>
      <c r="H35" s="6">
        <f>H34</f>
        <v>280</v>
      </c>
    </row>
    <row r="36" spans="1:8" ht="31.5" hidden="1" x14ac:dyDescent="0.25">
      <c r="A36" s="25" t="s">
        <v>1208</v>
      </c>
      <c r="B36" s="20" t="s">
        <v>1232</v>
      </c>
      <c r="C36" s="40" t="s">
        <v>279</v>
      </c>
      <c r="D36" s="40" t="s">
        <v>279</v>
      </c>
      <c r="E36" s="40"/>
      <c r="F36" s="40"/>
      <c r="G36" s="10">
        <f>G37</f>
        <v>0</v>
      </c>
      <c r="H36" s="10">
        <f>H37</f>
        <v>0</v>
      </c>
    </row>
    <row r="37" spans="1:8" ht="47.25" hidden="1" x14ac:dyDescent="0.25">
      <c r="A37" s="25" t="s">
        <v>146</v>
      </c>
      <c r="B37" s="20" t="s">
        <v>1232</v>
      </c>
      <c r="C37" s="40" t="s">
        <v>279</v>
      </c>
      <c r="D37" s="40" t="s">
        <v>279</v>
      </c>
      <c r="E37" s="40" t="s">
        <v>147</v>
      </c>
      <c r="F37" s="40"/>
      <c r="G37" s="10">
        <f>G38</f>
        <v>0</v>
      </c>
      <c r="H37" s="10">
        <f>H38</f>
        <v>0</v>
      </c>
    </row>
    <row r="38" spans="1:8" ht="63" hidden="1" x14ac:dyDescent="0.25">
      <c r="A38" s="25" t="s">
        <v>148</v>
      </c>
      <c r="B38" s="20" t="s">
        <v>1232</v>
      </c>
      <c r="C38" s="40" t="s">
        <v>279</v>
      </c>
      <c r="D38" s="40" t="s">
        <v>279</v>
      </c>
      <c r="E38" s="40" t="s">
        <v>149</v>
      </c>
      <c r="F38" s="40"/>
      <c r="G38" s="10">
        <f>'пр.6.1.ведом.21-22'!G327</f>
        <v>0</v>
      </c>
      <c r="H38" s="10">
        <f>'пр.6.1.ведом.21-22'!H327</f>
        <v>0</v>
      </c>
    </row>
    <row r="39" spans="1:8" ht="63" hidden="1" x14ac:dyDescent="0.25">
      <c r="A39" s="45" t="s">
        <v>276</v>
      </c>
      <c r="B39" s="20" t="s">
        <v>1232</v>
      </c>
      <c r="C39" s="40" t="s">
        <v>279</v>
      </c>
      <c r="D39" s="40" t="s">
        <v>279</v>
      </c>
      <c r="E39" s="40" t="s">
        <v>149</v>
      </c>
      <c r="F39" s="40" t="s">
        <v>643</v>
      </c>
      <c r="G39" s="6">
        <f>G38</f>
        <v>0</v>
      </c>
      <c r="H39" s="6">
        <f>H38</f>
        <v>0</v>
      </c>
    </row>
    <row r="40" spans="1:8" ht="110.25" x14ac:dyDescent="0.25">
      <c r="A40" s="23" t="s">
        <v>1209</v>
      </c>
      <c r="B40" s="24" t="s">
        <v>956</v>
      </c>
      <c r="C40" s="40"/>
      <c r="D40" s="40"/>
      <c r="E40" s="40"/>
      <c r="F40" s="40"/>
      <c r="G40" s="59">
        <f>G41</f>
        <v>455</v>
      </c>
      <c r="H40" s="59">
        <f>H41</f>
        <v>455</v>
      </c>
    </row>
    <row r="41" spans="1:8" ht="15.75" x14ac:dyDescent="0.25">
      <c r="A41" s="45" t="s">
        <v>278</v>
      </c>
      <c r="B41" s="40" t="s">
        <v>956</v>
      </c>
      <c r="C41" s="40" t="s">
        <v>279</v>
      </c>
      <c r="D41" s="40"/>
      <c r="E41" s="40"/>
      <c r="F41" s="40"/>
      <c r="G41" s="10">
        <f>G42</f>
        <v>455</v>
      </c>
      <c r="H41" s="10">
        <f>H42</f>
        <v>455</v>
      </c>
    </row>
    <row r="42" spans="1:8" ht="34.5" customHeight="1" x14ac:dyDescent="0.25">
      <c r="A42" s="45" t="s">
        <v>481</v>
      </c>
      <c r="B42" s="40" t="s">
        <v>956</v>
      </c>
      <c r="C42" s="40" t="s">
        <v>279</v>
      </c>
      <c r="D42" s="40" t="s">
        <v>279</v>
      </c>
      <c r="E42" s="40"/>
      <c r="F42" s="40"/>
      <c r="G42" s="10">
        <f>G43+G47</f>
        <v>455</v>
      </c>
      <c r="H42" s="10">
        <f>H43+H47</f>
        <v>455</v>
      </c>
    </row>
    <row r="43" spans="1:8" ht="43.5" customHeight="1" x14ac:dyDescent="0.25">
      <c r="A43" s="25" t="s">
        <v>1210</v>
      </c>
      <c r="B43" s="20" t="s">
        <v>974</v>
      </c>
      <c r="C43" s="40" t="s">
        <v>279</v>
      </c>
      <c r="D43" s="40" t="s">
        <v>279</v>
      </c>
      <c r="E43" s="40"/>
      <c r="F43" s="40"/>
      <c r="G43" s="10">
        <f>G44</f>
        <v>40</v>
      </c>
      <c r="H43" s="10">
        <f>H44</f>
        <v>40</v>
      </c>
    </row>
    <row r="44" spans="1:8" ht="126" x14ac:dyDescent="0.25">
      <c r="A44" s="25" t="s">
        <v>142</v>
      </c>
      <c r="B44" s="20" t="s">
        <v>974</v>
      </c>
      <c r="C44" s="40" t="s">
        <v>279</v>
      </c>
      <c r="D44" s="40" t="s">
        <v>279</v>
      </c>
      <c r="E44" s="40" t="s">
        <v>143</v>
      </c>
      <c r="F44" s="40"/>
      <c r="G44" s="10">
        <f t="shared" ref="G44:H44" si="6">G45</f>
        <v>40</v>
      </c>
      <c r="H44" s="10">
        <f t="shared" si="6"/>
        <v>40</v>
      </c>
    </row>
    <row r="45" spans="1:8" ht="31.5" x14ac:dyDescent="0.25">
      <c r="A45" s="25" t="s">
        <v>357</v>
      </c>
      <c r="B45" s="20" t="s">
        <v>974</v>
      </c>
      <c r="C45" s="40" t="s">
        <v>279</v>
      </c>
      <c r="D45" s="40" t="s">
        <v>279</v>
      </c>
      <c r="E45" s="40" t="s">
        <v>224</v>
      </c>
      <c r="F45" s="40"/>
      <c r="G45" s="10">
        <f>'пр.6.1.ведом.21-22'!G331</f>
        <v>40</v>
      </c>
      <c r="H45" s="10">
        <f>'пр.6.1.ведом.21-22'!H331</f>
        <v>40</v>
      </c>
    </row>
    <row r="46" spans="1:8" ht="63" x14ac:dyDescent="0.25">
      <c r="A46" s="45" t="s">
        <v>276</v>
      </c>
      <c r="B46" s="20" t="s">
        <v>974</v>
      </c>
      <c r="C46" s="40" t="s">
        <v>279</v>
      </c>
      <c r="D46" s="40" t="s">
        <v>279</v>
      </c>
      <c r="E46" s="40" t="s">
        <v>224</v>
      </c>
      <c r="F46" s="40" t="s">
        <v>643</v>
      </c>
      <c r="G46" s="6">
        <f>G45</f>
        <v>40</v>
      </c>
      <c r="H46" s="6">
        <f>H45</f>
        <v>40</v>
      </c>
    </row>
    <row r="47" spans="1:8" ht="47.25" x14ac:dyDescent="0.25">
      <c r="A47" s="25" t="s">
        <v>146</v>
      </c>
      <c r="B47" s="20" t="s">
        <v>974</v>
      </c>
      <c r="C47" s="40" t="s">
        <v>279</v>
      </c>
      <c r="D47" s="40" t="s">
        <v>279</v>
      </c>
      <c r="E47" s="40" t="s">
        <v>147</v>
      </c>
      <c r="F47" s="40"/>
      <c r="G47" s="10">
        <f t="shared" ref="G47:H47" si="7">G48</f>
        <v>415</v>
      </c>
      <c r="H47" s="10">
        <f t="shared" si="7"/>
        <v>415</v>
      </c>
    </row>
    <row r="48" spans="1:8" ht="63" x14ac:dyDescent="0.25">
      <c r="A48" s="25" t="s">
        <v>148</v>
      </c>
      <c r="B48" s="20" t="s">
        <v>974</v>
      </c>
      <c r="C48" s="40" t="s">
        <v>279</v>
      </c>
      <c r="D48" s="40" t="s">
        <v>279</v>
      </c>
      <c r="E48" s="40" t="s">
        <v>149</v>
      </c>
      <c r="F48" s="40"/>
      <c r="G48" s="6">
        <f>'пр.6.1.ведом.21-22'!G333</f>
        <v>415</v>
      </c>
      <c r="H48" s="6">
        <f>'пр.6.1.ведом.21-22'!H333</f>
        <v>415</v>
      </c>
    </row>
    <row r="49" spans="1:8" ht="63" x14ac:dyDescent="0.25">
      <c r="A49" s="45" t="s">
        <v>276</v>
      </c>
      <c r="B49" s="20" t="s">
        <v>974</v>
      </c>
      <c r="C49" s="40" t="s">
        <v>279</v>
      </c>
      <c r="D49" s="40" t="s">
        <v>279</v>
      </c>
      <c r="E49" s="40" t="s">
        <v>149</v>
      </c>
      <c r="F49" s="40" t="s">
        <v>643</v>
      </c>
      <c r="G49" s="6">
        <f>G48</f>
        <v>415</v>
      </c>
      <c r="H49" s="6">
        <f>H48</f>
        <v>415</v>
      </c>
    </row>
    <row r="50" spans="1:8" ht="63" x14ac:dyDescent="0.25">
      <c r="A50" s="23" t="s">
        <v>1215</v>
      </c>
      <c r="B50" s="24" t="s">
        <v>1211</v>
      </c>
      <c r="C50" s="40"/>
      <c r="D50" s="40"/>
      <c r="E50" s="40"/>
      <c r="F50" s="40"/>
      <c r="G50" s="4">
        <f>G53</f>
        <v>25</v>
      </c>
      <c r="H50" s="4">
        <f>H53</f>
        <v>25</v>
      </c>
    </row>
    <row r="51" spans="1:8" ht="15.75" x14ac:dyDescent="0.25">
      <c r="A51" s="45" t="s">
        <v>278</v>
      </c>
      <c r="B51" s="40" t="s">
        <v>1211</v>
      </c>
      <c r="C51" s="40" t="s">
        <v>279</v>
      </c>
      <c r="D51" s="40"/>
      <c r="E51" s="40"/>
      <c r="F51" s="40"/>
      <c r="G51" s="10">
        <f>G52</f>
        <v>25</v>
      </c>
      <c r="H51" s="10">
        <f>H52</f>
        <v>25</v>
      </c>
    </row>
    <row r="52" spans="1:8" ht="20.25" customHeight="1" x14ac:dyDescent="0.25">
      <c r="A52" s="45" t="s">
        <v>481</v>
      </c>
      <c r="B52" s="40" t="s">
        <v>1211</v>
      </c>
      <c r="C52" s="40" t="s">
        <v>279</v>
      </c>
      <c r="D52" s="40" t="s">
        <v>279</v>
      </c>
      <c r="E52" s="40"/>
      <c r="F52" s="40"/>
      <c r="G52" s="10">
        <f>G53</f>
        <v>25</v>
      </c>
      <c r="H52" s="10">
        <f>H53</f>
        <v>25</v>
      </c>
    </row>
    <row r="53" spans="1:8" ht="63" x14ac:dyDescent="0.25">
      <c r="A53" s="303" t="s">
        <v>1212</v>
      </c>
      <c r="B53" s="20" t="s">
        <v>1233</v>
      </c>
      <c r="C53" s="40" t="s">
        <v>279</v>
      </c>
      <c r="D53" s="40" t="s">
        <v>279</v>
      </c>
      <c r="E53" s="20"/>
      <c r="F53" s="40"/>
      <c r="G53" s="6">
        <f t="shared" ref="G53:H53" si="8">G54</f>
        <v>25</v>
      </c>
      <c r="H53" s="6">
        <f t="shared" si="8"/>
        <v>25</v>
      </c>
    </row>
    <row r="54" spans="1:8" ht="31.5" x14ac:dyDescent="0.25">
      <c r="A54" s="25" t="s">
        <v>263</v>
      </c>
      <c r="B54" s="20" t="s">
        <v>1233</v>
      </c>
      <c r="C54" s="40" t="s">
        <v>279</v>
      </c>
      <c r="D54" s="40" t="s">
        <v>279</v>
      </c>
      <c r="E54" s="20" t="s">
        <v>264</v>
      </c>
      <c r="F54" s="40"/>
      <c r="G54" s="6">
        <f>G55</f>
        <v>25</v>
      </c>
      <c r="H54" s="6">
        <f>H55</f>
        <v>25</v>
      </c>
    </row>
    <row r="55" spans="1:8" ht="31.5" x14ac:dyDescent="0.25">
      <c r="A55" s="25" t="s">
        <v>363</v>
      </c>
      <c r="B55" s="20" t="s">
        <v>1233</v>
      </c>
      <c r="C55" s="40" t="s">
        <v>279</v>
      </c>
      <c r="D55" s="40" t="s">
        <v>279</v>
      </c>
      <c r="E55" s="20" t="s">
        <v>364</v>
      </c>
      <c r="F55" s="40"/>
      <c r="G55" s="10">
        <f>'пр.6.1.ведом.21-22'!G337</f>
        <v>25</v>
      </c>
      <c r="H55" s="10">
        <f>'пр.6.1.ведом.21-22'!H337</f>
        <v>25</v>
      </c>
    </row>
    <row r="56" spans="1:8" ht="63" x14ac:dyDescent="0.25">
      <c r="A56" s="45" t="s">
        <v>276</v>
      </c>
      <c r="B56" s="20" t="s">
        <v>1233</v>
      </c>
      <c r="C56" s="40" t="s">
        <v>279</v>
      </c>
      <c r="D56" s="40" t="s">
        <v>279</v>
      </c>
      <c r="E56" s="40" t="s">
        <v>364</v>
      </c>
      <c r="F56" s="40" t="s">
        <v>643</v>
      </c>
      <c r="G56" s="6">
        <f>G55</f>
        <v>25</v>
      </c>
      <c r="H56" s="6">
        <f>H55</f>
        <v>25</v>
      </c>
    </row>
    <row r="57" spans="1:8" ht="63" x14ac:dyDescent="0.25">
      <c r="A57" s="58" t="s">
        <v>644</v>
      </c>
      <c r="B57" s="7" t="s">
        <v>368</v>
      </c>
      <c r="C57" s="7"/>
      <c r="D57" s="7"/>
      <c r="E57" s="7"/>
      <c r="F57" s="7"/>
      <c r="G57" s="59">
        <f>G58</f>
        <v>44</v>
      </c>
      <c r="H57" s="59">
        <f>H58</f>
        <v>54</v>
      </c>
    </row>
    <row r="58" spans="1:8" ht="47.25" x14ac:dyDescent="0.25">
      <c r="A58" s="23" t="s">
        <v>978</v>
      </c>
      <c r="B58" s="24" t="s">
        <v>977</v>
      </c>
      <c r="C58" s="7"/>
      <c r="D58" s="7"/>
      <c r="E58" s="7"/>
      <c r="F58" s="7"/>
      <c r="G58" s="59">
        <f>G59</f>
        <v>44</v>
      </c>
      <c r="H58" s="59">
        <f>H59</f>
        <v>54</v>
      </c>
    </row>
    <row r="59" spans="1:8" ht="15.75" x14ac:dyDescent="0.25">
      <c r="A59" s="45" t="s">
        <v>258</v>
      </c>
      <c r="B59" s="40" t="s">
        <v>977</v>
      </c>
      <c r="C59" s="40" t="s">
        <v>259</v>
      </c>
      <c r="D59" s="40"/>
      <c r="E59" s="40"/>
      <c r="F59" s="40"/>
      <c r="G59" s="10">
        <f t="shared" ref="G59:H62" si="9">G60</f>
        <v>44</v>
      </c>
      <c r="H59" s="10">
        <f t="shared" si="9"/>
        <v>54</v>
      </c>
    </row>
    <row r="60" spans="1:8" ht="31.5" x14ac:dyDescent="0.25">
      <c r="A60" s="45" t="s">
        <v>267</v>
      </c>
      <c r="B60" s="40" t="s">
        <v>977</v>
      </c>
      <c r="C60" s="40" t="s">
        <v>259</v>
      </c>
      <c r="D60" s="40" t="s">
        <v>230</v>
      </c>
      <c r="E60" s="40"/>
      <c r="F60" s="40"/>
      <c r="G60" s="10">
        <f>G61</f>
        <v>44</v>
      </c>
      <c r="H60" s="10">
        <f>H61</f>
        <v>54</v>
      </c>
    </row>
    <row r="61" spans="1:8" ht="47.25" x14ac:dyDescent="0.25">
      <c r="A61" s="25" t="s">
        <v>870</v>
      </c>
      <c r="B61" s="20" t="s">
        <v>979</v>
      </c>
      <c r="C61" s="40" t="s">
        <v>259</v>
      </c>
      <c r="D61" s="40" t="s">
        <v>230</v>
      </c>
      <c r="E61" s="40"/>
      <c r="F61" s="40"/>
      <c r="G61" s="10">
        <f t="shared" si="9"/>
        <v>44</v>
      </c>
      <c r="H61" s="10">
        <f t="shared" si="9"/>
        <v>54</v>
      </c>
    </row>
    <row r="62" spans="1:8" ht="31.5" x14ac:dyDescent="0.25">
      <c r="A62" s="29" t="s">
        <v>263</v>
      </c>
      <c r="B62" s="20" t="s">
        <v>979</v>
      </c>
      <c r="C62" s="40" t="s">
        <v>259</v>
      </c>
      <c r="D62" s="40" t="s">
        <v>230</v>
      </c>
      <c r="E62" s="40" t="s">
        <v>264</v>
      </c>
      <c r="F62" s="40"/>
      <c r="G62" s="10">
        <f t="shared" si="9"/>
        <v>44</v>
      </c>
      <c r="H62" s="10">
        <f t="shared" si="9"/>
        <v>54</v>
      </c>
    </row>
    <row r="63" spans="1:8" ht="47.25" x14ac:dyDescent="0.25">
      <c r="A63" s="29" t="s">
        <v>265</v>
      </c>
      <c r="B63" s="20" t="s">
        <v>979</v>
      </c>
      <c r="C63" s="40" t="s">
        <v>259</v>
      </c>
      <c r="D63" s="40" t="s">
        <v>230</v>
      </c>
      <c r="E63" s="40" t="s">
        <v>266</v>
      </c>
      <c r="F63" s="40"/>
      <c r="G63" s="10">
        <f>'пр.6.1.ведом.21-22'!G445</f>
        <v>44</v>
      </c>
      <c r="H63" s="10">
        <f>'пр.6.1.ведом.21-22'!H445</f>
        <v>54</v>
      </c>
    </row>
    <row r="64" spans="1:8" ht="63" x14ac:dyDescent="0.25">
      <c r="A64" s="45" t="s">
        <v>276</v>
      </c>
      <c r="B64" s="20" t="s">
        <v>979</v>
      </c>
      <c r="C64" s="40" t="s">
        <v>259</v>
      </c>
      <c r="D64" s="40" t="s">
        <v>230</v>
      </c>
      <c r="E64" s="40" t="s">
        <v>266</v>
      </c>
      <c r="F64" s="40" t="s">
        <v>643</v>
      </c>
      <c r="G64" s="10">
        <f>G63</f>
        <v>44</v>
      </c>
      <c r="H64" s="10">
        <f>H63</f>
        <v>54</v>
      </c>
    </row>
    <row r="65" spans="1:8" ht="63" x14ac:dyDescent="0.25">
      <c r="A65" s="58" t="s">
        <v>645</v>
      </c>
      <c r="B65" s="7" t="s">
        <v>371</v>
      </c>
      <c r="C65" s="7"/>
      <c r="D65" s="7"/>
      <c r="E65" s="7"/>
      <c r="F65" s="7"/>
      <c r="G65" s="59">
        <f t="shared" ref="G65:H65" si="10">G67</f>
        <v>420</v>
      </c>
      <c r="H65" s="59">
        <f t="shared" si="10"/>
        <v>420</v>
      </c>
    </row>
    <row r="66" spans="1:8" ht="63" x14ac:dyDescent="0.25">
      <c r="A66" s="23" t="s">
        <v>1153</v>
      </c>
      <c r="B66" s="24" t="s">
        <v>980</v>
      </c>
      <c r="C66" s="40"/>
      <c r="D66" s="40"/>
      <c r="E66" s="40"/>
      <c r="F66" s="40"/>
      <c r="G66" s="10">
        <f>G67</f>
        <v>420</v>
      </c>
      <c r="H66" s="10">
        <f>H67</f>
        <v>420</v>
      </c>
    </row>
    <row r="67" spans="1:8" ht="15.75" x14ac:dyDescent="0.25">
      <c r="A67" s="45" t="s">
        <v>258</v>
      </c>
      <c r="B67" s="40" t="s">
        <v>980</v>
      </c>
      <c r="C67" s="40" t="s">
        <v>259</v>
      </c>
      <c r="D67" s="40"/>
      <c r="E67" s="40"/>
      <c r="F67" s="40"/>
      <c r="G67" s="10">
        <f t="shared" ref="G67:H70" si="11">G68</f>
        <v>420</v>
      </c>
      <c r="H67" s="10">
        <f t="shared" si="11"/>
        <v>420</v>
      </c>
    </row>
    <row r="68" spans="1:8" ht="31.5" x14ac:dyDescent="0.25">
      <c r="A68" s="45" t="s">
        <v>267</v>
      </c>
      <c r="B68" s="40" t="s">
        <v>980</v>
      </c>
      <c r="C68" s="40" t="s">
        <v>259</v>
      </c>
      <c r="D68" s="40" t="s">
        <v>230</v>
      </c>
      <c r="E68" s="40"/>
      <c r="F68" s="40"/>
      <c r="G68" s="10">
        <f>G69</f>
        <v>420</v>
      </c>
      <c r="H68" s="10">
        <f>H69</f>
        <v>420</v>
      </c>
    </row>
    <row r="69" spans="1:8" ht="47.25" x14ac:dyDescent="0.25">
      <c r="A69" s="29" t="s">
        <v>172</v>
      </c>
      <c r="B69" s="20" t="s">
        <v>981</v>
      </c>
      <c r="C69" s="40" t="s">
        <v>259</v>
      </c>
      <c r="D69" s="40" t="s">
        <v>230</v>
      </c>
      <c r="E69" s="40"/>
      <c r="F69" s="40"/>
      <c r="G69" s="10">
        <f t="shared" si="11"/>
        <v>420</v>
      </c>
      <c r="H69" s="10">
        <f t="shared" si="11"/>
        <v>420</v>
      </c>
    </row>
    <row r="70" spans="1:8" ht="31.5" x14ac:dyDescent="0.25">
      <c r="A70" s="29" t="s">
        <v>263</v>
      </c>
      <c r="B70" s="20" t="s">
        <v>981</v>
      </c>
      <c r="C70" s="40" t="s">
        <v>259</v>
      </c>
      <c r="D70" s="40" t="s">
        <v>230</v>
      </c>
      <c r="E70" s="40" t="s">
        <v>264</v>
      </c>
      <c r="F70" s="40"/>
      <c r="G70" s="10">
        <f t="shared" si="11"/>
        <v>420</v>
      </c>
      <c r="H70" s="10">
        <f t="shared" si="11"/>
        <v>420</v>
      </c>
    </row>
    <row r="71" spans="1:8" ht="31.5" x14ac:dyDescent="0.25">
      <c r="A71" s="29" t="s">
        <v>363</v>
      </c>
      <c r="B71" s="20" t="s">
        <v>981</v>
      </c>
      <c r="C71" s="40" t="s">
        <v>259</v>
      </c>
      <c r="D71" s="40" t="s">
        <v>230</v>
      </c>
      <c r="E71" s="40" t="s">
        <v>364</v>
      </c>
      <c r="F71" s="40"/>
      <c r="G71" s="10">
        <f>'пр.6.1.ведом.21-22'!G450</f>
        <v>420</v>
      </c>
      <c r="H71" s="10">
        <f>'пр.6.1.ведом.21-22'!H450</f>
        <v>420</v>
      </c>
    </row>
    <row r="72" spans="1:8" ht="63" x14ac:dyDescent="0.25">
      <c r="A72" s="45" t="s">
        <v>276</v>
      </c>
      <c r="B72" s="20" t="s">
        <v>981</v>
      </c>
      <c r="C72" s="40" t="s">
        <v>259</v>
      </c>
      <c r="D72" s="40" t="s">
        <v>230</v>
      </c>
      <c r="E72" s="40" t="s">
        <v>364</v>
      </c>
      <c r="F72" s="40" t="s">
        <v>643</v>
      </c>
      <c r="G72" s="10">
        <f>G71</f>
        <v>420</v>
      </c>
      <c r="H72" s="10">
        <f>H71</f>
        <v>420</v>
      </c>
    </row>
    <row r="73" spans="1:8" ht="31.5" x14ac:dyDescent="0.25">
      <c r="A73" s="58" t="s">
        <v>647</v>
      </c>
      <c r="B73" s="7" t="s">
        <v>374</v>
      </c>
      <c r="C73" s="7"/>
      <c r="D73" s="7"/>
      <c r="E73" s="7"/>
      <c r="F73" s="7"/>
      <c r="G73" s="59">
        <f>G75+G81</f>
        <v>1110</v>
      </c>
      <c r="H73" s="59">
        <f>H75+H81</f>
        <v>1110</v>
      </c>
    </row>
    <row r="74" spans="1:8" ht="47.25" x14ac:dyDescent="0.25">
      <c r="A74" s="23" t="s">
        <v>1216</v>
      </c>
      <c r="B74" s="24" t="s">
        <v>983</v>
      </c>
      <c r="C74" s="40"/>
      <c r="D74" s="40"/>
      <c r="E74" s="40"/>
      <c r="F74" s="40"/>
      <c r="G74" s="10">
        <f>G75</f>
        <v>630</v>
      </c>
      <c r="H74" s="10">
        <f>H75</f>
        <v>630</v>
      </c>
    </row>
    <row r="75" spans="1:8" ht="15.75" x14ac:dyDescent="0.25">
      <c r="A75" s="45" t="s">
        <v>258</v>
      </c>
      <c r="B75" s="40" t="s">
        <v>983</v>
      </c>
      <c r="C75" s="40" t="s">
        <v>259</v>
      </c>
      <c r="D75" s="40"/>
      <c r="E75" s="40"/>
      <c r="F75" s="40"/>
      <c r="G75" s="10">
        <f t="shared" ref="G75:H75" si="12">G76</f>
        <v>630</v>
      </c>
      <c r="H75" s="10">
        <f t="shared" si="12"/>
        <v>630</v>
      </c>
    </row>
    <row r="76" spans="1:8" ht="31.5" x14ac:dyDescent="0.25">
      <c r="A76" s="45" t="s">
        <v>267</v>
      </c>
      <c r="B76" s="40" t="s">
        <v>983</v>
      </c>
      <c r="C76" s="40" t="s">
        <v>259</v>
      </c>
      <c r="D76" s="40" t="s">
        <v>230</v>
      </c>
      <c r="E76" s="40"/>
      <c r="F76" s="40"/>
      <c r="G76" s="10">
        <f>G77</f>
        <v>630</v>
      </c>
      <c r="H76" s="10">
        <f>H77</f>
        <v>630</v>
      </c>
    </row>
    <row r="77" spans="1:8" ht="78.75" x14ac:dyDescent="0.25">
      <c r="A77" s="101" t="s">
        <v>1217</v>
      </c>
      <c r="B77" s="20" t="s">
        <v>984</v>
      </c>
      <c r="C77" s="40" t="s">
        <v>259</v>
      </c>
      <c r="D77" s="40" t="s">
        <v>230</v>
      </c>
      <c r="E77" s="40"/>
      <c r="F77" s="40"/>
      <c r="G77" s="10">
        <f>G78</f>
        <v>630</v>
      </c>
      <c r="H77" s="10">
        <f>H78</f>
        <v>630</v>
      </c>
    </row>
    <row r="78" spans="1:8" ht="31.5" x14ac:dyDescent="0.25">
      <c r="A78" s="25" t="s">
        <v>263</v>
      </c>
      <c r="B78" s="20" t="s">
        <v>984</v>
      </c>
      <c r="C78" s="40" t="s">
        <v>259</v>
      </c>
      <c r="D78" s="40" t="s">
        <v>230</v>
      </c>
      <c r="E78" s="40" t="s">
        <v>264</v>
      </c>
      <c r="F78" s="40"/>
      <c r="G78" s="10">
        <f t="shared" ref="G78:H78" si="13">G79</f>
        <v>630</v>
      </c>
      <c r="H78" s="10">
        <f t="shared" si="13"/>
        <v>630</v>
      </c>
    </row>
    <row r="79" spans="1:8" ht="31.5" x14ac:dyDescent="0.25">
      <c r="A79" s="25" t="s">
        <v>363</v>
      </c>
      <c r="B79" s="20" t="s">
        <v>984</v>
      </c>
      <c r="C79" s="40" t="s">
        <v>259</v>
      </c>
      <c r="D79" s="40" t="s">
        <v>230</v>
      </c>
      <c r="E79" s="40" t="s">
        <v>364</v>
      </c>
      <c r="F79" s="40"/>
      <c r="G79" s="10">
        <f>'пр.6.1.ведом.21-22'!G455</f>
        <v>630</v>
      </c>
      <c r="H79" s="10">
        <f>'пр.6.1.ведом.21-22'!H455</f>
        <v>630</v>
      </c>
    </row>
    <row r="80" spans="1:8" ht="63" x14ac:dyDescent="0.25">
      <c r="A80" s="45" t="s">
        <v>276</v>
      </c>
      <c r="B80" s="20" t="s">
        <v>984</v>
      </c>
      <c r="C80" s="40" t="s">
        <v>259</v>
      </c>
      <c r="D80" s="40" t="s">
        <v>230</v>
      </c>
      <c r="E80" s="40" t="s">
        <v>364</v>
      </c>
      <c r="F80" s="40" t="s">
        <v>643</v>
      </c>
      <c r="G80" s="10">
        <f>G79</f>
        <v>630</v>
      </c>
      <c r="H80" s="10">
        <f>H79</f>
        <v>630</v>
      </c>
    </row>
    <row r="81" spans="1:8" ht="47.25" x14ac:dyDescent="0.25">
      <c r="A81" s="23" t="s">
        <v>982</v>
      </c>
      <c r="B81" s="24" t="s">
        <v>985</v>
      </c>
      <c r="C81" s="7"/>
      <c r="D81" s="7"/>
      <c r="E81" s="7"/>
      <c r="F81" s="7"/>
      <c r="G81" s="59">
        <f>G84+G88</f>
        <v>480</v>
      </c>
      <c r="H81" s="59">
        <f>H84+H88</f>
        <v>480</v>
      </c>
    </row>
    <row r="82" spans="1:8" ht="15.75" x14ac:dyDescent="0.25">
      <c r="A82" s="45" t="s">
        <v>258</v>
      </c>
      <c r="B82" s="40" t="s">
        <v>985</v>
      </c>
      <c r="C82" s="40" t="s">
        <v>259</v>
      </c>
      <c r="D82" s="40"/>
      <c r="E82" s="40"/>
      <c r="F82" s="40"/>
      <c r="G82" s="10">
        <f t="shared" ref="G82:H82" si="14">G83</f>
        <v>270</v>
      </c>
      <c r="H82" s="10">
        <f t="shared" si="14"/>
        <v>270</v>
      </c>
    </row>
    <row r="83" spans="1:8" ht="31.5" x14ac:dyDescent="0.25">
      <c r="A83" s="45" t="s">
        <v>267</v>
      </c>
      <c r="B83" s="40" t="s">
        <v>985</v>
      </c>
      <c r="C83" s="40" t="s">
        <v>259</v>
      </c>
      <c r="D83" s="40" t="s">
        <v>230</v>
      </c>
      <c r="E83" s="40"/>
      <c r="F83" s="40"/>
      <c r="G83" s="10">
        <f t="shared" ref="G83:H85" si="15">G84</f>
        <v>270</v>
      </c>
      <c r="H83" s="10">
        <f t="shared" si="15"/>
        <v>270</v>
      </c>
    </row>
    <row r="84" spans="1:8" ht="31.5" x14ac:dyDescent="0.25">
      <c r="A84" s="25" t="s">
        <v>1154</v>
      </c>
      <c r="B84" s="20" t="s">
        <v>986</v>
      </c>
      <c r="C84" s="40" t="s">
        <v>259</v>
      </c>
      <c r="D84" s="40" t="s">
        <v>230</v>
      </c>
      <c r="E84" s="40"/>
      <c r="F84" s="40"/>
      <c r="G84" s="10">
        <f t="shared" si="15"/>
        <v>270</v>
      </c>
      <c r="H84" s="10">
        <f t="shared" si="15"/>
        <v>270</v>
      </c>
    </row>
    <row r="85" spans="1:8" ht="47.25" x14ac:dyDescent="0.25">
      <c r="A85" s="25" t="s">
        <v>146</v>
      </c>
      <c r="B85" s="20" t="s">
        <v>986</v>
      </c>
      <c r="C85" s="40" t="s">
        <v>259</v>
      </c>
      <c r="D85" s="40" t="s">
        <v>230</v>
      </c>
      <c r="E85" s="40" t="s">
        <v>147</v>
      </c>
      <c r="F85" s="40"/>
      <c r="G85" s="10">
        <f t="shared" si="15"/>
        <v>270</v>
      </c>
      <c r="H85" s="10">
        <f t="shared" si="15"/>
        <v>270</v>
      </c>
    </row>
    <row r="86" spans="1:8" ht="63" x14ac:dyDescent="0.25">
      <c r="A86" s="25" t="s">
        <v>148</v>
      </c>
      <c r="B86" s="20" t="s">
        <v>986</v>
      </c>
      <c r="C86" s="40" t="s">
        <v>259</v>
      </c>
      <c r="D86" s="40" t="s">
        <v>230</v>
      </c>
      <c r="E86" s="40" t="s">
        <v>149</v>
      </c>
      <c r="F86" s="40"/>
      <c r="G86" s="10">
        <f>'пр.6.1.ведом.21-22'!G459</f>
        <v>270</v>
      </c>
      <c r="H86" s="10">
        <f>'пр.6.1.ведом.21-22'!H459</f>
        <v>270</v>
      </c>
    </row>
    <row r="87" spans="1:8" ht="63" x14ac:dyDescent="0.25">
      <c r="A87" s="45" t="s">
        <v>276</v>
      </c>
      <c r="B87" s="20" t="s">
        <v>986</v>
      </c>
      <c r="C87" s="40" t="s">
        <v>259</v>
      </c>
      <c r="D87" s="40" t="s">
        <v>230</v>
      </c>
      <c r="E87" s="40" t="s">
        <v>149</v>
      </c>
      <c r="F87" s="40" t="s">
        <v>643</v>
      </c>
      <c r="G87" s="10">
        <f>G86</f>
        <v>270</v>
      </c>
      <c r="H87" s="10">
        <f>H86</f>
        <v>270</v>
      </c>
    </row>
    <row r="88" spans="1:8" s="229" customFormat="1" ht="31.5" x14ac:dyDescent="0.25">
      <c r="A88" s="25" t="s">
        <v>263</v>
      </c>
      <c r="B88" s="20" t="s">
        <v>986</v>
      </c>
      <c r="C88" s="40" t="s">
        <v>259</v>
      </c>
      <c r="D88" s="40" t="s">
        <v>230</v>
      </c>
      <c r="E88" s="40" t="s">
        <v>264</v>
      </c>
      <c r="F88" s="40"/>
      <c r="G88" s="10">
        <f>G89</f>
        <v>210</v>
      </c>
      <c r="H88" s="10">
        <f>H89</f>
        <v>210</v>
      </c>
    </row>
    <row r="89" spans="1:8" s="229" customFormat="1" ht="31.5" x14ac:dyDescent="0.25">
      <c r="A89" s="25" t="s">
        <v>363</v>
      </c>
      <c r="B89" s="20" t="s">
        <v>986</v>
      </c>
      <c r="C89" s="40" t="s">
        <v>259</v>
      </c>
      <c r="D89" s="40" t="s">
        <v>230</v>
      </c>
      <c r="E89" s="40" t="s">
        <v>364</v>
      </c>
      <c r="F89" s="40"/>
      <c r="G89" s="10">
        <f>'пр.6.1.ведом.21-22'!G461</f>
        <v>210</v>
      </c>
      <c r="H89" s="10">
        <f>'пр.6.1.ведом.21-22'!H461</f>
        <v>210</v>
      </c>
    </row>
    <row r="90" spans="1:8" s="229" customFormat="1" ht="63" x14ac:dyDescent="0.25">
      <c r="A90" s="45" t="s">
        <v>276</v>
      </c>
      <c r="B90" s="20" t="s">
        <v>986</v>
      </c>
      <c r="C90" s="40" t="s">
        <v>259</v>
      </c>
      <c r="D90" s="40" t="s">
        <v>230</v>
      </c>
      <c r="E90" s="40" t="s">
        <v>364</v>
      </c>
      <c r="F90" s="40" t="s">
        <v>643</v>
      </c>
      <c r="G90" s="10">
        <f>G89</f>
        <v>210</v>
      </c>
      <c r="H90" s="10">
        <f>H89</f>
        <v>210</v>
      </c>
    </row>
    <row r="91" spans="1:8" ht="47.25" x14ac:dyDescent="0.25">
      <c r="A91" s="58" t="s">
        <v>649</v>
      </c>
      <c r="B91" s="7" t="s">
        <v>377</v>
      </c>
      <c r="C91" s="7"/>
      <c r="D91" s="7"/>
      <c r="E91" s="7"/>
      <c r="F91" s="7"/>
      <c r="G91" s="59">
        <f t="shared" ref="G91:H91" si="16">G93</f>
        <v>250</v>
      </c>
      <c r="H91" s="59">
        <f t="shared" si="16"/>
        <v>250</v>
      </c>
    </row>
    <row r="92" spans="1:8" ht="78.75" x14ac:dyDescent="0.25">
      <c r="A92" s="23" t="s">
        <v>1219</v>
      </c>
      <c r="B92" s="24" t="s">
        <v>988</v>
      </c>
      <c r="C92" s="7"/>
      <c r="D92" s="7"/>
      <c r="E92" s="7"/>
      <c r="F92" s="7"/>
      <c r="G92" s="59">
        <f>G93</f>
        <v>250</v>
      </c>
      <c r="H92" s="59">
        <f>H93</f>
        <v>250</v>
      </c>
    </row>
    <row r="93" spans="1:8" ht="15.75" x14ac:dyDescent="0.25">
      <c r="A93" s="45" t="s">
        <v>258</v>
      </c>
      <c r="B93" s="40" t="s">
        <v>988</v>
      </c>
      <c r="C93" s="40" t="s">
        <v>259</v>
      </c>
      <c r="D93" s="40"/>
      <c r="E93" s="40"/>
      <c r="F93" s="40"/>
      <c r="G93" s="10">
        <f t="shared" ref="G93:H96" si="17">G94</f>
        <v>250</v>
      </c>
      <c r="H93" s="10">
        <f t="shared" si="17"/>
        <v>250</v>
      </c>
    </row>
    <row r="94" spans="1:8" ht="31.5" x14ac:dyDescent="0.25">
      <c r="A94" s="45" t="s">
        <v>267</v>
      </c>
      <c r="B94" s="40" t="s">
        <v>988</v>
      </c>
      <c r="C94" s="40" t="s">
        <v>259</v>
      </c>
      <c r="D94" s="40" t="s">
        <v>230</v>
      </c>
      <c r="E94" s="40"/>
      <c r="F94" s="40"/>
      <c r="G94" s="10">
        <f>G95</f>
        <v>250</v>
      </c>
      <c r="H94" s="10">
        <f>H95</f>
        <v>250</v>
      </c>
    </row>
    <row r="95" spans="1:8" ht="63" x14ac:dyDescent="0.25">
      <c r="A95" s="25" t="s">
        <v>1218</v>
      </c>
      <c r="B95" s="20" t="s">
        <v>987</v>
      </c>
      <c r="C95" s="40" t="s">
        <v>259</v>
      </c>
      <c r="D95" s="40" t="s">
        <v>230</v>
      </c>
      <c r="E95" s="40"/>
      <c r="F95" s="40"/>
      <c r="G95" s="10">
        <f t="shared" si="17"/>
        <v>250</v>
      </c>
      <c r="H95" s="10">
        <f t="shared" si="17"/>
        <v>250</v>
      </c>
    </row>
    <row r="96" spans="1:8" ht="31.5" x14ac:dyDescent="0.25">
      <c r="A96" s="25" t="s">
        <v>263</v>
      </c>
      <c r="B96" s="20" t="s">
        <v>987</v>
      </c>
      <c r="C96" s="40" t="s">
        <v>259</v>
      </c>
      <c r="D96" s="40" t="s">
        <v>230</v>
      </c>
      <c r="E96" s="40" t="s">
        <v>264</v>
      </c>
      <c r="F96" s="40"/>
      <c r="G96" s="10">
        <f t="shared" si="17"/>
        <v>250</v>
      </c>
      <c r="H96" s="10">
        <f t="shared" si="17"/>
        <v>250</v>
      </c>
    </row>
    <row r="97" spans="1:8" ht="31.5" x14ac:dyDescent="0.25">
      <c r="A97" s="25" t="s">
        <v>363</v>
      </c>
      <c r="B97" s="20" t="s">
        <v>987</v>
      </c>
      <c r="C97" s="40" t="s">
        <v>259</v>
      </c>
      <c r="D97" s="40" t="s">
        <v>230</v>
      </c>
      <c r="E97" s="40" t="s">
        <v>364</v>
      </c>
      <c r="F97" s="40"/>
      <c r="G97" s="10">
        <f>'пр.6.1.ведом.21-22'!G466</f>
        <v>250</v>
      </c>
      <c r="H97" s="10">
        <f>'пр.6.1.ведом.21-22'!H466</f>
        <v>250</v>
      </c>
    </row>
    <row r="98" spans="1:8" ht="63" x14ac:dyDescent="0.25">
      <c r="A98" s="45" t="s">
        <v>276</v>
      </c>
      <c r="B98" s="20" t="s">
        <v>987</v>
      </c>
      <c r="C98" s="40" t="s">
        <v>259</v>
      </c>
      <c r="D98" s="40" t="s">
        <v>230</v>
      </c>
      <c r="E98" s="40" t="s">
        <v>364</v>
      </c>
      <c r="F98" s="40" t="s">
        <v>643</v>
      </c>
      <c r="G98" s="10">
        <f>G97</f>
        <v>250</v>
      </c>
      <c r="H98" s="10">
        <f>H97</f>
        <v>250</v>
      </c>
    </row>
    <row r="99" spans="1:8" ht="78.75" x14ac:dyDescent="0.25">
      <c r="A99" s="58" t="s">
        <v>379</v>
      </c>
      <c r="B99" s="7" t="s">
        <v>380</v>
      </c>
      <c r="C99" s="7"/>
      <c r="D99" s="7"/>
      <c r="E99" s="7"/>
      <c r="F99" s="7"/>
      <c r="G99" s="59">
        <f t="shared" ref="G99:H99" si="18">G101</f>
        <v>260</v>
      </c>
      <c r="H99" s="59">
        <f t="shared" si="18"/>
        <v>260</v>
      </c>
    </row>
    <row r="100" spans="1:8" ht="47.25" x14ac:dyDescent="0.25">
      <c r="A100" s="23" t="s">
        <v>1152</v>
      </c>
      <c r="B100" s="24" t="s">
        <v>968</v>
      </c>
      <c r="C100" s="7"/>
      <c r="D100" s="7"/>
      <c r="E100" s="7"/>
      <c r="F100" s="7"/>
      <c r="G100" s="59">
        <f t="shared" ref="G100:H102" si="19">G101</f>
        <v>260</v>
      </c>
      <c r="H100" s="59">
        <f t="shared" si="19"/>
        <v>260</v>
      </c>
    </row>
    <row r="101" spans="1:8" ht="15.75" x14ac:dyDescent="0.25">
      <c r="A101" s="45" t="s">
        <v>313</v>
      </c>
      <c r="B101" s="40" t="s">
        <v>968</v>
      </c>
      <c r="C101" s="40" t="s">
        <v>314</v>
      </c>
      <c r="D101" s="40"/>
      <c r="E101" s="40"/>
      <c r="F101" s="40"/>
      <c r="G101" s="10">
        <f t="shared" si="19"/>
        <v>260</v>
      </c>
      <c r="H101" s="10">
        <f t="shared" si="19"/>
        <v>260</v>
      </c>
    </row>
    <row r="102" spans="1:8" ht="31.5" x14ac:dyDescent="0.25">
      <c r="A102" s="45" t="s">
        <v>348</v>
      </c>
      <c r="B102" s="40" t="s">
        <v>968</v>
      </c>
      <c r="C102" s="40" t="s">
        <v>314</v>
      </c>
      <c r="D102" s="40" t="s">
        <v>165</v>
      </c>
      <c r="E102" s="40"/>
      <c r="F102" s="40"/>
      <c r="G102" s="10">
        <f t="shared" si="19"/>
        <v>260</v>
      </c>
      <c r="H102" s="10">
        <f t="shared" si="19"/>
        <v>260</v>
      </c>
    </row>
    <row r="103" spans="1:8" ht="47.25" x14ac:dyDescent="0.25">
      <c r="A103" s="29" t="s">
        <v>172</v>
      </c>
      <c r="B103" s="20" t="s">
        <v>1234</v>
      </c>
      <c r="C103" s="40" t="s">
        <v>314</v>
      </c>
      <c r="D103" s="40" t="s">
        <v>165</v>
      </c>
      <c r="E103" s="40"/>
      <c r="F103" s="40"/>
      <c r="G103" s="10">
        <f t="shared" ref="G103:H104" si="20">G104</f>
        <v>260</v>
      </c>
      <c r="H103" s="10">
        <f t="shared" si="20"/>
        <v>260</v>
      </c>
    </row>
    <row r="104" spans="1:8" ht="47.25" x14ac:dyDescent="0.25">
      <c r="A104" s="29" t="s">
        <v>146</v>
      </c>
      <c r="B104" s="20" t="s">
        <v>1234</v>
      </c>
      <c r="C104" s="40" t="s">
        <v>314</v>
      </c>
      <c r="D104" s="40" t="s">
        <v>165</v>
      </c>
      <c r="E104" s="40" t="s">
        <v>147</v>
      </c>
      <c r="F104" s="40"/>
      <c r="G104" s="10">
        <f t="shared" si="20"/>
        <v>260</v>
      </c>
      <c r="H104" s="10">
        <f t="shared" si="20"/>
        <v>260</v>
      </c>
    </row>
    <row r="105" spans="1:8" ht="63" x14ac:dyDescent="0.25">
      <c r="A105" s="29" t="s">
        <v>148</v>
      </c>
      <c r="B105" s="20" t="s">
        <v>1234</v>
      </c>
      <c r="C105" s="40" t="s">
        <v>314</v>
      </c>
      <c r="D105" s="40" t="s">
        <v>165</v>
      </c>
      <c r="E105" s="40" t="s">
        <v>149</v>
      </c>
      <c r="F105" s="40"/>
      <c r="G105" s="10">
        <f>'Пр.6 ведом.20'!G431</f>
        <v>260</v>
      </c>
      <c r="H105" s="10">
        <f>'Пр.6 ведом.20'!H431</f>
        <v>260</v>
      </c>
    </row>
    <row r="106" spans="1:8" ht="63" x14ac:dyDescent="0.25">
      <c r="A106" s="45" t="s">
        <v>276</v>
      </c>
      <c r="B106" s="20" t="s">
        <v>1234</v>
      </c>
      <c r="C106" s="40" t="s">
        <v>314</v>
      </c>
      <c r="D106" s="40" t="s">
        <v>165</v>
      </c>
      <c r="E106" s="40" t="s">
        <v>149</v>
      </c>
      <c r="F106" s="40" t="s">
        <v>643</v>
      </c>
      <c r="G106" s="10">
        <f>G105</f>
        <v>260</v>
      </c>
      <c r="H106" s="10">
        <f>H105</f>
        <v>260</v>
      </c>
    </row>
    <row r="107" spans="1:8" ht="94.5" x14ac:dyDescent="0.25">
      <c r="A107" s="41" t="s">
        <v>382</v>
      </c>
      <c r="B107" s="7" t="s">
        <v>383</v>
      </c>
      <c r="C107" s="7"/>
      <c r="D107" s="7"/>
      <c r="E107" s="7"/>
      <c r="F107" s="7"/>
      <c r="G107" s="59">
        <f>G108+G119+G130+G141</f>
        <v>570</v>
      </c>
      <c r="H107" s="59">
        <f>H108+H119+H130+H141</f>
        <v>570</v>
      </c>
    </row>
    <row r="108" spans="1:8" ht="63" hidden="1" x14ac:dyDescent="0.25">
      <c r="A108" s="277" t="s">
        <v>1222</v>
      </c>
      <c r="B108" s="24" t="s">
        <v>939</v>
      </c>
      <c r="C108" s="7"/>
      <c r="D108" s="7"/>
      <c r="E108" s="7"/>
      <c r="F108" s="7"/>
      <c r="G108" s="59">
        <f>G109</f>
        <v>0</v>
      </c>
      <c r="H108" s="59">
        <f>H109</f>
        <v>0</v>
      </c>
    </row>
    <row r="109" spans="1:8" ht="15.75" hidden="1" x14ac:dyDescent="0.25">
      <c r="A109" s="45" t="s">
        <v>247</v>
      </c>
      <c r="B109" s="40" t="s">
        <v>939</v>
      </c>
      <c r="C109" s="40" t="s">
        <v>165</v>
      </c>
      <c r="D109" s="40"/>
      <c r="E109" s="40"/>
      <c r="F109" s="40"/>
      <c r="G109" s="10">
        <f t="shared" ref="G109:H109" si="21">G110</f>
        <v>0</v>
      </c>
      <c r="H109" s="10">
        <f t="shared" si="21"/>
        <v>0</v>
      </c>
    </row>
    <row r="110" spans="1:8" ht="31.5" hidden="1" x14ac:dyDescent="0.25">
      <c r="A110" s="45" t="s">
        <v>252</v>
      </c>
      <c r="B110" s="40" t="s">
        <v>939</v>
      </c>
      <c r="C110" s="40" t="s">
        <v>165</v>
      </c>
      <c r="D110" s="40" t="s">
        <v>253</v>
      </c>
      <c r="E110" s="40"/>
      <c r="F110" s="40"/>
      <c r="G110" s="10">
        <f>G111+G115</f>
        <v>0</v>
      </c>
      <c r="H110" s="10">
        <f>H111+H115</f>
        <v>0</v>
      </c>
    </row>
    <row r="111" spans="1:8" ht="78.75" hidden="1" x14ac:dyDescent="0.25">
      <c r="A111" s="25" t="s">
        <v>390</v>
      </c>
      <c r="B111" s="20" t="s">
        <v>1223</v>
      </c>
      <c r="C111" s="40" t="s">
        <v>165</v>
      </c>
      <c r="D111" s="40" t="s">
        <v>253</v>
      </c>
      <c r="E111" s="40"/>
      <c r="F111" s="40"/>
      <c r="G111" s="10">
        <f t="shared" ref="G111:H111" si="22">G112</f>
        <v>0</v>
      </c>
      <c r="H111" s="10">
        <f t="shared" si="22"/>
        <v>0</v>
      </c>
    </row>
    <row r="112" spans="1:8" ht="31.5" hidden="1" x14ac:dyDescent="0.25">
      <c r="A112" s="25" t="s">
        <v>263</v>
      </c>
      <c r="B112" s="20" t="s">
        <v>1223</v>
      </c>
      <c r="C112" s="40" t="s">
        <v>165</v>
      </c>
      <c r="D112" s="40" t="s">
        <v>253</v>
      </c>
      <c r="E112" s="40" t="s">
        <v>264</v>
      </c>
      <c r="F112" s="40"/>
      <c r="G112" s="10">
        <f>G113</f>
        <v>0</v>
      </c>
      <c r="H112" s="10">
        <f>H113</f>
        <v>0</v>
      </c>
    </row>
    <row r="113" spans="1:8" ht="47.25" hidden="1" x14ac:dyDescent="0.25">
      <c r="A113" s="25" t="s">
        <v>265</v>
      </c>
      <c r="B113" s="20" t="s">
        <v>1223</v>
      </c>
      <c r="C113" s="40" t="s">
        <v>165</v>
      </c>
      <c r="D113" s="40" t="s">
        <v>253</v>
      </c>
      <c r="E113" s="40" t="s">
        <v>266</v>
      </c>
      <c r="F113" s="40"/>
      <c r="G113" s="10">
        <f>'пр.6.1.ведом.21-22'!G255</f>
        <v>0</v>
      </c>
      <c r="H113" s="10">
        <f>'пр.6.1.ведом.21-22'!H255</f>
        <v>0</v>
      </c>
    </row>
    <row r="114" spans="1:8" ht="63" hidden="1" x14ac:dyDescent="0.25">
      <c r="A114" s="45" t="s">
        <v>276</v>
      </c>
      <c r="B114" s="20" t="s">
        <v>1223</v>
      </c>
      <c r="C114" s="40" t="s">
        <v>165</v>
      </c>
      <c r="D114" s="40" t="s">
        <v>253</v>
      </c>
      <c r="E114" s="40" t="s">
        <v>266</v>
      </c>
      <c r="F114" s="40" t="s">
        <v>643</v>
      </c>
      <c r="G114" s="10">
        <f>G113</f>
        <v>0</v>
      </c>
      <c r="H114" s="10">
        <f>H113</f>
        <v>0</v>
      </c>
    </row>
    <row r="115" spans="1:8" ht="78.75" hidden="1" x14ac:dyDescent="0.25">
      <c r="A115" s="25" t="s">
        <v>390</v>
      </c>
      <c r="B115" s="20" t="s">
        <v>1224</v>
      </c>
      <c r="C115" s="40" t="s">
        <v>165</v>
      </c>
      <c r="D115" s="40" t="s">
        <v>253</v>
      </c>
      <c r="E115" s="40"/>
      <c r="F115" s="40"/>
      <c r="G115" s="10">
        <f>G116</f>
        <v>0</v>
      </c>
      <c r="H115" s="10">
        <f>H116</f>
        <v>0</v>
      </c>
    </row>
    <row r="116" spans="1:8" ht="31.5" hidden="1" x14ac:dyDescent="0.25">
      <c r="A116" s="25" t="s">
        <v>263</v>
      </c>
      <c r="B116" s="20" t="s">
        <v>1224</v>
      </c>
      <c r="C116" s="40" t="s">
        <v>165</v>
      </c>
      <c r="D116" s="40" t="s">
        <v>253</v>
      </c>
      <c r="E116" s="40" t="s">
        <v>264</v>
      </c>
      <c r="F116" s="40"/>
      <c r="G116" s="10">
        <f>G117</f>
        <v>0</v>
      </c>
      <c r="H116" s="10">
        <f>H117</f>
        <v>0</v>
      </c>
    </row>
    <row r="117" spans="1:8" ht="47.25" hidden="1" x14ac:dyDescent="0.25">
      <c r="A117" s="25" t="s">
        <v>265</v>
      </c>
      <c r="B117" s="20" t="s">
        <v>1224</v>
      </c>
      <c r="C117" s="40" t="s">
        <v>165</v>
      </c>
      <c r="D117" s="40" t="s">
        <v>253</v>
      </c>
      <c r="E117" s="40" t="s">
        <v>266</v>
      </c>
      <c r="F117" s="40"/>
      <c r="G117" s="10">
        <f>'пр.6.1.ведом.21-22'!G258</f>
        <v>0</v>
      </c>
      <c r="H117" s="10">
        <f>'пр.6.1.ведом.21-22'!H258</f>
        <v>0</v>
      </c>
    </row>
    <row r="118" spans="1:8" ht="63" hidden="1" x14ac:dyDescent="0.25">
      <c r="A118" s="45" t="s">
        <v>276</v>
      </c>
      <c r="B118" s="20" t="s">
        <v>1224</v>
      </c>
      <c r="C118" s="40" t="s">
        <v>165</v>
      </c>
      <c r="D118" s="40" t="s">
        <v>253</v>
      </c>
      <c r="E118" s="40" t="s">
        <v>266</v>
      </c>
      <c r="F118" s="40" t="s">
        <v>643</v>
      </c>
      <c r="G118" s="10">
        <f>G117</f>
        <v>0</v>
      </c>
      <c r="H118" s="10">
        <f>H117</f>
        <v>0</v>
      </c>
    </row>
    <row r="119" spans="1:8" ht="63" x14ac:dyDescent="0.25">
      <c r="A119" s="23" t="s">
        <v>1220</v>
      </c>
      <c r="B119" s="24" t="s">
        <v>940</v>
      </c>
      <c r="C119" s="7"/>
      <c r="D119" s="7"/>
      <c r="E119" s="7"/>
      <c r="F119" s="7"/>
      <c r="G119" s="59">
        <f>G122+G126</f>
        <v>560</v>
      </c>
      <c r="H119" s="59">
        <f>H122+H126</f>
        <v>560</v>
      </c>
    </row>
    <row r="120" spans="1:8" ht="15.75" x14ac:dyDescent="0.25">
      <c r="A120" s="45" t="s">
        <v>247</v>
      </c>
      <c r="B120" s="40" t="s">
        <v>940</v>
      </c>
      <c r="C120" s="40" t="s">
        <v>165</v>
      </c>
      <c r="D120" s="40"/>
      <c r="E120" s="40"/>
      <c r="F120" s="40"/>
      <c r="G120" s="10">
        <f t="shared" ref="G120:H120" si="23">G121</f>
        <v>560</v>
      </c>
      <c r="H120" s="10">
        <f t="shared" si="23"/>
        <v>560</v>
      </c>
    </row>
    <row r="121" spans="1:8" ht="31.5" x14ac:dyDescent="0.25">
      <c r="A121" s="45" t="s">
        <v>252</v>
      </c>
      <c r="B121" s="40" t="s">
        <v>940</v>
      </c>
      <c r="C121" s="40" t="s">
        <v>165</v>
      </c>
      <c r="D121" s="40" t="s">
        <v>253</v>
      </c>
      <c r="E121" s="40"/>
      <c r="F121" s="40"/>
      <c r="G121" s="10">
        <f>G122+G126</f>
        <v>560</v>
      </c>
      <c r="H121" s="10">
        <f>H122+H126</f>
        <v>560</v>
      </c>
    </row>
    <row r="122" spans="1:8" ht="31.5" x14ac:dyDescent="0.25">
      <c r="A122" s="25" t="s">
        <v>1221</v>
      </c>
      <c r="B122" s="20" t="s">
        <v>1225</v>
      </c>
      <c r="C122" s="40" t="s">
        <v>165</v>
      </c>
      <c r="D122" s="40" t="s">
        <v>253</v>
      </c>
      <c r="E122" s="40"/>
      <c r="F122" s="40"/>
      <c r="G122" s="10">
        <f>G123</f>
        <v>60</v>
      </c>
      <c r="H122" s="10">
        <f>H123</f>
        <v>60</v>
      </c>
    </row>
    <row r="123" spans="1:8" ht="63" x14ac:dyDescent="0.25">
      <c r="A123" s="25" t="s">
        <v>287</v>
      </c>
      <c r="B123" s="20" t="s">
        <v>1225</v>
      </c>
      <c r="C123" s="40" t="s">
        <v>165</v>
      </c>
      <c r="D123" s="40" t="s">
        <v>253</v>
      </c>
      <c r="E123" s="40" t="s">
        <v>288</v>
      </c>
      <c r="F123" s="40"/>
      <c r="G123" s="10">
        <f>G124</f>
        <v>60</v>
      </c>
      <c r="H123" s="10">
        <f>H124</f>
        <v>60</v>
      </c>
    </row>
    <row r="124" spans="1:8" ht="94.5" x14ac:dyDescent="0.25">
      <c r="A124" s="25" t="s">
        <v>1303</v>
      </c>
      <c r="B124" s="20" t="s">
        <v>1225</v>
      </c>
      <c r="C124" s="40" t="s">
        <v>165</v>
      </c>
      <c r="D124" s="40" t="s">
        <v>253</v>
      </c>
      <c r="E124" s="40" t="s">
        <v>387</v>
      </c>
      <c r="F124" s="40"/>
      <c r="G124" s="10">
        <f>'пр.6.1.ведом.21-22'!G262</f>
        <v>60</v>
      </c>
      <c r="H124" s="10">
        <f>'пр.6.1.ведом.21-22'!H262</f>
        <v>60</v>
      </c>
    </row>
    <row r="125" spans="1:8" ht="63" x14ac:dyDescent="0.25">
      <c r="A125" s="45" t="s">
        <v>276</v>
      </c>
      <c r="B125" s="20" t="s">
        <v>1225</v>
      </c>
      <c r="C125" s="40" t="s">
        <v>165</v>
      </c>
      <c r="D125" s="40" t="s">
        <v>253</v>
      </c>
      <c r="E125" s="40" t="s">
        <v>387</v>
      </c>
      <c r="F125" s="40" t="s">
        <v>643</v>
      </c>
      <c r="G125" s="10">
        <f>G124</f>
        <v>60</v>
      </c>
      <c r="H125" s="10">
        <f>H124</f>
        <v>60</v>
      </c>
    </row>
    <row r="126" spans="1:8" ht="173.25" hidden="1" x14ac:dyDescent="0.25">
      <c r="A126" s="25" t="s">
        <v>388</v>
      </c>
      <c r="B126" s="20" t="s">
        <v>1226</v>
      </c>
      <c r="C126" s="40" t="s">
        <v>165</v>
      </c>
      <c r="D126" s="40" t="s">
        <v>253</v>
      </c>
      <c r="E126" s="40"/>
      <c r="F126" s="40"/>
      <c r="G126" s="10">
        <f>G127</f>
        <v>500</v>
      </c>
      <c r="H126" s="10">
        <f>H127</f>
        <v>500</v>
      </c>
    </row>
    <row r="127" spans="1:8" ht="63" hidden="1" x14ac:dyDescent="0.25">
      <c r="A127" s="25" t="s">
        <v>287</v>
      </c>
      <c r="B127" s="20" t="s">
        <v>1226</v>
      </c>
      <c r="C127" s="40" t="s">
        <v>165</v>
      </c>
      <c r="D127" s="40" t="s">
        <v>253</v>
      </c>
      <c r="E127" s="40" t="s">
        <v>288</v>
      </c>
      <c r="F127" s="40"/>
      <c r="G127" s="10">
        <f>G128</f>
        <v>500</v>
      </c>
      <c r="H127" s="10">
        <f>H128</f>
        <v>500</v>
      </c>
    </row>
    <row r="128" spans="1:8" ht="94.5" hidden="1" x14ac:dyDescent="0.25">
      <c r="A128" s="25" t="s">
        <v>1303</v>
      </c>
      <c r="B128" s="20" t="s">
        <v>1226</v>
      </c>
      <c r="C128" s="40" t="s">
        <v>165</v>
      </c>
      <c r="D128" s="40" t="s">
        <v>253</v>
      </c>
      <c r="E128" s="40" t="s">
        <v>387</v>
      </c>
      <c r="F128" s="40"/>
      <c r="G128" s="10">
        <f>'пр.6.1.ведом.21-22'!G265</f>
        <v>500</v>
      </c>
      <c r="H128" s="10">
        <f>'пр.6.1.ведом.21-22'!H265</f>
        <v>500</v>
      </c>
    </row>
    <row r="129" spans="1:8" ht="63" hidden="1" x14ac:dyDescent="0.25">
      <c r="A129" s="45" t="s">
        <v>276</v>
      </c>
      <c r="B129" s="20" t="s">
        <v>1226</v>
      </c>
      <c r="C129" s="40" t="s">
        <v>165</v>
      </c>
      <c r="D129" s="40" t="s">
        <v>253</v>
      </c>
      <c r="E129" s="40" t="s">
        <v>387</v>
      </c>
      <c r="F129" s="40" t="s">
        <v>643</v>
      </c>
      <c r="G129" s="10">
        <f>G128</f>
        <v>500</v>
      </c>
      <c r="H129" s="10">
        <f>H128</f>
        <v>500</v>
      </c>
    </row>
    <row r="130" spans="1:8" ht="31.5" hidden="1" x14ac:dyDescent="0.25">
      <c r="A130" s="23" t="s">
        <v>1150</v>
      </c>
      <c r="B130" s="24" t="s">
        <v>941</v>
      </c>
      <c r="C130" s="7"/>
      <c r="D130" s="7"/>
      <c r="E130" s="7"/>
      <c r="F130" s="7"/>
      <c r="G130" s="59">
        <f>G133+G137</f>
        <v>0</v>
      </c>
      <c r="H130" s="59">
        <f>H133+H137</f>
        <v>0</v>
      </c>
    </row>
    <row r="131" spans="1:8" ht="15.75" hidden="1" x14ac:dyDescent="0.25">
      <c r="A131" s="45" t="s">
        <v>247</v>
      </c>
      <c r="B131" s="40" t="s">
        <v>941</v>
      </c>
      <c r="C131" s="40" t="s">
        <v>165</v>
      </c>
      <c r="D131" s="40"/>
      <c r="E131" s="40"/>
      <c r="F131" s="40"/>
      <c r="G131" s="10">
        <f t="shared" ref="G131:H131" si="24">G132</f>
        <v>0</v>
      </c>
      <c r="H131" s="10">
        <f t="shared" si="24"/>
        <v>0</v>
      </c>
    </row>
    <row r="132" spans="1:8" ht="31.5" hidden="1" x14ac:dyDescent="0.25">
      <c r="A132" s="45" t="s">
        <v>252</v>
      </c>
      <c r="B132" s="40" t="s">
        <v>941</v>
      </c>
      <c r="C132" s="40" t="s">
        <v>165</v>
      </c>
      <c r="D132" s="40" t="s">
        <v>253</v>
      </c>
      <c r="E132" s="40"/>
      <c r="F132" s="40"/>
      <c r="G132" s="10">
        <f>G133+G137</f>
        <v>0</v>
      </c>
      <c r="H132" s="10">
        <f>H133+H137</f>
        <v>0</v>
      </c>
    </row>
    <row r="133" spans="1:8" ht="63" hidden="1" x14ac:dyDescent="0.25">
      <c r="A133" s="351" t="s">
        <v>1229</v>
      </c>
      <c r="B133" s="20" t="s">
        <v>1227</v>
      </c>
      <c r="C133" s="40" t="s">
        <v>165</v>
      </c>
      <c r="D133" s="40" t="s">
        <v>253</v>
      </c>
      <c r="E133" s="40"/>
      <c r="F133" s="40"/>
      <c r="G133" s="10">
        <f>G134</f>
        <v>0</v>
      </c>
      <c r="H133" s="10">
        <f>H134</f>
        <v>0</v>
      </c>
    </row>
    <row r="134" spans="1:8" ht="47.25" hidden="1" x14ac:dyDescent="0.25">
      <c r="A134" s="25" t="s">
        <v>146</v>
      </c>
      <c r="B134" s="20" t="s">
        <v>1227</v>
      </c>
      <c r="C134" s="40" t="s">
        <v>165</v>
      </c>
      <c r="D134" s="40" t="s">
        <v>253</v>
      </c>
      <c r="E134" s="40" t="s">
        <v>147</v>
      </c>
      <c r="F134" s="40"/>
      <c r="G134" s="10">
        <f>G135</f>
        <v>0</v>
      </c>
      <c r="H134" s="10">
        <f>H135</f>
        <v>0</v>
      </c>
    </row>
    <row r="135" spans="1:8" ht="63" hidden="1" x14ac:dyDescent="0.25">
      <c r="A135" s="25" t="s">
        <v>148</v>
      </c>
      <c r="B135" s="20" t="s">
        <v>1227</v>
      </c>
      <c r="C135" s="40" t="s">
        <v>165</v>
      </c>
      <c r="D135" s="40" t="s">
        <v>253</v>
      </c>
      <c r="E135" s="40" t="s">
        <v>149</v>
      </c>
      <c r="F135" s="40"/>
      <c r="G135" s="10">
        <f>'пр.6.1.ведом.21-22'!G269</f>
        <v>0</v>
      </c>
      <c r="H135" s="10">
        <f>'пр.6.1.ведом.21-22'!H269</f>
        <v>0</v>
      </c>
    </row>
    <row r="136" spans="1:8" ht="63" hidden="1" x14ac:dyDescent="0.25">
      <c r="A136" s="45" t="s">
        <v>276</v>
      </c>
      <c r="B136" s="20" t="s">
        <v>1227</v>
      </c>
      <c r="C136" s="40" t="s">
        <v>165</v>
      </c>
      <c r="D136" s="40" t="s">
        <v>253</v>
      </c>
      <c r="E136" s="40" t="s">
        <v>149</v>
      </c>
      <c r="F136" s="9" t="s">
        <v>643</v>
      </c>
      <c r="G136" s="10">
        <f>G135</f>
        <v>0</v>
      </c>
      <c r="H136" s="10">
        <f>H135</f>
        <v>0</v>
      </c>
    </row>
    <row r="137" spans="1:8" ht="47.25" hidden="1" x14ac:dyDescent="0.25">
      <c r="A137" s="25" t="s">
        <v>392</v>
      </c>
      <c r="B137" s="20" t="s">
        <v>1228</v>
      </c>
      <c r="C137" s="40" t="s">
        <v>165</v>
      </c>
      <c r="D137" s="40" t="s">
        <v>253</v>
      </c>
      <c r="E137" s="40"/>
      <c r="F137" s="40"/>
      <c r="G137" s="10">
        <f>G138</f>
        <v>0</v>
      </c>
      <c r="H137" s="10">
        <f>H138</f>
        <v>0</v>
      </c>
    </row>
    <row r="138" spans="1:8" ht="47.25" hidden="1" x14ac:dyDescent="0.25">
      <c r="A138" s="25" t="s">
        <v>146</v>
      </c>
      <c r="B138" s="20" t="s">
        <v>1228</v>
      </c>
      <c r="C138" s="40" t="s">
        <v>165</v>
      </c>
      <c r="D138" s="40" t="s">
        <v>253</v>
      </c>
      <c r="E138" s="40" t="s">
        <v>147</v>
      </c>
      <c r="F138" s="40"/>
      <c r="G138" s="10">
        <f>G139</f>
        <v>0</v>
      </c>
      <c r="H138" s="10">
        <f>H139</f>
        <v>0</v>
      </c>
    </row>
    <row r="139" spans="1:8" ht="63" hidden="1" x14ac:dyDescent="0.25">
      <c r="A139" s="25" t="s">
        <v>148</v>
      </c>
      <c r="B139" s="20" t="s">
        <v>1228</v>
      </c>
      <c r="C139" s="40" t="s">
        <v>165</v>
      </c>
      <c r="D139" s="40" t="s">
        <v>253</v>
      </c>
      <c r="E139" s="40" t="s">
        <v>149</v>
      </c>
      <c r="F139" s="40"/>
      <c r="G139" s="10">
        <f>'пр.6.1.ведом.21-22'!G272</f>
        <v>0</v>
      </c>
      <c r="H139" s="10">
        <f>'пр.6.1.ведом.21-22'!H272</f>
        <v>0</v>
      </c>
    </row>
    <row r="140" spans="1:8" ht="63" hidden="1" x14ac:dyDescent="0.25">
      <c r="A140" s="45" t="s">
        <v>276</v>
      </c>
      <c r="B140" s="20" t="s">
        <v>1228</v>
      </c>
      <c r="C140" s="40" t="s">
        <v>165</v>
      </c>
      <c r="D140" s="40" t="s">
        <v>253</v>
      </c>
      <c r="E140" s="40" t="s">
        <v>149</v>
      </c>
      <c r="F140" s="9" t="s">
        <v>643</v>
      </c>
      <c r="G140" s="10">
        <f>G139</f>
        <v>0</v>
      </c>
      <c r="H140" s="10">
        <f>H139</f>
        <v>0</v>
      </c>
    </row>
    <row r="141" spans="1:8" s="229" customFormat="1" ht="63" x14ac:dyDescent="0.25">
      <c r="A141" s="273" t="s">
        <v>1323</v>
      </c>
      <c r="B141" s="24" t="s">
        <v>1322</v>
      </c>
      <c r="C141" s="7"/>
      <c r="D141" s="7"/>
      <c r="E141" s="7"/>
      <c r="F141" s="7"/>
      <c r="G141" s="59">
        <f>G142</f>
        <v>10</v>
      </c>
      <c r="H141" s="59">
        <f>H142</f>
        <v>10</v>
      </c>
    </row>
    <row r="142" spans="1:8" s="229" customFormat="1" ht="15.75" x14ac:dyDescent="0.25">
      <c r="A142" s="45" t="s">
        <v>247</v>
      </c>
      <c r="B142" s="40" t="s">
        <v>1322</v>
      </c>
      <c r="C142" s="40" t="s">
        <v>165</v>
      </c>
      <c r="D142" s="40"/>
      <c r="E142" s="40"/>
      <c r="F142" s="40"/>
      <c r="G142" s="10">
        <f t="shared" ref="G142:H142" si="25">G143</f>
        <v>10</v>
      </c>
      <c r="H142" s="10">
        <f t="shared" si="25"/>
        <v>10</v>
      </c>
    </row>
    <row r="143" spans="1:8" s="229" customFormat="1" ht="31.5" x14ac:dyDescent="0.25">
      <c r="A143" s="45" t="s">
        <v>252</v>
      </c>
      <c r="B143" s="40" t="s">
        <v>1322</v>
      </c>
      <c r="C143" s="40" t="s">
        <v>165</v>
      </c>
      <c r="D143" s="40" t="s">
        <v>253</v>
      </c>
      <c r="E143" s="40"/>
      <c r="F143" s="40"/>
      <c r="G143" s="10">
        <f t="shared" ref="G143:H145" si="26">G144</f>
        <v>10</v>
      </c>
      <c r="H143" s="10">
        <f t="shared" si="26"/>
        <v>10</v>
      </c>
    </row>
    <row r="144" spans="1:8" s="229" customFormat="1" ht="31.5" x14ac:dyDescent="0.25">
      <c r="A144" s="303" t="s">
        <v>1324</v>
      </c>
      <c r="B144" s="20" t="s">
        <v>1381</v>
      </c>
      <c r="C144" s="40" t="s">
        <v>165</v>
      </c>
      <c r="D144" s="40" t="s">
        <v>253</v>
      </c>
      <c r="E144" s="40"/>
      <c r="F144" s="40"/>
      <c r="G144" s="10">
        <f t="shared" si="26"/>
        <v>10</v>
      </c>
      <c r="H144" s="10">
        <f t="shared" si="26"/>
        <v>10</v>
      </c>
    </row>
    <row r="145" spans="1:8" s="229" customFormat="1" ht="47.25" x14ac:dyDescent="0.25">
      <c r="A145" s="25" t="s">
        <v>146</v>
      </c>
      <c r="B145" s="20" t="s">
        <v>1381</v>
      </c>
      <c r="C145" s="40" t="s">
        <v>165</v>
      </c>
      <c r="D145" s="40" t="s">
        <v>253</v>
      </c>
      <c r="E145" s="40" t="s">
        <v>147</v>
      </c>
      <c r="F145" s="40"/>
      <c r="G145" s="10">
        <f t="shared" si="26"/>
        <v>10</v>
      </c>
      <c r="H145" s="10">
        <f t="shared" si="26"/>
        <v>10</v>
      </c>
    </row>
    <row r="146" spans="1:8" s="229" customFormat="1" ht="63" x14ac:dyDescent="0.25">
      <c r="A146" s="25" t="s">
        <v>148</v>
      </c>
      <c r="B146" s="20" t="s">
        <v>1381</v>
      </c>
      <c r="C146" s="40" t="s">
        <v>165</v>
      </c>
      <c r="D146" s="40" t="s">
        <v>253</v>
      </c>
      <c r="E146" s="40" t="s">
        <v>149</v>
      </c>
      <c r="F146" s="40"/>
      <c r="G146" s="10">
        <f>'пр.6.1.ведом.21-22'!G276</f>
        <v>10</v>
      </c>
      <c r="H146" s="10">
        <f>'пр.6.1.ведом.21-22'!H276</f>
        <v>10</v>
      </c>
    </row>
    <row r="147" spans="1:8" s="229" customFormat="1" ht="63" x14ac:dyDescent="0.25">
      <c r="A147" s="45" t="s">
        <v>276</v>
      </c>
      <c r="B147" s="20" t="s">
        <v>1381</v>
      </c>
      <c r="C147" s="40" t="s">
        <v>165</v>
      </c>
      <c r="D147" s="40" t="s">
        <v>253</v>
      </c>
      <c r="E147" s="40" t="s">
        <v>149</v>
      </c>
      <c r="F147" s="9" t="s">
        <v>643</v>
      </c>
      <c r="G147" s="10">
        <f>G146</f>
        <v>10</v>
      </c>
      <c r="H147" s="10">
        <f>H146</f>
        <v>10</v>
      </c>
    </row>
    <row r="148" spans="1:8" ht="141.75" x14ac:dyDescent="0.25">
      <c r="A148" s="41" t="s">
        <v>395</v>
      </c>
      <c r="B148" s="7" t="s">
        <v>396</v>
      </c>
      <c r="C148" s="7"/>
      <c r="D148" s="7"/>
      <c r="E148" s="7"/>
      <c r="F148" s="8"/>
      <c r="G148" s="59">
        <f>G149</f>
        <v>60</v>
      </c>
      <c r="H148" s="59">
        <f>H149</f>
        <v>60</v>
      </c>
    </row>
    <row r="149" spans="1:8" ht="78.75" x14ac:dyDescent="0.25">
      <c r="A149" s="280" t="s">
        <v>1230</v>
      </c>
      <c r="B149" s="7" t="s">
        <v>935</v>
      </c>
      <c r="C149" s="7"/>
      <c r="D149" s="7"/>
      <c r="E149" s="7"/>
      <c r="F149" s="8"/>
      <c r="G149" s="59">
        <f>G150</f>
        <v>60</v>
      </c>
      <c r="H149" s="59">
        <f>H150</f>
        <v>60</v>
      </c>
    </row>
    <row r="150" spans="1:8" ht="15.75" x14ac:dyDescent="0.25">
      <c r="A150" s="45" t="s">
        <v>132</v>
      </c>
      <c r="B150" s="40" t="s">
        <v>935</v>
      </c>
      <c r="C150" s="40" t="s">
        <v>133</v>
      </c>
      <c r="D150" s="40"/>
      <c r="E150" s="40"/>
      <c r="F150" s="9"/>
      <c r="G150" s="10">
        <f t="shared" ref="G150:H153" si="27">G151</f>
        <v>60</v>
      </c>
      <c r="H150" s="10">
        <f t="shared" si="27"/>
        <v>60</v>
      </c>
    </row>
    <row r="151" spans="1:8" ht="31.5" x14ac:dyDescent="0.25">
      <c r="A151" s="45" t="s">
        <v>154</v>
      </c>
      <c r="B151" s="40" t="s">
        <v>935</v>
      </c>
      <c r="C151" s="40" t="s">
        <v>133</v>
      </c>
      <c r="D151" s="40" t="s">
        <v>155</v>
      </c>
      <c r="E151" s="40"/>
      <c r="F151" s="9"/>
      <c r="G151" s="10">
        <f>G152+G156</f>
        <v>60</v>
      </c>
      <c r="H151" s="10">
        <f>H152+H156</f>
        <v>60</v>
      </c>
    </row>
    <row r="152" spans="1:8" ht="47.25" x14ac:dyDescent="0.25">
      <c r="A152" s="101" t="s">
        <v>1231</v>
      </c>
      <c r="B152" s="40" t="s">
        <v>936</v>
      </c>
      <c r="C152" s="40" t="s">
        <v>133</v>
      </c>
      <c r="D152" s="40" t="s">
        <v>155</v>
      </c>
      <c r="E152" s="40"/>
      <c r="F152" s="9"/>
      <c r="G152" s="10">
        <f t="shared" si="27"/>
        <v>60</v>
      </c>
      <c r="H152" s="10">
        <f t="shared" si="27"/>
        <v>60</v>
      </c>
    </row>
    <row r="153" spans="1:8" ht="47.25" x14ac:dyDescent="0.25">
      <c r="A153" s="29" t="s">
        <v>146</v>
      </c>
      <c r="B153" s="40" t="s">
        <v>936</v>
      </c>
      <c r="C153" s="40" t="s">
        <v>133</v>
      </c>
      <c r="D153" s="40" t="s">
        <v>155</v>
      </c>
      <c r="E153" s="40" t="s">
        <v>147</v>
      </c>
      <c r="F153" s="9"/>
      <c r="G153" s="10">
        <f t="shared" si="27"/>
        <v>60</v>
      </c>
      <c r="H153" s="10">
        <f t="shared" si="27"/>
        <v>60</v>
      </c>
    </row>
    <row r="154" spans="1:8" ht="63" x14ac:dyDescent="0.25">
      <c r="A154" s="29" t="s">
        <v>148</v>
      </c>
      <c r="B154" s="40" t="s">
        <v>936</v>
      </c>
      <c r="C154" s="40" t="s">
        <v>133</v>
      </c>
      <c r="D154" s="40" t="s">
        <v>155</v>
      </c>
      <c r="E154" s="40" t="s">
        <v>149</v>
      </c>
      <c r="F154" s="9"/>
      <c r="G154" s="10">
        <f>'пр.6.1.ведом.21-22'!G222</f>
        <v>60</v>
      </c>
      <c r="H154" s="10">
        <f>'пр.6.1.ведом.21-22'!H222</f>
        <v>60</v>
      </c>
    </row>
    <row r="155" spans="1:8" ht="63" x14ac:dyDescent="0.25">
      <c r="A155" s="45" t="s">
        <v>276</v>
      </c>
      <c r="B155" s="40" t="s">
        <v>936</v>
      </c>
      <c r="C155" s="40" t="s">
        <v>133</v>
      </c>
      <c r="D155" s="40" t="s">
        <v>155</v>
      </c>
      <c r="E155" s="40" t="s">
        <v>149</v>
      </c>
      <c r="F155" s="9" t="s">
        <v>643</v>
      </c>
      <c r="G155" s="10">
        <f>G154</f>
        <v>60</v>
      </c>
      <c r="H155" s="10">
        <f>H154</f>
        <v>60</v>
      </c>
    </row>
    <row r="156" spans="1:8" ht="63" hidden="1" x14ac:dyDescent="0.25">
      <c r="A156" s="447" t="s">
        <v>938</v>
      </c>
      <c r="B156" s="20" t="s">
        <v>937</v>
      </c>
      <c r="C156" s="40" t="s">
        <v>133</v>
      </c>
      <c r="D156" s="40" t="s">
        <v>155</v>
      </c>
      <c r="E156" s="40"/>
      <c r="F156" s="9"/>
      <c r="G156" s="10">
        <f>G157</f>
        <v>0</v>
      </c>
      <c r="H156" s="10">
        <f>H157</f>
        <v>0</v>
      </c>
    </row>
    <row r="157" spans="1:8" ht="47.25" hidden="1" x14ac:dyDescent="0.25">
      <c r="A157" s="25" t="s">
        <v>146</v>
      </c>
      <c r="B157" s="20" t="s">
        <v>937</v>
      </c>
      <c r="C157" s="40" t="s">
        <v>133</v>
      </c>
      <c r="D157" s="40" t="s">
        <v>155</v>
      </c>
      <c r="E157" s="40" t="s">
        <v>147</v>
      </c>
      <c r="F157" s="9"/>
      <c r="G157" s="10">
        <f>G158</f>
        <v>0</v>
      </c>
      <c r="H157" s="10">
        <f>H158</f>
        <v>0</v>
      </c>
    </row>
    <row r="158" spans="1:8" ht="63" hidden="1" x14ac:dyDescent="0.25">
      <c r="A158" s="25" t="s">
        <v>148</v>
      </c>
      <c r="B158" s="20" t="s">
        <v>937</v>
      </c>
      <c r="C158" s="40" t="s">
        <v>133</v>
      </c>
      <c r="D158" s="40" t="s">
        <v>155</v>
      </c>
      <c r="E158" s="40" t="s">
        <v>149</v>
      </c>
      <c r="F158" s="9"/>
      <c r="G158" s="10">
        <f>'пр.6.1.ведом.21-22'!G225</f>
        <v>0</v>
      </c>
      <c r="H158" s="10">
        <f>'пр.6.1.ведом.21-22'!H225</f>
        <v>0</v>
      </c>
    </row>
    <row r="159" spans="1:8" ht="63" hidden="1" x14ac:dyDescent="0.25">
      <c r="A159" s="45" t="s">
        <v>276</v>
      </c>
      <c r="B159" s="20" t="s">
        <v>937</v>
      </c>
      <c r="C159" s="40" t="s">
        <v>133</v>
      </c>
      <c r="D159" s="40" t="s">
        <v>155</v>
      </c>
      <c r="E159" s="40" t="s">
        <v>149</v>
      </c>
      <c r="F159" s="9" t="s">
        <v>643</v>
      </c>
      <c r="G159" s="10">
        <f>G158</f>
        <v>0</v>
      </c>
      <c r="H159" s="10">
        <f>H158</f>
        <v>0</v>
      </c>
    </row>
    <row r="160" spans="1:8" ht="63" x14ac:dyDescent="0.25">
      <c r="A160" s="58" t="s">
        <v>441</v>
      </c>
      <c r="B160" s="7" t="s">
        <v>421</v>
      </c>
      <c r="C160" s="7"/>
      <c r="D160" s="7"/>
      <c r="E160" s="7"/>
      <c r="F160" s="7"/>
      <c r="G160" s="59">
        <f>G161+G244+G297+G357+G365</f>
        <v>339680.17</v>
      </c>
      <c r="H160" s="59">
        <f>H161+H244+H297+H357+H365</f>
        <v>339688.67</v>
      </c>
    </row>
    <row r="161" spans="1:8" ht="63" x14ac:dyDescent="0.25">
      <c r="A161" s="41" t="s">
        <v>422</v>
      </c>
      <c r="B161" s="7" t="s">
        <v>423</v>
      </c>
      <c r="C161" s="7"/>
      <c r="D161" s="7"/>
      <c r="E161" s="7"/>
      <c r="F161" s="7"/>
      <c r="G161" s="59">
        <f>G162+G191</f>
        <v>313344.46999999997</v>
      </c>
      <c r="H161" s="59">
        <f>H162+H191</f>
        <v>313344.46999999997</v>
      </c>
    </row>
    <row r="162" spans="1:8" ht="47.25" x14ac:dyDescent="0.25">
      <c r="A162" s="23" t="s">
        <v>1033</v>
      </c>
      <c r="B162" s="24" t="s">
        <v>1011</v>
      </c>
      <c r="C162" s="7"/>
      <c r="D162" s="7"/>
      <c r="E162" s="7"/>
      <c r="F162" s="7"/>
      <c r="G162" s="59">
        <f>G163</f>
        <v>73445</v>
      </c>
      <c r="H162" s="59">
        <f>H163</f>
        <v>73445</v>
      </c>
    </row>
    <row r="163" spans="1:8" ht="15.75" x14ac:dyDescent="0.25">
      <c r="A163" s="29" t="s">
        <v>278</v>
      </c>
      <c r="B163" s="40" t="s">
        <v>1011</v>
      </c>
      <c r="C163" s="40" t="s">
        <v>279</v>
      </c>
      <c r="D163" s="40"/>
      <c r="E163" s="40"/>
      <c r="F163" s="40"/>
      <c r="G163" s="10">
        <f>G164+G173+G186</f>
        <v>73445</v>
      </c>
      <c r="H163" s="10">
        <f>H164+H173+H186</f>
        <v>73445</v>
      </c>
    </row>
    <row r="164" spans="1:8" ht="15.75" x14ac:dyDescent="0.25">
      <c r="A164" s="45" t="s">
        <v>419</v>
      </c>
      <c r="B164" s="40" t="s">
        <v>1011</v>
      </c>
      <c r="C164" s="40" t="s">
        <v>279</v>
      </c>
      <c r="D164" s="40" t="s">
        <v>133</v>
      </c>
      <c r="E164" s="40"/>
      <c r="F164" s="40"/>
      <c r="G164" s="10">
        <f>G165+G169</f>
        <v>12027</v>
      </c>
      <c r="H164" s="10">
        <f>H165+H169</f>
        <v>12027</v>
      </c>
    </row>
    <row r="165" spans="1:8" ht="78.75" x14ac:dyDescent="0.25">
      <c r="A165" s="25" t="s">
        <v>1068</v>
      </c>
      <c r="B165" s="20" t="s">
        <v>1067</v>
      </c>
      <c r="C165" s="40" t="s">
        <v>279</v>
      </c>
      <c r="D165" s="40" t="s">
        <v>133</v>
      </c>
      <c r="E165" s="40"/>
      <c r="F165" s="40"/>
      <c r="G165" s="10">
        <f t="shared" ref="G165:H166" si="28">G166</f>
        <v>7224.2999999999993</v>
      </c>
      <c r="H165" s="10">
        <f t="shared" si="28"/>
        <v>7224.2999999999993</v>
      </c>
    </row>
    <row r="166" spans="1:8" ht="63" x14ac:dyDescent="0.25">
      <c r="A166" s="25" t="s">
        <v>287</v>
      </c>
      <c r="B166" s="20" t="s">
        <v>1067</v>
      </c>
      <c r="C166" s="40" t="s">
        <v>279</v>
      </c>
      <c r="D166" s="40" t="s">
        <v>133</v>
      </c>
      <c r="E166" s="40" t="s">
        <v>288</v>
      </c>
      <c r="F166" s="40"/>
      <c r="G166" s="10">
        <f t="shared" si="28"/>
        <v>7224.2999999999993</v>
      </c>
      <c r="H166" s="10">
        <f t="shared" si="28"/>
        <v>7224.2999999999993</v>
      </c>
    </row>
    <row r="167" spans="1:8" ht="31.5" x14ac:dyDescent="0.25">
      <c r="A167" s="25" t="s">
        <v>289</v>
      </c>
      <c r="B167" s="20" t="s">
        <v>1067</v>
      </c>
      <c r="C167" s="40" t="s">
        <v>279</v>
      </c>
      <c r="D167" s="40" t="s">
        <v>133</v>
      </c>
      <c r="E167" s="40" t="s">
        <v>290</v>
      </c>
      <c r="F167" s="40"/>
      <c r="G167" s="6">
        <f>'пр.6.1.ведом.21-22'!G547</f>
        <v>7224.2999999999993</v>
      </c>
      <c r="H167" s="6">
        <f>'пр.6.1.ведом.21-22'!H547</f>
        <v>7224.2999999999993</v>
      </c>
    </row>
    <row r="168" spans="1:8" ht="47.25" x14ac:dyDescent="0.25">
      <c r="A168" s="29" t="s">
        <v>418</v>
      </c>
      <c r="B168" s="20" t="s">
        <v>1067</v>
      </c>
      <c r="C168" s="40" t="s">
        <v>279</v>
      </c>
      <c r="D168" s="40" t="s">
        <v>133</v>
      </c>
      <c r="E168" s="40" t="s">
        <v>290</v>
      </c>
      <c r="F168" s="40" t="s">
        <v>652</v>
      </c>
      <c r="G168" s="10">
        <f>G167</f>
        <v>7224.2999999999993</v>
      </c>
      <c r="H168" s="10">
        <f>H167</f>
        <v>7224.2999999999993</v>
      </c>
    </row>
    <row r="169" spans="1:8" ht="78.75" x14ac:dyDescent="0.25">
      <c r="A169" s="25" t="s">
        <v>1249</v>
      </c>
      <c r="B169" s="20" t="s">
        <v>1069</v>
      </c>
      <c r="C169" s="40" t="s">
        <v>279</v>
      </c>
      <c r="D169" s="40" t="s">
        <v>133</v>
      </c>
      <c r="E169" s="40"/>
      <c r="F169" s="40"/>
      <c r="G169" s="6">
        <f>G170</f>
        <v>4802.7</v>
      </c>
      <c r="H169" s="6">
        <f>H170</f>
        <v>4802.7</v>
      </c>
    </row>
    <row r="170" spans="1:8" ht="63" x14ac:dyDescent="0.25">
      <c r="A170" s="25" t="s">
        <v>287</v>
      </c>
      <c r="B170" s="20" t="s">
        <v>1069</v>
      </c>
      <c r="C170" s="40" t="s">
        <v>279</v>
      </c>
      <c r="D170" s="40" t="s">
        <v>133</v>
      </c>
      <c r="E170" s="40" t="s">
        <v>288</v>
      </c>
      <c r="F170" s="40"/>
      <c r="G170" s="6">
        <f>G171</f>
        <v>4802.7</v>
      </c>
      <c r="H170" s="6">
        <f>H171</f>
        <v>4802.7</v>
      </c>
    </row>
    <row r="171" spans="1:8" ht="31.5" x14ac:dyDescent="0.25">
      <c r="A171" s="25" t="s">
        <v>289</v>
      </c>
      <c r="B171" s="20" t="s">
        <v>1069</v>
      </c>
      <c r="C171" s="40" t="s">
        <v>279</v>
      </c>
      <c r="D171" s="40" t="s">
        <v>133</v>
      </c>
      <c r="E171" s="40" t="s">
        <v>290</v>
      </c>
      <c r="F171" s="40"/>
      <c r="G171" s="6">
        <f>'пр.6.1.ведом.21-22'!G550</f>
        <v>4802.7</v>
      </c>
      <c r="H171" s="6">
        <f>'пр.6.1.ведом.21-22'!H550</f>
        <v>4802.7</v>
      </c>
    </row>
    <row r="172" spans="1:8" ht="47.25" x14ac:dyDescent="0.25">
      <c r="A172" s="29" t="s">
        <v>418</v>
      </c>
      <c r="B172" s="20" t="s">
        <v>1069</v>
      </c>
      <c r="C172" s="40" t="s">
        <v>279</v>
      </c>
      <c r="D172" s="40" t="s">
        <v>133</v>
      </c>
      <c r="E172" s="40" t="s">
        <v>290</v>
      </c>
      <c r="F172" s="40" t="s">
        <v>652</v>
      </c>
      <c r="G172" s="10">
        <f>G171</f>
        <v>4802.7</v>
      </c>
      <c r="H172" s="10">
        <f>H171</f>
        <v>4802.7</v>
      </c>
    </row>
    <row r="173" spans="1:8" ht="15.75" x14ac:dyDescent="0.25">
      <c r="A173" s="29" t="s">
        <v>440</v>
      </c>
      <c r="B173" s="40" t="s">
        <v>1011</v>
      </c>
      <c r="C173" s="40" t="s">
        <v>279</v>
      </c>
      <c r="D173" s="40" t="s">
        <v>228</v>
      </c>
      <c r="E173" s="40"/>
      <c r="F173" s="40"/>
      <c r="G173" s="10">
        <f>G174+G178+G182</f>
        <v>28803</v>
      </c>
      <c r="H173" s="10">
        <f>H174+H178+H182</f>
        <v>28803</v>
      </c>
    </row>
    <row r="174" spans="1:8" ht="63" x14ac:dyDescent="0.25">
      <c r="A174" s="25" t="s">
        <v>1073</v>
      </c>
      <c r="B174" s="20" t="s">
        <v>1070</v>
      </c>
      <c r="C174" s="40" t="s">
        <v>279</v>
      </c>
      <c r="D174" s="40" t="s">
        <v>228</v>
      </c>
      <c r="E174" s="40"/>
      <c r="F174" s="40"/>
      <c r="G174" s="10">
        <f t="shared" ref="G174:H175" si="29">G175</f>
        <v>9775.4000000000015</v>
      </c>
      <c r="H174" s="10">
        <f t="shared" si="29"/>
        <v>9775.4000000000015</v>
      </c>
    </row>
    <row r="175" spans="1:8" ht="63" x14ac:dyDescent="0.25">
      <c r="A175" s="25" t="s">
        <v>287</v>
      </c>
      <c r="B175" s="20" t="s">
        <v>1070</v>
      </c>
      <c r="C175" s="40" t="s">
        <v>279</v>
      </c>
      <c r="D175" s="40" t="s">
        <v>228</v>
      </c>
      <c r="E175" s="40" t="s">
        <v>288</v>
      </c>
      <c r="F175" s="40"/>
      <c r="G175" s="10">
        <f t="shared" si="29"/>
        <v>9775.4000000000015</v>
      </c>
      <c r="H175" s="10">
        <f t="shared" si="29"/>
        <v>9775.4000000000015</v>
      </c>
    </row>
    <row r="176" spans="1:8" ht="31.5" x14ac:dyDescent="0.25">
      <c r="A176" s="25" t="s">
        <v>289</v>
      </c>
      <c r="B176" s="20" t="s">
        <v>1070</v>
      </c>
      <c r="C176" s="40" t="s">
        <v>279</v>
      </c>
      <c r="D176" s="40" t="s">
        <v>228</v>
      </c>
      <c r="E176" s="40" t="s">
        <v>290</v>
      </c>
      <c r="F176" s="40"/>
      <c r="G176" s="6">
        <f>'пр.6.1.ведом.21-22'!G615</f>
        <v>9775.4000000000015</v>
      </c>
      <c r="H176" s="6">
        <f>'пр.6.1.ведом.21-22'!H615</f>
        <v>9775.4000000000015</v>
      </c>
    </row>
    <row r="177" spans="1:8" ht="47.25" x14ac:dyDescent="0.25">
      <c r="A177" s="29" t="s">
        <v>418</v>
      </c>
      <c r="B177" s="20" t="s">
        <v>1070</v>
      </c>
      <c r="C177" s="40" t="s">
        <v>279</v>
      </c>
      <c r="D177" s="40" t="s">
        <v>228</v>
      </c>
      <c r="E177" s="40" t="s">
        <v>290</v>
      </c>
      <c r="F177" s="40" t="s">
        <v>652</v>
      </c>
      <c r="G177" s="10">
        <f>G176</f>
        <v>9775.4000000000015</v>
      </c>
      <c r="H177" s="10">
        <f>H176</f>
        <v>9775.4000000000015</v>
      </c>
    </row>
    <row r="178" spans="1:8" ht="63" x14ac:dyDescent="0.25">
      <c r="A178" s="25" t="s">
        <v>1074</v>
      </c>
      <c r="B178" s="20" t="s">
        <v>1071</v>
      </c>
      <c r="C178" s="40" t="s">
        <v>279</v>
      </c>
      <c r="D178" s="40" t="s">
        <v>228</v>
      </c>
      <c r="E178" s="40"/>
      <c r="F178" s="40"/>
      <c r="G178" s="6">
        <f>G179</f>
        <v>12351.7</v>
      </c>
      <c r="H178" s="6">
        <f>H179</f>
        <v>12351.7</v>
      </c>
    </row>
    <row r="179" spans="1:8" ht="63" x14ac:dyDescent="0.25">
      <c r="A179" s="25" t="s">
        <v>287</v>
      </c>
      <c r="B179" s="20" t="s">
        <v>1071</v>
      </c>
      <c r="C179" s="40" t="s">
        <v>279</v>
      </c>
      <c r="D179" s="40" t="s">
        <v>228</v>
      </c>
      <c r="E179" s="40" t="s">
        <v>288</v>
      </c>
      <c r="F179" s="40"/>
      <c r="G179" s="6">
        <f>G180</f>
        <v>12351.7</v>
      </c>
      <c r="H179" s="6">
        <f>H180</f>
        <v>12351.7</v>
      </c>
    </row>
    <row r="180" spans="1:8" ht="31.5" x14ac:dyDescent="0.25">
      <c r="A180" s="25" t="s">
        <v>289</v>
      </c>
      <c r="B180" s="20" t="s">
        <v>1071</v>
      </c>
      <c r="C180" s="40" t="s">
        <v>279</v>
      </c>
      <c r="D180" s="40" t="s">
        <v>228</v>
      </c>
      <c r="E180" s="40" t="s">
        <v>290</v>
      </c>
      <c r="F180" s="40"/>
      <c r="G180" s="6">
        <f>'пр.6.1.ведом.21-22'!G618</f>
        <v>12351.7</v>
      </c>
      <c r="H180" s="6">
        <f>'пр.6.1.ведом.21-22'!H618</f>
        <v>12351.7</v>
      </c>
    </row>
    <row r="181" spans="1:8" ht="47.25" x14ac:dyDescent="0.25">
      <c r="A181" s="29" t="s">
        <v>418</v>
      </c>
      <c r="B181" s="20" t="s">
        <v>1071</v>
      </c>
      <c r="C181" s="40" t="s">
        <v>279</v>
      </c>
      <c r="D181" s="40" t="s">
        <v>228</v>
      </c>
      <c r="E181" s="40" t="s">
        <v>290</v>
      </c>
      <c r="F181" s="40" t="s">
        <v>652</v>
      </c>
      <c r="G181" s="10">
        <f>G180</f>
        <v>12351.7</v>
      </c>
      <c r="H181" s="10">
        <f>H180</f>
        <v>12351.7</v>
      </c>
    </row>
    <row r="182" spans="1:8" ht="78.75" x14ac:dyDescent="0.25">
      <c r="A182" s="25" t="s">
        <v>1075</v>
      </c>
      <c r="B182" s="20" t="s">
        <v>1072</v>
      </c>
      <c r="C182" s="40" t="s">
        <v>279</v>
      </c>
      <c r="D182" s="40" t="s">
        <v>228</v>
      </c>
      <c r="E182" s="40"/>
      <c r="F182" s="40"/>
      <c r="G182" s="6">
        <f>G183</f>
        <v>6675.9</v>
      </c>
      <c r="H182" s="6">
        <f>H183</f>
        <v>6675.9</v>
      </c>
    </row>
    <row r="183" spans="1:8" ht="63" x14ac:dyDescent="0.25">
      <c r="A183" s="25" t="s">
        <v>287</v>
      </c>
      <c r="B183" s="20" t="s">
        <v>1072</v>
      </c>
      <c r="C183" s="40" t="s">
        <v>279</v>
      </c>
      <c r="D183" s="40" t="s">
        <v>228</v>
      </c>
      <c r="E183" s="40" t="s">
        <v>288</v>
      </c>
      <c r="F183" s="40"/>
      <c r="G183" s="6">
        <f>G184</f>
        <v>6675.9</v>
      </c>
      <c r="H183" s="6">
        <f>H184</f>
        <v>6675.9</v>
      </c>
    </row>
    <row r="184" spans="1:8" ht="31.5" x14ac:dyDescent="0.25">
      <c r="A184" s="25" t="s">
        <v>289</v>
      </c>
      <c r="B184" s="20" t="s">
        <v>1072</v>
      </c>
      <c r="C184" s="40" t="s">
        <v>279</v>
      </c>
      <c r="D184" s="40" t="s">
        <v>228</v>
      </c>
      <c r="E184" s="40" t="s">
        <v>290</v>
      </c>
      <c r="F184" s="40"/>
      <c r="G184" s="6">
        <f>'пр.6.1.ведом.21-22'!G621</f>
        <v>6675.9</v>
      </c>
      <c r="H184" s="6">
        <f>'пр.6.1.ведом.21-22'!H621</f>
        <v>6675.9</v>
      </c>
    </row>
    <row r="185" spans="1:8" ht="47.25" x14ac:dyDescent="0.25">
      <c r="A185" s="29" t="s">
        <v>418</v>
      </c>
      <c r="B185" s="20" t="s">
        <v>1072</v>
      </c>
      <c r="C185" s="40" t="s">
        <v>279</v>
      </c>
      <c r="D185" s="40" t="s">
        <v>228</v>
      </c>
      <c r="E185" s="40" t="s">
        <v>290</v>
      </c>
      <c r="F185" s="40" t="s">
        <v>652</v>
      </c>
      <c r="G185" s="10">
        <f>G184</f>
        <v>6675.9</v>
      </c>
      <c r="H185" s="10">
        <f>H184</f>
        <v>6675.9</v>
      </c>
    </row>
    <row r="186" spans="1:8" ht="31.5" x14ac:dyDescent="0.25">
      <c r="A186" s="29" t="s">
        <v>280</v>
      </c>
      <c r="B186" s="40" t="s">
        <v>1011</v>
      </c>
      <c r="C186" s="40" t="s">
        <v>279</v>
      </c>
      <c r="D186" s="40" t="s">
        <v>230</v>
      </c>
      <c r="E186" s="40"/>
      <c r="F186" s="40"/>
      <c r="G186" s="6">
        <f t="shared" ref="G186:H188" si="30">G187</f>
        <v>32614.999999999996</v>
      </c>
      <c r="H186" s="6">
        <f t="shared" si="30"/>
        <v>32614.999999999996</v>
      </c>
    </row>
    <row r="187" spans="1:8" ht="63" x14ac:dyDescent="0.25">
      <c r="A187" s="29" t="s">
        <v>285</v>
      </c>
      <c r="B187" s="20" t="s">
        <v>1056</v>
      </c>
      <c r="C187" s="40" t="s">
        <v>279</v>
      </c>
      <c r="D187" s="40" t="s">
        <v>230</v>
      </c>
      <c r="E187" s="7"/>
      <c r="F187" s="7"/>
      <c r="G187" s="10">
        <f t="shared" si="30"/>
        <v>32614.999999999996</v>
      </c>
      <c r="H187" s="10">
        <f t="shared" si="30"/>
        <v>32614.999999999996</v>
      </c>
    </row>
    <row r="188" spans="1:8" ht="63" x14ac:dyDescent="0.25">
      <c r="A188" s="29" t="s">
        <v>287</v>
      </c>
      <c r="B188" s="20" t="s">
        <v>1056</v>
      </c>
      <c r="C188" s="40" t="s">
        <v>279</v>
      </c>
      <c r="D188" s="40" t="s">
        <v>230</v>
      </c>
      <c r="E188" s="40" t="s">
        <v>288</v>
      </c>
      <c r="F188" s="40"/>
      <c r="G188" s="10">
        <f t="shared" si="30"/>
        <v>32614.999999999996</v>
      </c>
      <c r="H188" s="10">
        <f t="shared" si="30"/>
        <v>32614.999999999996</v>
      </c>
    </row>
    <row r="189" spans="1:8" ht="31.5" x14ac:dyDescent="0.25">
      <c r="A189" s="29" t="s">
        <v>289</v>
      </c>
      <c r="B189" s="20" t="s">
        <v>1056</v>
      </c>
      <c r="C189" s="40" t="s">
        <v>279</v>
      </c>
      <c r="D189" s="40" t="s">
        <v>230</v>
      </c>
      <c r="E189" s="40" t="s">
        <v>290</v>
      </c>
      <c r="F189" s="40"/>
      <c r="G189" s="6">
        <f>'пр.6.1.ведом.21-22'!G693</f>
        <v>32614.999999999996</v>
      </c>
      <c r="H189" s="6">
        <f>'пр.6.1.ведом.21-22'!H693</f>
        <v>32614.999999999996</v>
      </c>
    </row>
    <row r="190" spans="1:8" ht="47.25" x14ac:dyDescent="0.25">
      <c r="A190" s="29" t="s">
        <v>418</v>
      </c>
      <c r="B190" s="20" t="s">
        <v>1056</v>
      </c>
      <c r="C190" s="40" t="s">
        <v>279</v>
      </c>
      <c r="D190" s="40" t="s">
        <v>230</v>
      </c>
      <c r="E190" s="40" t="s">
        <v>290</v>
      </c>
      <c r="F190" s="40" t="s">
        <v>652</v>
      </c>
      <c r="G190" s="10">
        <f>G189</f>
        <v>32614.999999999996</v>
      </c>
      <c r="H190" s="10">
        <f>H189</f>
        <v>32614.999999999996</v>
      </c>
    </row>
    <row r="191" spans="1:8" ht="78.75" x14ac:dyDescent="0.25">
      <c r="A191" s="23" t="s">
        <v>973</v>
      </c>
      <c r="B191" s="24" t="s">
        <v>1026</v>
      </c>
      <c r="C191" s="7"/>
      <c r="D191" s="7"/>
      <c r="E191" s="7"/>
      <c r="F191" s="7"/>
      <c r="G191" s="7">
        <f>G192</f>
        <v>239899.46999999997</v>
      </c>
      <c r="H191" s="7">
        <f>H192</f>
        <v>239899.46999999997</v>
      </c>
    </row>
    <row r="192" spans="1:8" ht="15.75" x14ac:dyDescent="0.25">
      <c r="A192" s="29" t="s">
        <v>278</v>
      </c>
      <c r="B192" s="40" t="s">
        <v>1026</v>
      </c>
      <c r="C192" s="40" t="s">
        <v>279</v>
      </c>
      <c r="D192" s="40"/>
      <c r="E192" s="40"/>
      <c r="F192" s="40"/>
      <c r="G192" s="9">
        <f>G193+G210+G231</f>
        <v>239899.46999999997</v>
      </c>
      <c r="H192" s="9">
        <f>H193+H210+H231</f>
        <v>239899.46999999997</v>
      </c>
    </row>
    <row r="193" spans="1:8" ht="15.75" x14ac:dyDescent="0.25">
      <c r="A193" s="45" t="s">
        <v>419</v>
      </c>
      <c r="B193" s="40" t="s">
        <v>1026</v>
      </c>
      <c r="C193" s="40" t="s">
        <v>279</v>
      </c>
      <c r="D193" s="40" t="s">
        <v>133</v>
      </c>
      <c r="E193" s="40"/>
      <c r="F193" s="40"/>
      <c r="G193" s="10">
        <f>G194+G198+G202+G206</f>
        <v>85840.55</v>
      </c>
      <c r="H193" s="10">
        <f>H194+H198+H202+H206</f>
        <v>85840.55</v>
      </c>
    </row>
    <row r="194" spans="1:8" ht="94.5" x14ac:dyDescent="0.25">
      <c r="A194" s="31" t="s">
        <v>304</v>
      </c>
      <c r="B194" s="20" t="s">
        <v>1025</v>
      </c>
      <c r="C194" s="40" t="s">
        <v>279</v>
      </c>
      <c r="D194" s="40" t="s">
        <v>133</v>
      </c>
      <c r="E194" s="40"/>
      <c r="F194" s="40"/>
      <c r="G194" s="6">
        <f>G195</f>
        <v>559.71</v>
      </c>
      <c r="H194" s="6">
        <f>H195</f>
        <v>559.71</v>
      </c>
    </row>
    <row r="195" spans="1:8" ht="63" x14ac:dyDescent="0.25">
      <c r="A195" s="25" t="s">
        <v>287</v>
      </c>
      <c r="B195" s="20" t="s">
        <v>1025</v>
      </c>
      <c r="C195" s="40" t="s">
        <v>279</v>
      </c>
      <c r="D195" s="40" t="s">
        <v>133</v>
      </c>
      <c r="E195" s="40" t="s">
        <v>288</v>
      </c>
      <c r="F195" s="40"/>
      <c r="G195" s="6">
        <f>G196</f>
        <v>559.71</v>
      </c>
      <c r="H195" s="6">
        <f>H196</f>
        <v>559.71</v>
      </c>
    </row>
    <row r="196" spans="1:8" ht="31.5" x14ac:dyDescent="0.25">
      <c r="A196" s="25" t="s">
        <v>289</v>
      </c>
      <c r="B196" s="20" t="s">
        <v>1025</v>
      </c>
      <c r="C196" s="40" t="s">
        <v>279</v>
      </c>
      <c r="D196" s="40" t="s">
        <v>133</v>
      </c>
      <c r="E196" s="40" t="s">
        <v>290</v>
      </c>
      <c r="F196" s="40"/>
      <c r="G196" s="6">
        <f>'пр.6.1.ведом.21-22'!G554</f>
        <v>559.71</v>
      </c>
      <c r="H196" s="6">
        <f>'пр.6.1.ведом.21-22'!H554</f>
        <v>559.71</v>
      </c>
    </row>
    <row r="197" spans="1:8" ht="47.25" x14ac:dyDescent="0.25">
      <c r="A197" s="29" t="s">
        <v>418</v>
      </c>
      <c r="B197" s="20" t="s">
        <v>1025</v>
      </c>
      <c r="C197" s="40" t="s">
        <v>279</v>
      </c>
      <c r="D197" s="40" t="s">
        <v>133</v>
      </c>
      <c r="E197" s="40" t="s">
        <v>290</v>
      </c>
      <c r="F197" s="40" t="s">
        <v>652</v>
      </c>
      <c r="G197" s="10">
        <f>G196</f>
        <v>559.71</v>
      </c>
      <c r="H197" s="10">
        <f>H196</f>
        <v>559.71</v>
      </c>
    </row>
    <row r="198" spans="1:8" ht="94.5" x14ac:dyDescent="0.25">
      <c r="A198" s="31" t="s">
        <v>435</v>
      </c>
      <c r="B198" s="20" t="s">
        <v>1028</v>
      </c>
      <c r="C198" s="40" t="s">
        <v>279</v>
      </c>
      <c r="D198" s="40" t="s">
        <v>133</v>
      </c>
      <c r="E198" s="40"/>
      <c r="F198" s="40"/>
      <c r="G198" s="6">
        <f>G199</f>
        <v>1629.37</v>
      </c>
      <c r="H198" s="6">
        <f>H199</f>
        <v>1629.37</v>
      </c>
    </row>
    <row r="199" spans="1:8" ht="63" x14ac:dyDescent="0.25">
      <c r="A199" s="25" t="s">
        <v>287</v>
      </c>
      <c r="B199" s="20" t="s">
        <v>1028</v>
      </c>
      <c r="C199" s="40" t="s">
        <v>279</v>
      </c>
      <c r="D199" s="40" t="s">
        <v>133</v>
      </c>
      <c r="E199" s="40" t="s">
        <v>288</v>
      </c>
      <c r="F199" s="40"/>
      <c r="G199" s="6">
        <f>G200</f>
        <v>1629.37</v>
      </c>
      <c r="H199" s="6">
        <f>H200</f>
        <v>1629.37</v>
      </c>
    </row>
    <row r="200" spans="1:8" ht="31.5" x14ac:dyDescent="0.25">
      <c r="A200" s="25" t="s">
        <v>289</v>
      </c>
      <c r="B200" s="20" t="s">
        <v>1028</v>
      </c>
      <c r="C200" s="40" t="s">
        <v>279</v>
      </c>
      <c r="D200" s="40" t="s">
        <v>133</v>
      </c>
      <c r="E200" s="40" t="s">
        <v>290</v>
      </c>
      <c r="F200" s="40"/>
      <c r="G200" s="6">
        <f>'пр.6.1.ведом.21-22'!G557</f>
        <v>1629.37</v>
      </c>
      <c r="H200" s="6">
        <f>'пр.6.1.ведом.21-22'!H557</f>
        <v>1629.37</v>
      </c>
    </row>
    <row r="201" spans="1:8" ht="47.25" x14ac:dyDescent="0.25">
      <c r="A201" s="29" t="s">
        <v>418</v>
      </c>
      <c r="B201" s="20" t="s">
        <v>1028</v>
      </c>
      <c r="C201" s="40" t="s">
        <v>279</v>
      </c>
      <c r="D201" s="40" t="s">
        <v>133</v>
      </c>
      <c r="E201" s="40" t="s">
        <v>290</v>
      </c>
      <c r="F201" s="40" t="s">
        <v>652</v>
      </c>
      <c r="G201" s="10">
        <f>G200</f>
        <v>1629.37</v>
      </c>
      <c r="H201" s="10">
        <f>H200</f>
        <v>1629.37</v>
      </c>
    </row>
    <row r="202" spans="1:8" ht="141.75" x14ac:dyDescent="0.25">
      <c r="A202" s="31" t="s">
        <v>436</v>
      </c>
      <c r="B202" s="20" t="s">
        <v>1027</v>
      </c>
      <c r="C202" s="40" t="s">
        <v>279</v>
      </c>
      <c r="D202" s="40" t="s">
        <v>133</v>
      </c>
      <c r="E202" s="40"/>
      <c r="F202" s="40"/>
      <c r="G202" s="6">
        <f>G203</f>
        <v>80735.399999999994</v>
      </c>
      <c r="H202" s="6">
        <f>H203</f>
        <v>80735.399999999994</v>
      </c>
    </row>
    <row r="203" spans="1:8" ht="63" x14ac:dyDescent="0.25">
      <c r="A203" s="25" t="s">
        <v>287</v>
      </c>
      <c r="B203" s="20" t="s">
        <v>1027</v>
      </c>
      <c r="C203" s="40" t="s">
        <v>279</v>
      </c>
      <c r="D203" s="40" t="s">
        <v>133</v>
      </c>
      <c r="E203" s="40" t="s">
        <v>288</v>
      </c>
      <c r="F203" s="40"/>
      <c r="G203" s="6">
        <f>G204</f>
        <v>80735.399999999994</v>
      </c>
      <c r="H203" s="6">
        <f>H204</f>
        <v>80735.399999999994</v>
      </c>
    </row>
    <row r="204" spans="1:8" ht="31.5" x14ac:dyDescent="0.25">
      <c r="A204" s="25" t="s">
        <v>289</v>
      </c>
      <c r="B204" s="20" t="s">
        <v>1027</v>
      </c>
      <c r="C204" s="40" t="s">
        <v>279</v>
      </c>
      <c r="D204" s="40" t="s">
        <v>133</v>
      </c>
      <c r="E204" s="40" t="s">
        <v>290</v>
      </c>
      <c r="F204" s="40"/>
      <c r="G204" s="6">
        <f>'пр.6.1.ведом.21-22'!G560</f>
        <v>80735.399999999994</v>
      </c>
      <c r="H204" s="6">
        <f>'пр.6.1.ведом.21-22'!H560</f>
        <v>80735.399999999994</v>
      </c>
    </row>
    <row r="205" spans="1:8" ht="47.25" x14ac:dyDescent="0.25">
      <c r="A205" s="29" t="s">
        <v>418</v>
      </c>
      <c r="B205" s="20" t="s">
        <v>1027</v>
      </c>
      <c r="C205" s="40" t="s">
        <v>279</v>
      </c>
      <c r="D205" s="40" t="s">
        <v>133</v>
      </c>
      <c r="E205" s="40" t="s">
        <v>290</v>
      </c>
      <c r="F205" s="40" t="s">
        <v>652</v>
      </c>
      <c r="G205" s="10">
        <f>G204</f>
        <v>80735.399999999994</v>
      </c>
      <c r="H205" s="10">
        <f>H204</f>
        <v>80735.399999999994</v>
      </c>
    </row>
    <row r="206" spans="1:8" ht="141.75" x14ac:dyDescent="0.25">
      <c r="A206" s="31" t="s">
        <v>308</v>
      </c>
      <c r="B206" s="20" t="s">
        <v>1029</v>
      </c>
      <c r="C206" s="40" t="s">
        <v>279</v>
      </c>
      <c r="D206" s="40" t="s">
        <v>133</v>
      </c>
      <c r="E206" s="40"/>
      <c r="F206" s="40"/>
      <c r="G206" s="6">
        <f>G207</f>
        <v>2916.07</v>
      </c>
      <c r="H206" s="6">
        <f>H207</f>
        <v>2916.07</v>
      </c>
    </row>
    <row r="207" spans="1:8" ht="63" x14ac:dyDescent="0.25">
      <c r="A207" s="25" t="s">
        <v>287</v>
      </c>
      <c r="B207" s="20" t="s">
        <v>1029</v>
      </c>
      <c r="C207" s="40" t="s">
        <v>279</v>
      </c>
      <c r="D207" s="40" t="s">
        <v>133</v>
      </c>
      <c r="E207" s="40" t="s">
        <v>288</v>
      </c>
      <c r="F207" s="40"/>
      <c r="G207" s="6">
        <f>G208</f>
        <v>2916.07</v>
      </c>
      <c r="H207" s="6">
        <f>H208</f>
        <v>2916.07</v>
      </c>
    </row>
    <row r="208" spans="1:8" ht="31.5" x14ac:dyDescent="0.25">
      <c r="A208" s="25" t="s">
        <v>289</v>
      </c>
      <c r="B208" s="20" t="s">
        <v>1029</v>
      </c>
      <c r="C208" s="40" t="s">
        <v>279</v>
      </c>
      <c r="D208" s="40" t="s">
        <v>133</v>
      </c>
      <c r="E208" s="40" t="s">
        <v>290</v>
      </c>
      <c r="F208" s="40"/>
      <c r="G208" s="6">
        <f>'пр.6.1.ведом.21-22'!G563</f>
        <v>2916.07</v>
      </c>
      <c r="H208" s="6">
        <f>'пр.6.1.ведом.21-22'!H563</f>
        <v>2916.07</v>
      </c>
    </row>
    <row r="209" spans="1:8" ht="47.25" x14ac:dyDescent="0.25">
      <c r="A209" s="29" t="s">
        <v>418</v>
      </c>
      <c r="B209" s="20" t="s">
        <v>1027</v>
      </c>
      <c r="C209" s="40" t="s">
        <v>279</v>
      </c>
      <c r="D209" s="40" t="s">
        <v>133</v>
      </c>
      <c r="E209" s="40" t="s">
        <v>290</v>
      </c>
      <c r="F209" s="40" t="s">
        <v>652</v>
      </c>
      <c r="G209" s="10">
        <f>G208</f>
        <v>2916.07</v>
      </c>
      <c r="H209" s="10">
        <f>H208</f>
        <v>2916.07</v>
      </c>
    </row>
    <row r="210" spans="1:8" ht="15.75" x14ac:dyDescent="0.25">
      <c r="A210" s="29" t="s">
        <v>440</v>
      </c>
      <c r="B210" s="40" t="s">
        <v>1026</v>
      </c>
      <c r="C210" s="40" t="s">
        <v>279</v>
      </c>
      <c r="D210" s="40" t="s">
        <v>228</v>
      </c>
      <c r="E210" s="40"/>
      <c r="F210" s="40"/>
      <c r="G210" s="10">
        <f>G211+G215+G219+G223+G227</f>
        <v>152436.77999999997</v>
      </c>
      <c r="H210" s="10">
        <f>H211+H215+H219+H223+H227</f>
        <v>152436.77999999997</v>
      </c>
    </row>
    <row r="211" spans="1:8" ht="126" x14ac:dyDescent="0.25">
      <c r="A211" s="31" t="s">
        <v>475</v>
      </c>
      <c r="B211" s="20" t="s">
        <v>1054</v>
      </c>
      <c r="C211" s="40" t="s">
        <v>279</v>
      </c>
      <c r="D211" s="40" t="s">
        <v>228</v>
      </c>
      <c r="E211" s="40"/>
      <c r="F211" s="40"/>
      <c r="G211" s="6">
        <f>G212</f>
        <v>143160</v>
      </c>
      <c r="H211" s="6">
        <f>H212</f>
        <v>143160</v>
      </c>
    </row>
    <row r="212" spans="1:8" ht="63" x14ac:dyDescent="0.25">
      <c r="A212" s="25" t="s">
        <v>287</v>
      </c>
      <c r="B212" s="20" t="s">
        <v>1054</v>
      </c>
      <c r="C212" s="40" t="s">
        <v>279</v>
      </c>
      <c r="D212" s="40" t="s">
        <v>228</v>
      </c>
      <c r="E212" s="40" t="s">
        <v>288</v>
      </c>
      <c r="F212" s="40"/>
      <c r="G212" s="6">
        <f>G213</f>
        <v>143160</v>
      </c>
      <c r="H212" s="6">
        <f>H213</f>
        <v>143160</v>
      </c>
    </row>
    <row r="213" spans="1:8" ht="31.5" x14ac:dyDescent="0.25">
      <c r="A213" s="25" t="s">
        <v>289</v>
      </c>
      <c r="B213" s="20" t="s">
        <v>1054</v>
      </c>
      <c r="C213" s="40" t="s">
        <v>279</v>
      </c>
      <c r="D213" s="40" t="s">
        <v>228</v>
      </c>
      <c r="E213" s="40" t="s">
        <v>290</v>
      </c>
      <c r="F213" s="40"/>
      <c r="G213" s="6">
        <f>'пр.6.1.ведом.21-22'!G625</f>
        <v>143160</v>
      </c>
      <c r="H213" s="6">
        <f>'пр.6.1.ведом.21-22'!H625</f>
        <v>143160</v>
      </c>
    </row>
    <row r="214" spans="1:8" ht="47.25" x14ac:dyDescent="0.25">
      <c r="A214" s="29" t="s">
        <v>418</v>
      </c>
      <c r="B214" s="20" t="s">
        <v>1054</v>
      </c>
      <c r="C214" s="40" t="s">
        <v>279</v>
      </c>
      <c r="D214" s="40" t="s">
        <v>228</v>
      </c>
      <c r="E214" s="40" t="s">
        <v>290</v>
      </c>
      <c r="F214" s="40" t="s">
        <v>652</v>
      </c>
      <c r="G214" s="10">
        <f>G213</f>
        <v>143160</v>
      </c>
      <c r="H214" s="10">
        <f>H213</f>
        <v>143160</v>
      </c>
    </row>
    <row r="215" spans="1:8" ht="94.5" x14ac:dyDescent="0.25">
      <c r="A215" s="31" t="s">
        <v>304</v>
      </c>
      <c r="B215" s="20" t="s">
        <v>1025</v>
      </c>
      <c r="C215" s="40" t="s">
        <v>279</v>
      </c>
      <c r="D215" s="40" t="s">
        <v>228</v>
      </c>
      <c r="E215" s="40"/>
      <c r="F215" s="40"/>
      <c r="G215" s="6">
        <f>G216</f>
        <v>1245.6099999999999</v>
      </c>
      <c r="H215" s="6">
        <f>H216</f>
        <v>1245.6099999999999</v>
      </c>
    </row>
    <row r="216" spans="1:8" ht="63" x14ac:dyDescent="0.25">
      <c r="A216" s="25" t="s">
        <v>287</v>
      </c>
      <c r="B216" s="20" t="s">
        <v>1025</v>
      </c>
      <c r="C216" s="40" t="s">
        <v>279</v>
      </c>
      <c r="D216" s="40" t="s">
        <v>228</v>
      </c>
      <c r="E216" s="40" t="s">
        <v>288</v>
      </c>
      <c r="F216" s="40"/>
      <c r="G216" s="6">
        <f>G217</f>
        <v>1245.6099999999999</v>
      </c>
      <c r="H216" s="6">
        <f>H217</f>
        <v>1245.6099999999999</v>
      </c>
    </row>
    <row r="217" spans="1:8" ht="31.5" x14ac:dyDescent="0.25">
      <c r="A217" s="25" t="s">
        <v>289</v>
      </c>
      <c r="B217" s="20" t="s">
        <v>1025</v>
      </c>
      <c r="C217" s="40" t="s">
        <v>279</v>
      </c>
      <c r="D217" s="40" t="s">
        <v>228</v>
      </c>
      <c r="E217" s="40" t="s">
        <v>290</v>
      </c>
      <c r="F217" s="40"/>
      <c r="G217" s="6">
        <f>'пр.6.1.ведом.21-22'!G628</f>
        <v>1245.6099999999999</v>
      </c>
      <c r="H217" s="6">
        <f>'пр.6.1.ведом.21-22'!H628</f>
        <v>1245.6099999999999</v>
      </c>
    </row>
    <row r="218" spans="1:8" ht="47.25" x14ac:dyDescent="0.25">
      <c r="A218" s="29" t="s">
        <v>418</v>
      </c>
      <c r="B218" s="20" t="s">
        <v>1025</v>
      </c>
      <c r="C218" s="40" t="s">
        <v>279</v>
      </c>
      <c r="D218" s="40" t="s">
        <v>228</v>
      </c>
      <c r="E218" s="40" t="s">
        <v>290</v>
      </c>
      <c r="F218" s="40" t="s">
        <v>652</v>
      </c>
      <c r="G218" s="10">
        <f>G217</f>
        <v>1245.6099999999999</v>
      </c>
      <c r="H218" s="10">
        <f>H217</f>
        <v>1245.6099999999999</v>
      </c>
    </row>
    <row r="219" spans="1:8" ht="94.5" x14ac:dyDescent="0.25">
      <c r="A219" s="31" t="s">
        <v>306</v>
      </c>
      <c r="B219" s="20" t="s">
        <v>1028</v>
      </c>
      <c r="C219" s="40" t="s">
        <v>279</v>
      </c>
      <c r="D219" s="40" t="s">
        <v>228</v>
      </c>
      <c r="E219" s="40"/>
      <c r="F219" s="40"/>
      <c r="G219" s="6">
        <f>G220</f>
        <v>2266.7199999999998</v>
      </c>
      <c r="H219" s="6">
        <f>H220</f>
        <v>2266.7199999999998</v>
      </c>
    </row>
    <row r="220" spans="1:8" ht="63" x14ac:dyDescent="0.25">
      <c r="A220" s="25" t="s">
        <v>287</v>
      </c>
      <c r="B220" s="20" t="s">
        <v>1028</v>
      </c>
      <c r="C220" s="40" t="s">
        <v>279</v>
      </c>
      <c r="D220" s="40" t="s">
        <v>228</v>
      </c>
      <c r="E220" s="40" t="s">
        <v>288</v>
      </c>
      <c r="F220" s="40"/>
      <c r="G220" s="6">
        <f>G221</f>
        <v>2266.7199999999998</v>
      </c>
      <c r="H220" s="6">
        <f>H221</f>
        <v>2266.7199999999998</v>
      </c>
    </row>
    <row r="221" spans="1:8" ht="31.5" x14ac:dyDescent="0.25">
      <c r="A221" s="25" t="s">
        <v>289</v>
      </c>
      <c r="B221" s="20" t="s">
        <v>1028</v>
      </c>
      <c r="C221" s="40" t="s">
        <v>279</v>
      </c>
      <c r="D221" s="40" t="s">
        <v>228</v>
      </c>
      <c r="E221" s="40" t="s">
        <v>290</v>
      </c>
      <c r="F221" s="40"/>
      <c r="G221" s="6">
        <f>'пр.6.1.ведом.21-22'!G631</f>
        <v>2266.7199999999998</v>
      </c>
      <c r="H221" s="6">
        <f>'пр.6.1.ведом.21-22'!H631</f>
        <v>2266.7199999999998</v>
      </c>
    </row>
    <row r="222" spans="1:8" ht="47.25" x14ac:dyDescent="0.25">
      <c r="A222" s="29" t="s">
        <v>418</v>
      </c>
      <c r="B222" s="20" t="s">
        <v>1028</v>
      </c>
      <c r="C222" s="40" t="s">
        <v>279</v>
      </c>
      <c r="D222" s="40" t="s">
        <v>228</v>
      </c>
      <c r="E222" s="40" t="s">
        <v>290</v>
      </c>
      <c r="F222" s="40" t="s">
        <v>652</v>
      </c>
      <c r="G222" s="10">
        <f>G221</f>
        <v>2266.7199999999998</v>
      </c>
      <c r="H222" s="10">
        <f>H221</f>
        <v>2266.7199999999998</v>
      </c>
    </row>
    <row r="223" spans="1:8" ht="78.75" x14ac:dyDescent="0.25">
      <c r="A223" s="31" t="s">
        <v>477</v>
      </c>
      <c r="B223" s="20" t="s">
        <v>1055</v>
      </c>
      <c r="C223" s="40" t="s">
        <v>279</v>
      </c>
      <c r="D223" s="40" t="s">
        <v>228</v>
      </c>
      <c r="E223" s="40"/>
      <c r="F223" s="40"/>
      <c r="G223" s="6">
        <f>G224</f>
        <v>923.4</v>
      </c>
      <c r="H223" s="6">
        <f>H224</f>
        <v>923.4</v>
      </c>
    </row>
    <row r="224" spans="1:8" ht="63" x14ac:dyDescent="0.25">
      <c r="A224" s="25" t="s">
        <v>287</v>
      </c>
      <c r="B224" s="20" t="s">
        <v>1055</v>
      </c>
      <c r="C224" s="40" t="s">
        <v>279</v>
      </c>
      <c r="D224" s="40" t="s">
        <v>228</v>
      </c>
      <c r="E224" s="40" t="s">
        <v>288</v>
      </c>
      <c r="F224" s="40"/>
      <c r="G224" s="6">
        <f>G225</f>
        <v>923.4</v>
      </c>
      <c r="H224" s="6">
        <f>H225</f>
        <v>923.4</v>
      </c>
    </row>
    <row r="225" spans="1:8" ht="31.5" x14ac:dyDescent="0.25">
      <c r="A225" s="25" t="s">
        <v>289</v>
      </c>
      <c r="B225" s="20" t="s">
        <v>1055</v>
      </c>
      <c r="C225" s="40" t="s">
        <v>279</v>
      </c>
      <c r="D225" s="40" t="s">
        <v>228</v>
      </c>
      <c r="E225" s="40" t="s">
        <v>290</v>
      </c>
      <c r="F225" s="40"/>
      <c r="G225" s="6">
        <f>'пр.6.1.ведом.21-22'!G634</f>
        <v>923.4</v>
      </c>
      <c r="H225" s="6">
        <f>'пр.6.1.ведом.21-22'!H634</f>
        <v>923.4</v>
      </c>
    </row>
    <row r="226" spans="1:8" ht="47.25" x14ac:dyDescent="0.25">
      <c r="A226" s="29" t="s">
        <v>418</v>
      </c>
      <c r="B226" s="20" t="s">
        <v>1055</v>
      </c>
      <c r="C226" s="40" t="s">
        <v>279</v>
      </c>
      <c r="D226" s="40" t="s">
        <v>228</v>
      </c>
      <c r="E226" s="40" t="s">
        <v>290</v>
      </c>
      <c r="F226" s="40" t="s">
        <v>652</v>
      </c>
      <c r="G226" s="10">
        <f>G225</f>
        <v>923.4</v>
      </c>
      <c r="H226" s="10">
        <f>H225</f>
        <v>923.4</v>
      </c>
    </row>
    <row r="227" spans="1:8" ht="141.75" x14ac:dyDescent="0.25">
      <c r="A227" s="31" t="s">
        <v>479</v>
      </c>
      <c r="B227" s="20" t="s">
        <v>1029</v>
      </c>
      <c r="C227" s="40" t="s">
        <v>279</v>
      </c>
      <c r="D227" s="40" t="s">
        <v>228</v>
      </c>
      <c r="E227" s="40"/>
      <c r="F227" s="40"/>
      <c r="G227" s="6">
        <f>G228</f>
        <v>4841.0499999999993</v>
      </c>
      <c r="H227" s="6">
        <f>H228</f>
        <v>4841.0499999999993</v>
      </c>
    </row>
    <row r="228" spans="1:8" ht="63" x14ac:dyDescent="0.25">
      <c r="A228" s="25" t="s">
        <v>287</v>
      </c>
      <c r="B228" s="20" t="s">
        <v>1029</v>
      </c>
      <c r="C228" s="40" t="s">
        <v>279</v>
      </c>
      <c r="D228" s="40" t="s">
        <v>228</v>
      </c>
      <c r="E228" s="40" t="s">
        <v>288</v>
      </c>
      <c r="F228" s="40"/>
      <c r="G228" s="6">
        <f>G229</f>
        <v>4841.0499999999993</v>
      </c>
      <c r="H228" s="6">
        <f>H229</f>
        <v>4841.0499999999993</v>
      </c>
    </row>
    <row r="229" spans="1:8" ht="31.5" x14ac:dyDescent="0.25">
      <c r="A229" s="25" t="s">
        <v>289</v>
      </c>
      <c r="B229" s="20" t="s">
        <v>1029</v>
      </c>
      <c r="C229" s="40" t="s">
        <v>279</v>
      </c>
      <c r="D229" s="40" t="s">
        <v>228</v>
      </c>
      <c r="E229" s="40" t="s">
        <v>290</v>
      </c>
      <c r="F229" s="40"/>
      <c r="G229" s="6">
        <f>'пр.6.1.ведом.21-22'!G637</f>
        <v>4841.0499999999993</v>
      </c>
      <c r="H229" s="6">
        <f>'пр.6.1.ведом.21-22'!H637</f>
        <v>4841.0499999999993</v>
      </c>
    </row>
    <row r="230" spans="1:8" ht="47.25" x14ac:dyDescent="0.25">
      <c r="A230" s="29" t="s">
        <v>418</v>
      </c>
      <c r="B230" s="20" t="s">
        <v>1029</v>
      </c>
      <c r="C230" s="40" t="s">
        <v>279</v>
      </c>
      <c r="D230" s="40" t="s">
        <v>228</v>
      </c>
      <c r="E230" s="40" t="s">
        <v>290</v>
      </c>
      <c r="F230" s="40" t="s">
        <v>652</v>
      </c>
      <c r="G230" s="10">
        <f>G229</f>
        <v>4841.0499999999993</v>
      </c>
      <c r="H230" s="10">
        <f>H229</f>
        <v>4841.0499999999993</v>
      </c>
    </row>
    <row r="231" spans="1:8" ht="31.5" x14ac:dyDescent="0.25">
      <c r="A231" s="29" t="s">
        <v>280</v>
      </c>
      <c r="B231" s="40" t="s">
        <v>1026</v>
      </c>
      <c r="C231" s="40" t="s">
        <v>279</v>
      </c>
      <c r="D231" s="40" t="s">
        <v>230</v>
      </c>
      <c r="E231" s="40"/>
      <c r="F231" s="40"/>
      <c r="G231" s="6">
        <f>G232+G236+G240</f>
        <v>1622.1399999999999</v>
      </c>
      <c r="H231" s="6">
        <f>H232+H236+H240</f>
        <v>1622.1399999999999</v>
      </c>
    </row>
    <row r="232" spans="1:8" ht="94.5" x14ac:dyDescent="0.25">
      <c r="A232" s="31" t="s">
        <v>304</v>
      </c>
      <c r="B232" s="20" t="s">
        <v>1025</v>
      </c>
      <c r="C232" s="40" t="s">
        <v>279</v>
      </c>
      <c r="D232" s="40" t="s">
        <v>230</v>
      </c>
      <c r="E232" s="40"/>
      <c r="F232" s="40"/>
      <c r="G232" s="6">
        <f>G233</f>
        <v>169.28</v>
      </c>
      <c r="H232" s="6">
        <f>H233</f>
        <v>169.28</v>
      </c>
    </row>
    <row r="233" spans="1:8" ht="63" x14ac:dyDescent="0.25">
      <c r="A233" s="25" t="s">
        <v>287</v>
      </c>
      <c r="B233" s="20" t="s">
        <v>1025</v>
      </c>
      <c r="C233" s="40" t="s">
        <v>279</v>
      </c>
      <c r="D233" s="40" t="s">
        <v>230</v>
      </c>
      <c r="E233" s="40" t="s">
        <v>288</v>
      </c>
      <c r="F233" s="40"/>
      <c r="G233" s="6">
        <f>G234</f>
        <v>169.28</v>
      </c>
      <c r="H233" s="6">
        <f>H234</f>
        <v>169.28</v>
      </c>
    </row>
    <row r="234" spans="1:8" ht="31.5" x14ac:dyDescent="0.25">
      <c r="A234" s="25" t="s">
        <v>289</v>
      </c>
      <c r="B234" s="20" t="s">
        <v>1025</v>
      </c>
      <c r="C234" s="40" t="s">
        <v>279</v>
      </c>
      <c r="D234" s="40" t="s">
        <v>230</v>
      </c>
      <c r="E234" s="40" t="s">
        <v>290</v>
      </c>
      <c r="F234" s="40"/>
      <c r="G234" s="6">
        <f>'пр.6.1.ведом.21-22'!G697</f>
        <v>169.28</v>
      </c>
      <c r="H234" s="6">
        <f>'пр.6.1.ведом.21-22'!H697</f>
        <v>169.28</v>
      </c>
    </row>
    <row r="235" spans="1:8" ht="47.25" x14ac:dyDescent="0.25">
      <c r="A235" s="29" t="s">
        <v>418</v>
      </c>
      <c r="B235" s="20" t="s">
        <v>1025</v>
      </c>
      <c r="C235" s="40" t="s">
        <v>279</v>
      </c>
      <c r="D235" s="40" t="s">
        <v>230</v>
      </c>
      <c r="E235" s="40" t="s">
        <v>290</v>
      </c>
      <c r="F235" s="40" t="s">
        <v>652</v>
      </c>
      <c r="G235" s="10">
        <f>G234</f>
        <v>169.28</v>
      </c>
      <c r="H235" s="10">
        <f>H234</f>
        <v>169.28</v>
      </c>
    </row>
    <row r="236" spans="1:8" ht="94.5" x14ac:dyDescent="0.25">
      <c r="A236" s="31" t="s">
        <v>306</v>
      </c>
      <c r="B236" s="20" t="s">
        <v>1028</v>
      </c>
      <c r="C236" s="40" t="s">
        <v>279</v>
      </c>
      <c r="D236" s="40" t="s">
        <v>230</v>
      </c>
      <c r="E236" s="40"/>
      <c r="F236" s="40"/>
      <c r="G236" s="6">
        <f>G237</f>
        <v>549.46</v>
      </c>
      <c r="H236" s="6">
        <f>H237</f>
        <v>549.46</v>
      </c>
    </row>
    <row r="237" spans="1:8" ht="63" x14ac:dyDescent="0.25">
      <c r="A237" s="25" t="s">
        <v>287</v>
      </c>
      <c r="B237" s="20" t="s">
        <v>1028</v>
      </c>
      <c r="C237" s="40" t="s">
        <v>279</v>
      </c>
      <c r="D237" s="40" t="s">
        <v>230</v>
      </c>
      <c r="E237" s="40" t="s">
        <v>288</v>
      </c>
      <c r="F237" s="40"/>
      <c r="G237" s="6">
        <f>G238</f>
        <v>549.46</v>
      </c>
      <c r="H237" s="6">
        <f>H238</f>
        <v>549.46</v>
      </c>
    </row>
    <row r="238" spans="1:8" ht="31.5" x14ac:dyDescent="0.25">
      <c r="A238" s="25" t="s">
        <v>289</v>
      </c>
      <c r="B238" s="20" t="s">
        <v>1028</v>
      </c>
      <c r="C238" s="40" t="s">
        <v>279</v>
      </c>
      <c r="D238" s="40" t="s">
        <v>230</v>
      </c>
      <c r="E238" s="40" t="s">
        <v>290</v>
      </c>
      <c r="F238" s="40"/>
      <c r="G238" s="6">
        <f>'пр.6.1.ведом.21-22'!G700</f>
        <v>549.46</v>
      </c>
      <c r="H238" s="6">
        <f>'пр.6.1.ведом.21-22'!H700</f>
        <v>549.46</v>
      </c>
    </row>
    <row r="239" spans="1:8" ht="47.25" x14ac:dyDescent="0.25">
      <c r="A239" s="29" t="s">
        <v>418</v>
      </c>
      <c r="B239" s="20" t="s">
        <v>1028</v>
      </c>
      <c r="C239" s="40" t="s">
        <v>279</v>
      </c>
      <c r="D239" s="40" t="s">
        <v>230</v>
      </c>
      <c r="E239" s="40" t="s">
        <v>290</v>
      </c>
      <c r="F239" s="40" t="s">
        <v>652</v>
      </c>
      <c r="G239" s="10">
        <f>G238</f>
        <v>549.46</v>
      </c>
      <c r="H239" s="10">
        <f>H238</f>
        <v>549.46</v>
      </c>
    </row>
    <row r="240" spans="1:8" ht="141.75" x14ac:dyDescent="0.25">
      <c r="A240" s="31" t="s">
        <v>308</v>
      </c>
      <c r="B240" s="20" t="s">
        <v>1029</v>
      </c>
      <c r="C240" s="40" t="s">
        <v>279</v>
      </c>
      <c r="D240" s="40" t="s">
        <v>230</v>
      </c>
      <c r="E240" s="40"/>
      <c r="F240" s="40"/>
      <c r="G240" s="6">
        <f>G241</f>
        <v>903.4</v>
      </c>
      <c r="H240" s="6">
        <f>H241</f>
        <v>903.4</v>
      </c>
    </row>
    <row r="241" spans="1:8" ht="63" x14ac:dyDescent="0.25">
      <c r="A241" s="25" t="s">
        <v>287</v>
      </c>
      <c r="B241" s="20" t="s">
        <v>1029</v>
      </c>
      <c r="C241" s="40" t="s">
        <v>279</v>
      </c>
      <c r="D241" s="40" t="s">
        <v>230</v>
      </c>
      <c r="E241" s="40" t="s">
        <v>288</v>
      </c>
      <c r="F241" s="40"/>
      <c r="G241" s="6">
        <f>G242</f>
        <v>903.4</v>
      </c>
      <c r="H241" s="6">
        <f>H242</f>
        <v>903.4</v>
      </c>
    </row>
    <row r="242" spans="1:8" ht="31.5" x14ac:dyDescent="0.25">
      <c r="A242" s="25" t="s">
        <v>289</v>
      </c>
      <c r="B242" s="20" t="s">
        <v>1029</v>
      </c>
      <c r="C242" s="40" t="s">
        <v>279</v>
      </c>
      <c r="D242" s="40" t="s">
        <v>230</v>
      </c>
      <c r="E242" s="40" t="s">
        <v>290</v>
      </c>
      <c r="F242" s="40"/>
      <c r="G242" s="6">
        <f>'пр.6.1.ведом.21-22'!G703</f>
        <v>903.4</v>
      </c>
      <c r="H242" s="6">
        <f>'пр.6.1.ведом.21-22'!H703</f>
        <v>903.4</v>
      </c>
    </row>
    <row r="243" spans="1:8" ht="47.25" x14ac:dyDescent="0.25">
      <c r="A243" s="29" t="s">
        <v>418</v>
      </c>
      <c r="B243" s="20" t="s">
        <v>1029</v>
      </c>
      <c r="C243" s="40" t="s">
        <v>279</v>
      </c>
      <c r="D243" s="40" t="s">
        <v>230</v>
      </c>
      <c r="E243" s="40" t="s">
        <v>290</v>
      </c>
      <c r="F243" s="40" t="s">
        <v>652</v>
      </c>
      <c r="G243" s="10">
        <f>G242</f>
        <v>903.4</v>
      </c>
      <c r="H243" s="10">
        <f>H242</f>
        <v>903.4</v>
      </c>
    </row>
    <row r="244" spans="1:8" ht="63" x14ac:dyDescent="0.25">
      <c r="A244" s="41" t="s">
        <v>426</v>
      </c>
      <c r="B244" s="7" t="s">
        <v>427</v>
      </c>
      <c r="C244" s="7"/>
      <c r="D244" s="7"/>
      <c r="E244" s="7"/>
      <c r="F244" s="7"/>
      <c r="G244" s="59">
        <f>G245+G260+G275+G286</f>
        <v>10997.7</v>
      </c>
      <c r="H244" s="59">
        <f>H245+H260+H275+H286</f>
        <v>10997.7</v>
      </c>
    </row>
    <row r="245" spans="1:8" ht="47.25" x14ac:dyDescent="0.25">
      <c r="A245" s="23" t="s">
        <v>1012</v>
      </c>
      <c r="B245" s="24" t="s">
        <v>1013</v>
      </c>
      <c r="C245" s="7"/>
      <c r="D245" s="7"/>
      <c r="E245" s="7"/>
      <c r="F245" s="7"/>
      <c r="G245" s="59">
        <f>G246</f>
        <v>4430</v>
      </c>
      <c r="H245" s="59">
        <f>H246</f>
        <v>4430</v>
      </c>
    </row>
    <row r="246" spans="1:8" ht="15.75" x14ac:dyDescent="0.25">
      <c r="A246" s="29" t="s">
        <v>278</v>
      </c>
      <c r="B246" s="40" t="s">
        <v>1013</v>
      </c>
      <c r="C246" s="40" t="s">
        <v>279</v>
      </c>
      <c r="D246" s="40"/>
      <c r="E246" s="40"/>
      <c r="F246" s="40"/>
      <c r="G246" s="10">
        <f t="shared" ref="G246:H246" si="31">G247</f>
        <v>4430</v>
      </c>
      <c r="H246" s="10">
        <f t="shared" si="31"/>
        <v>4430</v>
      </c>
    </row>
    <row r="247" spans="1:8" ht="15.75" x14ac:dyDescent="0.25">
      <c r="A247" s="45" t="s">
        <v>419</v>
      </c>
      <c r="B247" s="40" t="s">
        <v>1013</v>
      </c>
      <c r="C247" s="40" t="s">
        <v>279</v>
      </c>
      <c r="D247" s="40" t="s">
        <v>133</v>
      </c>
      <c r="E247" s="40"/>
      <c r="F247" s="40"/>
      <c r="G247" s="10">
        <f>G248+G252+G256</f>
        <v>4430</v>
      </c>
      <c r="H247" s="10">
        <f>H248+H252+H256</f>
        <v>4430</v>
      </c>
    </row>
    <row r="248" spans="1:8" ht="63" hidden="1" x14ac:dyDescent="0.25">
      <c r="A248" s="29" t="s">
        <v>293</v>
      </c>
      <c r="B248" s="20" t="s">
        <v>1014</v>
      </c>
      <c r="C248" s="40" t="s">
        <v>279</v>
      </c>
      <c r="D248" s="40" t="s">
        <v>133</v>
      </c>
      <c r="E248" s="40"/>
      <c r="F248" s="40"/>
      <c r="G248" s="10">
        <f t="shared" ref="G248:H249" si="32">G249</f>
        <v>0</v>
      </c>
      <c r="H248" s="10">
        <f t="shared" si="32"/>
        <v>0</v>
      </c>
    </row>
    <row r="249" spans="1:8" ht="63" hidden="1" x14ac:dyDescent="0.25">
      <c r="A249" s="29" t="s">
        <v>287</v>
      </c>
      <c r="B249" s="20" t="s">
        <v>1014</v>
      </c>
      <c r="C249" s="40" t="s">
        <v>279</v>
      </c>
      <c r="D249" s="40" t="s">
        <v>133</v>
      </c>
      <c r="E249" s="40" t="s">
        <v>288</v>
      </c>
      <c r="F249" s="40"/>
      <c r="G249" s="10">
        <f t="shared" si="32"/>
        <v>0</v>
      </c>
      <c r="H249" s="10">
        <f t="shared" si="32"/>
        <v>0</v>
      </c>
    </row>
    <row r="250" spans="1:8" ht="31.5" hidden="1" x14ac:dyDescent="0.25">
      <c r="A250" s="29" t="s">
        <v>289</v>
      </c>
      <c r="B250" s="20" t="s">
        <v>1014</v>
      </c>
      <c r="C250" s="40" t="s">
        <v>279</v>
      </c>
      <c r="D250" s="40" t="s">
        <v>133</v>
      </c>
      <c r="E250" s="40" t="s">
        <v>290</v>
      </c>
      <c r="F250" s="40"/>
      <c r="G250" s="10">
        <f>'пр.6.1.ведом.21-22'!G568</f>
        <v>0</v>
      </c>
      <c r="H250" s="10">
        <f>'пр.6.1.ведом.21-22'!H568</f>
        <v>0</v>
      </c>
    </row>
    <row r="251" spans="1:8" ht="47.25" hidden="1" x14ac:dyDescent="0.25">
      <c r="A251" s="29" t="s">
        <v>418</v>
      </c>
      <c r="B251" s="20" t="s">
        <v>1014</v>
      </c>
      <c r="C251" s="40" t="s">
        <v>279</v>
      </c>
      <c r="D251" s="40" t="s">
        <v>133</v>
      </c>
      <c r="E251" s="40" t="s">
        <v>290</v>
      </c>
      <c r="F251" s="40" t="s">
        <v>652</v>
      </c>
      <c r="G251" s="10">
        <f>G250</f>
        <v>0</v>
      </c>
      <c r="H251" s="10">
        <f>H250</f>
        <v>0</v>
      </c>
    </row>
    <row r="252" spans="1:8" ht="47.25" hidden="1" x14ac:dyDescent="0.25">
      <c r="A252" s="29" t="s">
        <v>295</v>
      </c>
      <c r="B252" s="20" t="s">
        <v>1015</v>
      </c>
      <c r="C252" s="40" t="s">
        <v>279</v>
      </c>
      <c r="D252" s="40" t="s">
        <v>133</v>
      </c>
      <c r="E252" s="40"/>
      <c r="F252" s="40"/>
      <c r="G252" s="10">
        <f t="shared" ref="G252:H253" si="33">G253</f>
        <v>0</v>
      </c>
      <c r="H252" s="10">
        <f t="shared" si="33"/>
        <v>0</v>
      </c>
    </row>
    <row r="253" spans="1:8" ht="63" hidden="1" x14ac:dyDescent="0.25">
      <c r="A253" s="29" t="s">
        <v>287</v>
      </c>
      <c r="B253" s="20" t="s">
        <v>1015</v>
      </c>
      <c r="C253" s="40" t="s">
        <v>279</v>
      </c>
      <c r="D253" s="40" t="s">
        <v>133</v>
      </c>
      <c r="E253" s="40" t="s">
        <v>288</v>
      </c>
      <c r="F253" s="40"/>
      <c r="G253" s="10">
        <f t="shared" si="33"/>
        <v>0</v>
      </c>
      <c r="H253" s="10">
        <f t="shared" si="33"/>
        <v>0</v>
      </c>
    </row>
    <row r="254" spans="1:8" ht="31.5" hidden="1" x14ac:dyDescent="0.25">
      <c r="A254" s="29" t="s">
        <v>289</v>
      </c>
      <c r="B254" s="20" t="s">
        <v>1015</v>
      </c>
      <c r="C254" s="40" t="s">
        <v>279</v>
      </c>
      <c r="D254" s="40" t="s">
        <v>133</v>
      </c>
      <c r="E254" s="40" t="s">
        <v>290</v>
      </c>
      <c r="F254" s="40"/>
      <c r="G254" s="10">
        <f>'пр.6.1.ведом.21-22'!G571</f>
        <v>0</v>
      </c>
      <c r="H254" s="10">
        <f>'пр.6.1.ведом.21-22'!H571</f>
        <v>0</v>
      </c>
    </row>
    <row r="255" spans="1:8" ht="47.25" hidden="1" x14ac:dyDescent="0.25">
      <c r="A255" s="29" t="s">
        <v>418</v>
      </c>
      <c r="B255" s="20" t="s">
        <v>1015</v>
      </c>
      <c r="C255" s="40" t="s">
        <v>279</v>
      </c>
      <c r="D255" s="40" t="s">
        <v>133</v>
      </c>
      <c r="E255" s="40" t="s">
        <v>290</v>
      </c>
      <c r="F255" s="40" t="s">
        <v>652</v>
      </c>
      <c r="G255" s="10">
        <f>G254</f>
        <v>0</v>
      </c>
      <c r="H255" s="10">
        <f>H254</f>
        <v>0</v>
      </c>
    </row>
    <row r="256" spans="1:8" ht="63" x14ac:dyDescent="0.25">
      <c r="A256" s="29" t="s">
        <v>430</v>
      </c>
      <c r="B256" s="20" t="s">
        <v>1016</v>
      </c>
      <c r="C256" s="40" t="s">
        <v>279</v>
      </c>
      <c r="D256" s="40" t="s">
        <v>133</v>
      </c>
      <c r="E256" s="40"/>
      <c r="F256" s="40"/>
      <c r="G256" s="10">
        <f t="shared" ref="G256:H257" si="34">G257</f>
        <v>4430</v>
      </c>
      <c r="H256" s="10">
        <f t="shared" si="34"/>
        <v>4430</v>
      </c>
    </row>
    <row r="257" spans="1:8" ht="63" x14ac:dyDescent="0.25">
      <c r="A257" s="29" t="s">
        <v>287</v>
      </c>
      <c r="B257" s="20" t="s">
        <v>1016</v>
      </c>
      <c r="C257" s="40" t="s">
        <v>279</v>
      </c>
      <c r="D257" s="40" t="s">
        <v>133</v>
      </c>
      <c r="E257" s="40" t="s">
        <v>288</v>
      </c>
      <c r="F257" s="40"/>
      <c r="G257" s="10">
        <f t="shared" si="34"/>
        <v>4430</v>
      </c>
      <c r="H257" s="10">
        <f t="shared" si="34"/>
        <v>4430</v>
      </c>
    </row>
    <row r="258" spans="1:8" ht="31.5" x14ac:dyDescent="0.25">
      <c r="A258" s="29" t="s">
        <v>289</v>
      </c>
      <c r="B258" s="20" t="s">
        <v>1016</v>
      </c>
      <c r="C258" s="40" t="s">
        <v>279</v>
      </c>
      <c r="D258" s="40" t="s">
        <v>133</v>
      </c>
      <c r="E258" s="40" t="s">
        <v>290</v>
      </c>
      <c r="F258" s="40"/>
      <c r="G258" s="6">
        <f>'пр.6.1.ведом.21-22'!G574</f>
        <v>4430</v>
      </c>
      <c r="H258" s="6">
        <f>'пр.6.1.ведом.21-22'!H574</f>
        <v>4430</v>
      </c>
    </row>
    <row r="259" spans="1:8" ht="47.25" x14ac:dyDescent="0.25">
      <c r="A259" s="29" t="s">
        <v>418</v>
      </c>
      <c r="B259" s="20" t="s">
        <v>1016</v>
      </c>
      <c r="C259" s="40" t="s">
        <v>279</v>
      </c>
      <c r="D259" s="40" t="s">
        <v>133</v>
      </c>
      <c r="E259" s="40" t="s">
        <v>290</v>
      </c>
      <c r="F259" s="40" t="s">
        <v>652</v>
      </c>
      <c r="G259" s="10">
        <f>G258</f>
        <v>4430</v>
      </c>
      <c r="H259" s="10">
        <f>H258</f>
        <v>4430</v>
      </c>
    </row>
    <row r="260" spans="1:8" ht="63" x14ac:dyDescent="0.25">
      <c r="A260" s="23" t="s">
        <v>1082</v>
      </c>
      <c r="B260" s="24" t="s">
        <v>1017</v>
      </c>
      <c r="C260" s="7"/>
      <c r="D260" s="7"/>
      <c r="E260" s="7"/>
      <c r="F260" s="7"/>
      <c r="G260" s="4">
        <f>G261</f>
        <v>4610</v>
      </c>
      <c r="H260" s="4">
        <f>H261</f>
        <v>4610</v>
      </c>
    </row>
    <row r="261" spans="1:8" ht="15.75" x14ac:dyDescent="0.25">
      <c r="A261" s="29" t="s">
        <v>278</v>
      </c>
      <c r="B261" s="40" t="s">
        <v>1017</v>
      </c>
      <c r="C261" s="40" t="s">
        <v>279</v>
      </c>
      <c r="D261" s="40"/>
      <c r="E261" s="40"/>
      <c r="F261" s="40"/>
      <c r="G261" s="10">
        <f t="shared" ref="G261:H261" si="35">G262</f>
        <v>4610</v>
      </c>
      <c r="H261" s="10">
        <f t="shared" si="35"/>
        <v>4610</v>
      </c>
    </row>
    <row r="262" spans="1:8" ht="15.75" x14ac:dyDescent="0.25">
      <c r="A262" s="45" t="s">
        <v>419</v>
      </c>
      <c r="B262" s="40" t="s">
        <v>1017</v>
      </c>
      <c r="C262" s="40" t="s">
        <v>279</v>
      </c>
      <c r="D262" s="40" t="s">
        <v>133</v>
      </c>
      <c r="E262" s="40"/>
      <c r="F262" s="40"/>
      <c r="G262" s="10">
        <f>G263+G267+G271</f>
        <v>4610</v>
      </c>
      <c r="H262" s="10">
        <f>H263+H267+H271</f>
        <v>4610</v>
      </c>
    </row>
    <row r="263" spans="1:8" ht="47.25" hidden="1" x14ac:dyDescent="0.25">
      <c r="A263" s="29" t="s">
        <v>299</v>
      </c>
      <c r="B263" s="20" t="s">
        <v>1018</v>
      </c>
      <c r="C263" s="40" t="s">
        <v>279</v>
      </c>
      <c r="D263" s="40" t="s">
        <v>133</v>
      </c>
      <c r="E263" s="40"/>
      <c r="F263" s="40"/>
      <c r="G263" s="10">
        <f t="shared" ref="G263:H264" si="36">G264</f>
        <v>0</v>
      </c>
      <c r="H263" s="10">
        <f t="shared" si="36"/>
        <v>0</v>
      </c>
    </row>
    <row r="264" spans="1:8" ht="63" hidden="1" x14ac:dyDescent="0.25">
      <c r="A264" s="29" t="s">
        <v>287</v>
      </c>
      <c r="B264" s="20" t="s">
        <v>1018</v>
      </c>
      <c r="C264" s="40" t="s">
        <v>279</v>
      </c>
      <c r="D264" s="40" t="s">
        <v>133</v>
      </c>
      <c r="E264" s="40" t="s">
        <v>288</v>
      </c>
      <c r="F264" s="40"/>
      <c r="G264" s="10">
        <f t="shared" si="36"/>
        <v>0</v>
      </c>
      <c r="H264" s="10">
        <f t="shared" si="36"/>
        <v>0</v>
      </c>
    </row>
    <row r="265" spans="1:8" ht="31.5" hidden="1" x14ac:dyDescent="0.25">
      <c r="A265" s="29" t="s">
        <v>289</v>
      </c>
      <c r="B265" s="20" t="s">
        <v>1018</v>
      </c>
      <c r="C265" s="40" t="s">
        <v>279</v>
      </c>
      <c r="D265" s="40" t="s">
        <v>133</v>
      </c>
      <c r="E265" s="40" t="s">
        <v>290</v>
      </c>
      <c r="F265" s="40"/>
      <c r="G265" s="10">
        <f>'пр.6.1.ведом.21-22'!G578</f>
        <v>0</v>
      </c>
      <c r="H265" s="10">
        <f>'пр.6.1.ведом.21-22'!H578</f>
        <v>0</v>
      </c>
    </row>
    <row r="266" spans="1:8" ht="47.25" hidden="1" x14ac:dyDescent="0.25">
      <c r="A266" s="29" t="s">
        <v>418</v>
      </c>
      <c r="B266" s="20" t="s">
        <v>1018</v>
      </c>
      <c r="C266" s="40" t="s">
        <v>279</v>
      </c>
      <c r="D266" s="40" t="s">
        <v>133</v>
      </c>
      <c r="E266" s="40" t="s">
        <v>290</v>
      </c>
      <c r="F266" s="40" t="s">
        <v>652</v>
      </c>
      <c r="G266" s="10">
        <f>G265</f>
        <v>0</v>
      </c>
      <c r="H266" s="10">
        <f>H265</f>
        <v>0</v>
      </c>
    </row>
    <row r="267" spans="1:8" ht="63" x14ac:dyDescent="0.25">
      <c r="A267" s="448" t="s">
        <v>786</v>
      </c>
      <c r="B267" s="20" t="s">
        <v>1019</v>
      </c>
      <c r="C267" s="20" t="s">
        <v>279</v>
      </c>
      <c r="D267" s="20" t="s">
        <v>133</v>
      </c>
      <c r="E267" s="20"/>
      <c r="F267" s="20"/>
      <c r="G267" s="10">
        <f t="shared" ref="G267:H268" si="37">G268</f>
        <v>2850</v>
      </c>
      <c r="H267" s="10">
        <f t="shared" si="37"/>
        <v>2850</v>
      </c>
    </row>
    <row r="268" spans="1:8" ht="63" x14ac:dyDescent="0.25">
      <c r="A268" s="29" t="s">
        <v>287</v>
      </c>
      <c r="B268" s="20" t="s">
        <v>1019</v>
      </c>
      <c r="C268" s="20" t="s">
        <v>279</v>
      </c>
      <c r="D268" s="20" t="s">
        <v>133</v>
      </c>
      <c r="E268" s="20" t="s">
        <v>288</v>
      </c>
      <c r="F268" s="20"/>
      <c r="G268" s="10">
        <f t="shared" si="37"/>
        <v>2850</v>
      </c>
      <c r="H268" s="10">
        <f t="shared" si="37"/>
        <v>2850</v>
      </c>
    </row>
    <row r="269" spans="1:8" ht="31.5" x14ac:dyDescent="0.25">
      <c r="A269" s="195" t="s">
        <v>289</v>
      </c>
      <c r="B269" s="20" t="s">
        <v>1019</v>
      </c>
      <c r="C269" s="20" t="s">
        <v>279</v>
      </c>
      <c r="D269" s="20" t="s">
        <v>133</v>
      </c>
      <c r="E269" s="20" t="s">
        <v>290</v>
      </c>
      <c r="F269" s="20"/>
      <c r="G269" s="10">
        <f>'пр.6.1.ведом.21-22'!G581</f>
        <v>2850</v>
      </c>
      <c r="H269" s="10">
        <f>'пр.6.1.ведом.21-22'!H581</f>
        <v>2850</v>
      </c>
    </row>
    <row r="270" spans="1:8" ht="47.25" x14ac:dyDescent="0.25">
      <c r="A270" s="29" t="s">
        <v>418</v>
      </c>
      <c r="B270" s="20" t="s">
        <v>1019</v>
      </c>
      <c r="C270" s="40" t="s">
        <v>279</v>
      </c>
      <c r="D270" s="40" t="s">
        <v>133</v>
      </c>
      <c r="E270" s="40" t="s">
        <v>290</v>
      </c>
      <c r="F270" s="40" t="s">
        <v>652</v>
      </c>
      <c r="G270" s="10">
        <f>G269</f>
        <v>2850</v>
      </c>
      <c r="H270" s="10">
        <f>H269</f>
        <v>2850</v>
      </c>
    </row>
    <row r="271" spans="1:8" ht="78.75" x14ac:dyDescent="0.25">
      <c r="A271" s="448" t="s">
        <v>787</v>
      </c>
      <c r="B271" s="20" t="s">
        <v>1020</v>
      </c>
      <c r="C271" s="20" t="s">
        <v>279</v>
      </c>
      <c r="D271" s="20" t="s">
        <v>133</v>
      </c>
      <c r="E271" s="20"/>
      <c r="F271" s="20"/>
      <c r="G271" s="10">
        <f t="shared" ref="G271:H272" si="38">G272</f>
        <v>1760</v>
      </c>
      <c r="H271" s="10">
        <f t="shared" si="38"/>
        <v>1760</v>
      </c>
    </row>
    <row r="272" spans="1:8" ht="63" x14ac:dyDescent="0.25">
      <c r="A272" s="29" t="s">
        <v>287</v>
      </c>
      <c r="B272" s="20" t="s">
        <v>1020</v>
      </c>
      <c r="C272" s="20" t="s">
        <v>279</v>
      </c>
      <c r="D272" s="20" t="s">
        <v>133</v>
      </c>
      <c r="E272" s="20" t="s">
        <v>288</v>
      </c>
      <c r="F272" s="20"/>
      <c r="G272" s="10">
        <f t="shared" si="38"/>
        <v>1760</v>
      </c>
      <c r="H272" s="10">
        <f t="shared" si="38"/>
        <v>1760</v>
      </c>
    </row>
    <row r="273" spans="1:8" ht="31.5" x14ac:dyDescent="0.25">
      <c r="A273" s="195" t="s">
        <v>289</v>
      </c>
      <c r="B273" s="20" t="s">
        <v>1020</v>
      </c>
      <c r="C273" s="20" t="s">
        <v>279</v>
      </c>
      <c r="D273" s="20" t="s">
        <v>133</v>
      </c>
      <c r="E273" s="20" t="s">
        <v>290</v>
      </c>
      <c r="F273" s="20"/>
      <c r="G273" s="10">
        <f>'пр.6.1.ведом.21-22'!G584</f>
        <v>1760</v>
      </c>
      <c r="H273" s="10">
        <f>'пр.6.1.ведом.21-22'!H584</f>
        <v>1760</v>
      </c>
    </row>
    <row r="274" spans="1:8" ht="47.25" x14ac:dyDescent="0.25">
      <c r="A274" s="29" t="s">
        <v>418</v>
      </c>
      <c r="B274" s="20" t="s">
        <v>1020</v>
      </c>
      <c r="C274" s="40" t="s">
        <v>279</v>
      </c>
      <c r="D274" s="40" t="s">
        <v>133</v>
      </c>
      <c r="E274" s="40" t="s">
        <v>290</v>
      </c>
      <c r="F274" s="40" t="s">
        <v>652</v>
      </c>
      <c r="G274" s="10">
        <f>G273</f>
        <v>1760</v>
      </c>
      <c r="H274" s="10">
        <f>H273</f>
        <v>1760</v>
      </c>
    </row>
    <row r="275" spans="1:8" ht="110.25" x14ac:dyDescent="0.25">
      <c r="A275" s="23" t="s">
        <v>1021</v>
      </c>
      <c r="B275" s="24" t="s">
        <v>1022</v>
      </c>
      <c r="C275" s="24"/>
      <c r="D275" s="24"/>
      <c r="E275" s="24"/>
      <c r="F275" s="24"/>
      <c r="G275" s="59">
        <f>G276</f>
        <v>291.10000000000002</v>
      </c>
      <c r="H275" s="59">
        <f>H276</f>
        <v>291.10000000000002</v>
      </c>
    </row>
    <row r="276" spans="1:8" ht="15.75" x14ac:dyDescent="0.25">
      <c r="A276" s="29" t="s">
        <v>278</v>
      </c>
      <c r="B276" s="40" t="s">
        <v>1022</v>
      </c>
      <c r="C276" s="40" t="s">
        <v>279</v>
      </c>
      <c r="D276" s="40"/>
      <c r="E276" s="40"/>
      <c r="F276" s="40"/>
      <c r="G276" s="10">
        <f t="shared" ref="G276:H276" si="39">G277</f>
        <v>291.10000000000002</v>
      </c>
      <c r="H276" s="10">
        <f t="shared" si="39"/>
        <v>291.10000000000002</v>
      </c>
    </row>
    <row r="277" spans="1:8" ht="15.75" x14ac:dyDescent="0.25">
      <c r="A277" s="45" t="s">
        <v>419</v>
      </c>
      <c r="B277" s="40" t="s">
        <v>1022</v>
      </c>
      <c r="C277" s="40" t="s">
        <v>279</v>
      </c>
      <c r="D277" s="40" t="s">
        <v>133</v>
      </c>
      <c r="E277" s="40"/>
      <c r="F277" s="40"/>
      <c r="G277" s="10">
        <f>G278+G282</f>
        <v>291.10000000000002</v>
      </c>
      <c r="H277" s="10">
        <f>H278+H282</f>
        <v>291.10000000000002</v>
      </c>
    </row>
    <row r="278" spans="1:8" ht="204.75" x14ac:dyDescent="0.25">
      <c r="A278" s="25" t="s">
        <v>438</v>
      </c>
      <c r="B278" s="20" t="s">
        <v>1023</v>
      </c>
      <c r="C278" s="20" t="s">
        <v>279</v>
      </c>
      <c r="D278" s="20" t="s">
        <v>133</v>
      </c>
      <c r="E278" s="20"/>
      <c r="F278" s="20"/>
      <c r="G278" s="10">
        <f>G279</f>
        <v>124.4</v>
      </c>
      <c r="H278" s="10">
        <f>H279</f>
        <v>124.4</v>
      </c>
    </row>
    <row r="279" spans="1:8" ht="63" x14ac:dyDescent="0.25">
      <c r="A279" s="25" t="s">
        <v>287</v>
      </c>
      <c r="B279" s="20" t="s">
        <v>1023</v>
      </c>
      <c r="C279" s="20" t="s">
        <v>279</v>
      </c>
      <c r="D279" s="20" t="s">
        <v>133</v>
      </c>
      <c r="E279" s="20" t="s">
        <v>288</v>
      </c>
      <c r="F279" s="20"/>
      <c r="G279" s="10">
        <f>G280</f>
        <v>124.4</v>
      </c>
      <c r="H279" s="10">
        <f>H280</f>
        <v>124.4</v>
      </c>
    </row>
    <row r="280" spans="1:8" ht="31.5" x14ac:dyDescent="0.25">
      <c r="A280" s="25" t="s">
        <v>289</v>
      </c>
      <c r="B280" s="20" t="s">
        <v>1023</v>
      </c>
      <c r="C280" s="20" t="s">
        <v>279</v>
      </c>
      <c r="D280" s="20" t="s">
        <v>133</v>
      </c>
      <c r="E280" s="20" t="s">
        <v>290</v>
      </c>
      <c r="F280" s="20"/>
      <c r="G280" s="10">
        <f>'пр.6.1.ведом.21-22'!G588</f>
        <v>124.4</v>
      </c>
      <c r="H280" s="10">
        <f>'пр.6.1.ведом.21-22'!H588</f>
        <v>124.4</v>
      </c>
    </row>
    <row r="281" spans="1:8" ht="47.25" x14ac:dyDescent="0.25">
      <c r="A281" s="29" t="s">
        <v>418</v>
      </c>
      <c r="B281" s="20" t="s">
        <v>1023</v>
      </c>
      <c r="C281" s="40" t="s">
        <v>279</v>
      </c>
      <c r="D281" s="40" t="s">
        <v>133</v>
      </c>
      <c r="E281" s="40" t="s">
        <v>290</v>
      </c>
      <c r="F281" s="40" t="s">
        <v>652</v>
      </c>
      <c r="G281" s="10">
        <f>G280</f>
        <v>124.4</v>
      </c>
      <c r="H281" s="10">
        <f>H280</f>
        <v>124.4</v>
      </c>
    </row>
    <row r="282" spans="1:8" ht="204.75" x14ac:dyDescent="0.25">
      <c r="A282" s="25" t="s">
        <v>438</v>
      </c>
      <c r="B282" s="20" t="s">
        <v>1024</v>
      </c>
      <c r="C282" s="20" t="s">
        <v>279</v>
      </c>
      <c r="D282" s="20" t="s">
        <v>133</v>
      </c>
      <c r="E282" s="20"/>
      <c r="F282" s="20"/>
      <c r="G282" s="10">
        <f>G283</f>
        <v>166.7</v>
      </c>
      <c r="H282" s="10">
        <f>H283</f>
        <v>166.7</v>
      </c>
    </row>
    <row r="283" spans="1:8" ht="63" x14ac:dyDescent="0.25">
      <c r="A283" s="25" t="s">
        <v>287</v>
      </c>
      <c r="B283" s="20" t="s">
        <v>1024</v>
      </c>
      <c r="C283" s="20" t="s">
        <v>279</v>
      </c>
      <c r="D283" s="20" t="s">
        <v>133</v>
      </c>
      <c r="E283" s="20" t="s">
        <v>288</v>
      </c>
      <c r="F283" s="20"/>
      <c r="G283" s="10">
        <f>G284</f>
        <v>166.7</v>
      </c>
      <c r="H283" s="10">
        <f>H284</f>
        <v>166.7</v>
      </c>
    </row>
    <row r="284" spans="1:8" ht="31.5" x14ac:dyDescent="0.25">
      <c r="A284" s="25" t="s">
        <v>289</v>
      </c>
      <c r="B284" s="20" t="s">
        <v>1024</v>
      </c>
      <c r="C284" s="20" t="s">
        <v>279</v>
      </c>
      <c r="D284" s="20" t="s">
        <v>133</v>
      </c>
      <c r="E284" s="20" t="s">
        <v>290</v>
      </c>
      <c r="F284" s="20"/>
      <c r="G284" s="10">
        <f>'пр.6.1.ведом.21-22'!G591</f>
        <v>166.7</v>
      </c>
      <c r="H284" s="10">
        <f>'пр.6.1.ведом.21-22'!H591</f>
        <v>166.7</v>
      </c>
    </row>
    <row r="285" spans="1:8" ht="47.25" x14ac:dyDescent="0.25">
      <c r="A285" s="29" t="s">
        <v>418</v>
      </c>
      <c r="B285" s="20" t="s">
        <v>1024</v>
      </c>
      <c r="C285" s="40" t="s">
        <v>279</v>
      </c>
      <c r="D285" s="40" t="s">
        <v>133</v>
      </c>
      <c r="E285" s="40" t="s">
        <v>290</v>
      </c>
      <c r="F285" s="40" t="s">
        <v>652</v>
      </c>
      <c r="G285" s="10">
        <f>G284</f>
        <v>166.7</v>
      </c>
      <c r="H285" s="10">
        <f>H284</f>
        <v>166.7</v>
      </c>
    </row>
    <row r="286" spans="1:8" s="229" customFormat="1" ht="157.5" x14ac:dyDescent="0.25">
      <c r="A286" s="23" t="s">
        <v>1426</v>
      </c>
      <c r="B286" s="24" t="s">
        <v>1424</v>
      </c>
      <c r="C286" s="7"/>
      <c r="D286" s="7"/>
      <c r="E286" s="7"/>
      <c r="F286" s="7"/>
      <c r="G286" s="59">
        <f>G287</f>
        <v>1666.6</v>
      </c>
      <c r="H286" s="59">
        <f>H287</f>
        <v>1666.6</v>
      </c>
    </row>
    <row r="287" spans="1:8" s="229" customFormat="1" ht="15.75" x14ac:dyDescent="0.25">
      <c r="A287" s="25" t="s">
        <v>278</v>
      </c>
      <c r="B287" s="20" t="s">
        <v>1424</v>
      </c>
      <c r="C287" s="40" t="s">
        <v>279</v>
      </c>
      <c r="D287" s="40"/>
      <c r="E287" s="40"/>
      <c r="F287" s="40"/>
      <c r="G287" s="10">
        <f>G288</f>
        <v>1666.6</v>
      </c>
      <c r="H287" s="10">
        <f>H288</f>
        <v>1666.6</v>
      </c>
    </row>
    <row r="288" spans="1:8" s="229" customFormat="1" ht="15.75" x14ac:dyDescent="0.25">
      <c r="A288" s="25" t="s">
        <v>419</v>
      </c>
      <c r="B288" s="20" t="s">
        <v>1424</v>
      </c>
      <c r="C288" s="40" t="s">
        <v>279</v>
      </c>
      <c r="D288" s="40" t="s">
        <v>133</v>
      </c>
      <c r="E288" s="40"/>
      <c r="F288" s="40"/>
      <c r="G288" s="10">
        <f>G289+G293</f>
        <v>1666.6</v>
      </c>
      <c r="H288" s="10">
        <f>H289+H293</f>
        <v>1666.6</v>
      </c>
    </row>
    <row r="289" spans="1:8" s="229" customFormat="1" ht="126" hidden="1" x14ac:dyDescent="0.25">
      <c r="A289" s="153" t="s">
        <v>1429</v>
      </c>
      <c r="B289" s="20" t="s">
        <v>1428</v>
      </c>
      <c r="C289" s="40" t="s">
        <v>279</v>
      </c>
      <c r="D289" s="40" t="s">
        <v>133</v>
      </c>
      <c r="E289" s="40"/>
      <c r="F289" s="40"/>
      <c r="G289" s="10">
        <f>G290</f>
        <v>0</v>
      </c>
      <c r="H289" s="10">
        <f>H290</f>
        <v>0</v>
      </c>
    </row>
    <row r="290" spans="1:8" s="229" customFormat="1" ht="63" hidden="1" x14ac:dyDescent="0.25">
      <c r="A290" s="25" t="s">
        <v>287</v>
      </c>
      <c r="B290" s="20" t="s">
        <v>1428</v>
      </c>
      <c r="C290" s="40" t="s">
        <v>279</v>
      </c>
      <c r="D290" s="40" t="s">
        <v>133</v>
      </c>
      <c r="E290" s="40" t="s">
        <v>288</v>
      </c>
      <c r="F290" s="40"/>
      <c r="G290" s="10">
        <f>G291</f>
        <v>0</v>
      </c>
      <c r="H290" s="10">
        <f>H291</f>
        <v>0</v>
      </c>
    </row>
    <row r="291" spans="1:8" s="229" customFormat="1" ht="31.5" hidden="1" x14ac:dyDescent="0.25">
      <c r="A291" s="25" t="s">
        <v>289</v>
      </c>
      <c r="B291" s="20" t="s">
        <v>1428</v>
      </c>
      <c r="C291" s="40" t="s">
        <v>279</v>
      </c>
      <c r="D291" s="40" t="s">
        <v>133</v>
      </c>
      <c r="E291" s="40" t="s">
        <v>290</v>
      </c>
      <c r="F291" s="40"/>
      <c r="G291" s="10">
        <f>'пр.6.1.ведом.21-22'!G600</f>
        <v>0</v>
      </c>
      <c r="H291" s="10">
        <f>'пр.6.1.ведом.21-22'!H600</f>
        <v>0</v>
      </c>
    </row>
    <row r="292" spans="1:8" s="229" customFormat="1" ht="47.25" hidden="1" x14ac:dyDescent="0.25">
      <c r="A292" s="29" t="s">
        <v>418</v>
      </c>
      <c r="B292" s="20" t="s">
        <v>1428</v>
      </c>
      <c r="C292" s="40" t="s">
        <v>279</v>
      </c>
      <c r="D292" s="40" t="s">
        <v>133</v>
      </c>
      <c r="E292" s="40" t="s">
        <v>290</v>
      </c>
      <c r="F292" s="40" t="s">
        <v>652</v>
      </c>
      <c r="G292" s="10">
        <f>G289</f>
        <v>0</v>
      </c>
      <c r="H292" s="10">
        <f>H289</f>
        <v>0</v>
      </c>
    </row>
    <row r="293" spans="1:8" s="229" customFormat="1" ht="141.75" x14ac:dyDescent="0.25">
      <c r="A293" s="153" t="s">
        <v>1425</v>
      </c>
      <c r="B293" s="20" t="s">
        <v>1427</v>
      </c>
      <c r="C293" s="40" t="s">
        <v>279</v>
      </c>
      <c r="D293" s="40" t="s">
        <v>133</v>
      </c>
      <c r="E293" s="40"/>
      <c r="F293" s="40"/>
      <c r="G293" s="10">
        <f>G294</f>
        <v>1666.6</v>
      </c>
      <c r="H293" s="10">
        <f>H294</f>
        <v>1666.6</v>
      </c>
    </row>
    <row r="294" spans="1:8" s="229" customFormat="1" ht="63" x14ac:dyDescent="0.25">
      <c r="A294" s="25" t="s">
        <v>287</v>
      </c>
      <c r="B294" s="20" t="s">
        <v>1427</v>
      </c>
      <c r="C294" s="40" t="s">
        <v>279</v>
      </c>
      <c r="D294" s="40" t="s">
        <v>133</v>
      </c>
      <c r="E294" s="40" t="s">
        <v>288</v>
      </c>
      <c r="F294" s="40"/>
      <c r="G294" s="10">
        <f>G295</f>
        <v>1666.6</v>
      </c>
      <c r="H294" s="10">
        <f>H295</f>
        <v>1666.6</v>
      </c>
    </row>
    <row r="295" spans="1:8" s="229" customFormat="1" ht="31.5" x14ac:dyDescent="0.25">
      <c r="A295" s="25" t="s">
        <v>289</v>
      </c>
      <c r="B295" s="20" t="s">
        <v>1427</v>
      </c>
      <c r="C295" s="40" t="s">
        <v>279</v>
      </c>
      <c r="D295" s="40" t="s">
        <v>133</v>
      </c>
      <c r="E295" s="40" t="s">
        <v>290</v>
      </c>
      <c r="F295" s="40"/>
      <c r="G295" s="10">
        <f>'пр.6.1.ведом.21-22'!G603</f>
        <v>1666.6</v>
      </c>
      <c r="H295" s="10">
        <f>'пр.6.1.ведом.21-22'!H603</f>
        <v>1666.6</v>
      </c>
    </row>
    <row r="296" spans="1:8" s="229" customFormat="1" ht="47.25" x14ac:dyDescent="0.25">
      <c r="A296" s="29" t="s">
        <v>418</v>
      </c>
      <c r="B296" s="20" t="s">
        <v>1427</v>
      </c>
      <c r="C296" s="40" t="s">
        <v>279</v>
      </c>
      <c r="D296" s="40" t="s">
        <v>133</v>
      </c>
      <c r="E296" s="40" t="s">
        <v>290</v>
      </c>
      <c r="F296" s="40" t="s">
        <v>652</v>
      </c>
      <c r="G296" s="10">
        <f>G293</f>
        <v>1666.6</v>
      </c>
      <c r="H296" s="10">
        <f>H293</f>
        <v>1666.6</v>
      </c>
    </row>
    <row r="297" spans="1:8" ht="47.25" x14ac:dyDescent="0.25">
      <c r="A297" s="41" t="s">
        <v>445</v>
      </c>
      <c r="B297" s="7" t="s">
        <v>446</v>
      </c>
      <c r="C297" s="7"/>
      <c r="D297" s="7"/>
      <c r="E297" s="7"/>
      <c r="F297" s="7"/>
      <c r="G297" s="4">
        <f>G298+G317+G328+G339+G350</f>
        <v>8844.0999999999985</v>
      </c>
      <c r="H297" s="4">
        <f>H298+H317+H328+H339+H350</f>
        <v>8852.5999999999985</v>
      </c>
    </row>
    <row r="298" spans="1:8" ht="47.25" x14ac:dyDescent="0.25">
      <c r="A298" s="23" t="s">
        <v>1034</v>
      </c>
      <c r="B298" s="24" t="s">
        <v>1035</v>
      </c>
      <c r="C298" s="7"/>
      <c r="D298" s="7"/>
      <c r="E298" s="7"/>
      <c r="F298" s="7"/>
      <c r="G298" s="4">
        <f>G299</f>
        <v>224</v>
      </c>
      <c r="H298" s="4">
        <f>H299</f>
        <v>224</v>
      </c>
    </row>
    <row r="299" spans="1:8" ht="15.75" x14ac:dyDescent="0.25">
      <c r="A299" s="29" t="s">
        <v>278</v>
      </c>
      <c r="B299" s="40" t="s">
        <v>1035</v>
      </c>
      <c r="C299" s="40" t="s">
        <v>279</v>
      </c>
      <c r="D299" s="40"/>
      <c r="E299" s="40"/>
      <c r="F299" s="40"/>
      <c r="G299" s="10">
        <f t="shared" ref="G299:H299" si="40">G300</f>
        <v>224</v>
      </c>
      <c r="H299" s="10">
        <f t="shared" si="40"/>
        <v>224</v>
      </c>
    </row>
    <row r="300" spans="1:8" ht="15.75" x14ac:dyDescent="0.25">
      <c r="A300" s="29" t="s">
        <v>440</v>
      </c>
      <c r="B300" s="40" t="s">
        <v>1035</v>
      </c>
      <c r="C300" s="40" t="s">
        <v>279</v>
      </c>
      <c r="D300" s="40" t="s">
        <v>228</v>
      </c>
      <c r="E300" s="40"/>
      <c r="F300" s="40"/>
      <c r="G300" s="10">
        <f>G301+G305+G309+G313</f>
        <v>224</v>
      </c>
      <c r="H300" s="10">
        <f>H301+H305+H309+H313</f>
        <v>224</v>
      </c>
    </row>
    <row r="301" spans="1:8" ht="63" hidden="1" x14ac:dyDescent="0.25">
      <c r="A301" s="25" t="s">
        <v>812</v>
      </c>
      <c r="B301" s="20" t="s">
        <v>1039</v>
      </c>
      <c r="C301" s="40" t="s">
        <v>279</v>
      </c>
      <c r="D301" s="40" t="s">
        <v>228</v>
      </c>
      <c r="E301" s="40"/>
      <c r="F301" s="40"/>
      <c r="G301" s="6">
        <f>G302</f>
        <v>0</v>
      </c>
      <c r="H301" s="6">
        <f>H302</f>
        <v>0</v>
      </c>
    </row>
    <row r="302" spans="1:8" ht="63" hidden="1" x14ac:dyDescent="0.25">
      <c r="A302" s="25" t="s">
        <v>287</v>
      </c>
      <c r="B302" s="20" t="s">
        <v>1039</v>
      </c>
      <c r="C302" s="40" t="s">
        <v>279</v>
      </c>
      <c r="D302" s="40" t="s">
        <v>228</v>
      </c>
      <c r="E302" s="40" t="s">
        <v>288</v>
      </c>
      <c r="F302" s="40"/>
      <c r="G302" s="6">
        <f>G303</f>
        <v>0</v>
      </c>
      <c r="H302" s="6">
        <f>H303</f>
        <v>0</v>
      </c>
    </row>
    <row r="303" spans="1:8" ht="31.5" hidden="1" x14ac:dyDescent="0.25">
      <c r="A303" s="25" t="s">
        <v>289</v>
      </c>
      <c r="B303" s="20" t="s">
        <v>1039</v>
      </c>
      <c r="C303" s="40" t="s">
        <v>279</v>
      </c>
      <c r="D303" s="40" t="s">
        <v>228</v>
      </c>
      <c r="E303" s="40" t="s">
        <v>290</v>
      </c>
      <c r="F303" s="40"/>
      <c r="G303" s="6">
        <f>'пр.6.1.ведом.21-22'!G642</f>
        <v>0</v>
      </c>
      <c r="H303" s="6">
        <f>'пр.6.1.ведом.21-22'!H642</f>
        <v>0</v>
      </c>
    </row>
    <row r="304" spans="1:8" ht="47.25" hidden="1" x14ac:dyDescent="0.25">
      <c r="A304" s="29" t="s">
        <v>418</v>
      </c>
      <c r="B304" s="20" t="s">
        <v>1039</v>
      </c>
      <c r="C304" s="40" t="s">
        <v>279</v>
      </c>
      <c r="D304" s="40" t="s">
        <v>228</v>
      </c>
      <c r="E304" s="40" t="s">
        <v>290</v>
      </c>
      <c r="F304" s="40" t="s">
        <v>652</v>
      </c>
      <c r="G304" s="10">
        <f>G303</f>
        <v>0</v>
      </c>
      <c r="H304" s="10">
        <f>H303</f>
        <v>0</v>
      </c>
    </row>
    <row r="305" spans="1:8" ht="63" hidden="1" x14ac:dyDescent="0.25">
      <c r="A305" s="25" t="s">
        <v>293</v>
      </c>
      <c r="B305" s="20" t="s">
        <v>1040</v>
      </c>
      <c r="C305" s="40" t="s">
        <v>279</v>
      </c>
      <c r="D305" s="40" t="s">
        <v>228</v>
      </c>
      <c r="E305" s="40"/>
      <c r="F305" s="40"/>
      <c r="G305" s="6">
        <f t="shared" ref="G305:H306" si="41">G306</f>
        <v>0</v>
      </c>
      <c r="H305" s="6">
        <f t="shared" si="41"/>
        <v>0</v>
      </c>
    </row>
    <row r="306" spans="1:8" ht="63" hidden="1" x14ac:dyDescent="0.25">
      <c r="A306" s="25" t="s">
        <v>287</v>
      </c>
      <c r="B306" s="20" t="s">
        <v>1040</v>
      </c>
      <c r="C306" s="40" t="s">
        <v>279</v>
      </c>
      <c r="D306" s="40" t="s">
        <v>228</v>
      </c>
      <c r="E306" s="40" t="s">
        <v>288</v>
      </c>
      <c r="F306" s="40"/>
      <c r="G306" s="6">
        <f t="shared" si="41"/>
        <v>0</v>
      </c>
      <c r="H306" s="6">
        <f t="shared" si="41"/>
        <v>0</v>
      </c>
    </row>
    <row r="307" spans="1:8" ht="31.5" hidden="1" x14ac:dyDescent="0.25">
      <c r="A307" s="25" t="s">
        <v>289</v>
      </c>
      <c r="B307" s="20" t="s">
        <v>1040</v>
      </c>
      <c r="C307" s="40" t="s">
        <v>279</v>
      </c>
      <c r="D307" s="40" t="s">
        <v>228</v>
      </c>
      <c r="E307" s="40" t="s">
        <v>290</v>
      </c>
      <c r="F307" s="40"/>
      <c r="G307" s="6">
        <f>'пр.6.1.ведом.21-22'!G645</f>
        <v>0</v>
      </c>
      <c r="H307" s="6">
        <f>'пр.6.1.ведом.21-22'!H645</f>
        <v>0</v>
      </c>
    </row>
    <row r="308" spans="1:8" ht="47.25" hidden="1" x14ac:dyDescent="0.25">
      <c r="A308" s="29" t="s">
        <v>418</v>
      </c>
      <c r="B308" s="20" t="s">
        <v>1040</v>
      </c>
      <c r="C308" s="40" t="s">
        <v>279</v>
      </c>
      <c r="D308" s="40" t="s">
        <v>228</v>
      </c>
      <c r="E308" s="40" t="s">
        <v>290</v>
      </c>
      <c r="F308" s="40" t="s">
        <v>652</v>
      </c>
      <c r="G308" s="10">
        <f>G307</f>
        <v>0</v>
      </c>
      <c r="H308" s="10">
        <f>H307</f>
        <v>0</v>
      </c>
    </row>
    <row r="309" spans="1:8" ht="47.25" hidden="1" x14ac:dyDescent="0.25">
      <c r="A309" s="25" t="s">
        <v>295</v>
      </c>
      <c r="B309" s="20" t="s">
        <v>1041</v>
      </c>
      <c r="C309" s="40" t="s">
        <v>279</v>
      </c>
      <c r="D309" s="40" t="s">
        <v>228</v>
      </c>
      <c r="E309" s="40"/>
      <c r="F309" s="40"/>
      <c r="G309" s="6">
        <f t="shared" ref="G309:H310" si="42">G310</f>
        <v>0</v>
      </c>
      <c r="H309" s="6">
        <f t="shared" si="42"/>
        <v>0</v>
      </c>
    </row>
    <row r="310" spans="1:8" ht="63" hidden="1" x14ac:dyDescent="0.25">
      <c r="A310" s="25" t="s">
        <v>287</v>
      </c>
      <c r="B310" s="20" t="s">
        <v>1041</v>
      </c>
      <c r="C310" s="40" t="s">
        <v>279</v>
      </c>
      <c r="D310" s="40" t="s">
        <v>228</v>
      </c>
      <c r="E310" s="40" t="s">
        <v>288</v>
      </c>
      <c r="F310" s="40"/>
      <c r="G310" s="6">
        <f t="shared" si="42"/>
        <v>0</v>
      </c>
      <c r="H310" s="6">
        <f t="shared" si="42"/>
        <v>0</v>
      </c>
    </row>
    <row r="311" spans="1:8" ht="31.5" hidden="1" x14ac:dyDescent="0.25">
      <c r="A311" s="25" t="s">
        <v>289</v>
      </c>
      <c r="B311" s="20" t="s">
        <v>1041</v>
      </c>
      <c r="C311" s="40" t="s">
        <v>279</v>
      </c>
      <c r="D311" s="40" t="s">
        <v>228</v>
      </c>
      <c r="E311" s="40" t="s">
        <v>290</v>
      </c>
      <c r="F311" s="40"/>
      <c r="G311" s="6">
        <f>'пр.6.1.ведом.21-22'!G648</f>
        <v>0</v>
      </c>
      <c r="H311" s="6">
        <f>'пр.6.1.ведом.21-22'!H648</f>
        <v>0</v>
      </c>
    </row>
    <row r="312" spans="1:8" ht="47.25" hidden="1" x14ac:dyDescent="0.25">
      <c r="A312" s="29" t="s">
        <v>418</v>
      </c>
      <c r="B312" s="20" t="s">
        <v>1041</v>
      </c>
      <c r="C312" s="40" t="s">
        <v>279</v>
      </c>
      <c r="D312" s="40" t="s">
        <v>228</v>
      </c>
      <c r="E312" s="40" t="s">
        <v>290</v>
      </c>
      <c r="F312" s="40" t="s">
        <v>652</v>
      </c>
      <c r="G312" s="10">
        <f>G311</f>
        <v>0</v>
      </c>
      <c r="H312" s="10">
        <f>H311</f>
        <v>0</v>
      </c>
    </row>
    <row r="313" spans="1:8" ht="47.25" x14ac:dyDescent="0.25">
      <c r="A313" s="29" t="s">
        <v>297</v>
      </c>
      <c r="B313" s="20" t="s">
        <v>1042</v>
      </c>
      <c r="C313" s="40" t="s">
        <v>279</v>
      </c>
      <c r="D313" s="40" t="s">
        <v>228</v>
      </c>
      <c r="E313" s="40"/>
      <c r="F313" s="40"/>
      <c r="G313" s="10">
        <f t="shared" ref="G313:H314" si="43">G314</f>
        <v>224</v>
      </c>
      <c r="H313" s="10">
        <f t="shared" si="43"/>
        <v>224</v>
      </c>
    </row>
    <row r="314" spans="1:8" ht="63" x14ac:dyDescent="0.25">
      <c r="A314" s="29" t="s">
        <v>287</v>
      </c>
      <c r="B314" s="20" t="s">
        <v>1042</v>
      </c>
      <c r="C314" s="40" t="s">
        <v>279</v>
      </c>
      <c r="D314" s="40" t="s">
        <v>228</v>
      </c>
      <c r="E314" s="40" t="s">
        <v>288</v>
      </c>
      <c r="F314" s="40"/>
      <c r="G314" s="10">
        <f t="shared" si="43"/>
        <v>224</v>
      </c>
      <c r="H314" s="10">
        <f t="shared" si="43"/>
        <v>224</v>
      </c>
    </row>
    <row r="315" spans="1:8" ht="31.5" x14ac:dyDescent="0.25">
      <c r="A315" s="29" t="s">
        <v>289</v>
      </c>
      <c r="B315" s="20" t="s">
        <v>1042</v>
      </c>
      <c r="C315" s="40" t="s">
        <v>279</v>
      </c>
      <c r="D315" s="40" t="s">
        <v>228</v>
      </c>
      <c r="E315" s="40" t="s">
        <v>290</v>
      </c>
      <c r="F315" s="40"/>
      <c r="G315" s="10">
        <f>'пр.6.1.ведом.21-22'!G651</f>
        <v>224</v>
      </c>
      <c r="H315" s="10">
        <f>'пр.6.1.ведом.21-22'!H651</f>
        <v>224</v>
      </c>
    </row>
    <row r="316" spans="1:8" ht="47.25" x14ac:dyDescent="0.25">
      <c r="A316" s="29" t="s">
        <v>418</v>
      </c>
      <c r="B316" s="20" t="s">
        <v>1042</v>
      </c>
      <c r="C316" s="40" t="s">
        <v>279</v>
      </c>
      <c r="D316" s="40" t="s">
        <v>228</v>
      </c>
      <c r="E316" s="40" t="s">
        <v>290</v>
      </c>
      <c r="F316" s="40" t="s">
        <v>652</v>
      </c>
      <c r="G316" s="10">
        <f>G315</f>
        <v>224</v>
      </c>
      <c r="H316" s="10">
        <f>H315</f>
        <v>224</v>
      </c>
    </row>
    <row r="317" spans="1:8" ht="47.25" x14ac:dyDescent="0.25">
      <c r="A317" s="23" t="s">
        <v>1036</v>
      </c>
      <c r="B317" s="24" t="s">
        <v>1037</v>
      </c>
      <c r="C317" s="7"/>
      <c r="D317" s="7"/>
      <c r="E317" s="7"/>
      <c r="F317" s="7"/>
      <c r="G317" s="59">
        <f>G320+G324</f>
        <v>3943.4</v>
      </c>
      <c r="H317" s="59">
        <f>H320+H324</f>
        <v>3951.9</v>
      </c>
    </row>
    <row r="318" spans="1:8" ht="15.75" x14ac:dyDescent="0.25">
      <c r="A318" s="29" t="s">
        <v>278</v>
      </c>
      <c r="B318" s="40" t="s">
        <v>1037</v>
      </c>
      <c r="C318" s="40" t="s">
        <v>279</v>
      </c>
      <c r="D318" s="40"/>
      <c r="E318" s="40"/>
      <c r="F318" s="40"/>
      <c r="G318" s="10">
        <f t="shared" ref="G318:H318" si="44">G319</f>
        <v>3943.4</v>
      </c>
      <c r="H318" s="10">
        <f t="shared" si="44"/>
        <v>3951.9</v>
      </c>
    </row>
    <row r="319" spans="1:8" ht="15.75" x14ac:dyDescent="0.25">
      <c r="A319" s="29" t="s">
        <v>440</v>
      </c>
      <c r="B319" s="40" t="s">
        <v>1037</v>
      </c>
      <c r="C319" s="40" t="s">
        <v>279</v>
      </c>
      <c r="D319" s="40" t="s">
        <v>228</v>
      </c>
      <c r="E319" s="40"/>
      <c r="F319" s="40"/>
      <c r="G319" s="10">
        <f>G320+G324</f>
        <v>3943.4</v>
      </c>
      <c r="H319" s="10">
        <f>H320+H324</f>
        <v>3951.9</v>
      </c>
    </row>
    <row r="320" spans="1:8" ht="78.75" x14ac:dyDescent="0.25">
      <c r="A320" s="29" t="s">
        <v>618</v>
      </c>
      <c r="B320" s="20" t="s">
        <v>1043</v>
      </c>
      <c r="C320" s="40" t="s">
        <v>279</v>
      </c>
      <c r="D320" s="40" t="s">
        <v>228</v>
      </c>
      <c r="E320" s="40"/>
      <c r="F320" s="40"/>
      <c r="G320" s="10">
        <f t="shared" ref="G320:H321" si="45">G321</f>
        <v>2200</v>
      </c>
      <c r="H320" s="10">
        <f t="shared" si="45"/>
        <v>2200</v>
      </c>
    </row>
    <row r="321" spans="1:8" ht="63" x14ac:dyDescent="0.25">
      <c r="A321" s="29" t="s">
        <v>287</v>
      </c>
      <c r="B321" s="20" t="s">
        <v>1043</v>
      </c>
      <c r="C321" s="40" t="s">
        <v>279</v>
      </c>
      <c r="D321" s="40" t="s">
        <v>228</v>
      </c>
      <c r="E321" s="40" t="s">
        <v>288</v>
      </c>
      <c r="F321" s="40"/>
      <c r="G321" s="10">
        <f t="shared" si="45"/>
        <v>2200</v>
      </c>
      <c r="H321" s="10">
        <f t="shared" si="45"/>
        <v>2200</v>
      </c>
    </row>
    <row r="322" spans="1:8" ht="31.5" x14ac:dyDescent="0.25">
      <c r="A322" s="29" t="s">
        <v>289</v>
      </c>
      <c r="B322" s="20" t="s">
        <v>1043</v>
      </c>
      <c r="C322" s="40" t="s">
        <v>279</v>
      </c>
      <c r="D322" s="40" t="s">
        <v>228</v>
      </c>
      <c r="E322" s="40" t="s">
        <v>290</v>
      </c>
      <c r="F322" s="40"/>
      <c r="G322" s="6">
        <f>'пр.6.1.ведом.21-22'!G655</f>
        <v>2200</v>
      </c>
      <c r="H322" s="6">
        <f>'пр.6.1.ведом.21-22'!H655</f>
        <v>2200</v>
      </c>
    </row>
    <row r="323" spans="1:8" ht="47.25" x14ac:dyDescent="0.25">
      <c r="A323" s="29" t="s">
        <v>418</v>
      </c>
      <c r="B323" s="20" t="s">
        <v>1043</v>
      </c>
      <c r="C323" s="40" t="s">
        <v>279</v>
      </c>
      <c r="D323" s="40" t="s">
        <v>228</v>
      </c>
      <c r="E323" s="40" t="s">
        <v>290</v>
      </c>
      <c r="F323" s="40" t="s">
        <v>652</v>
      </c>
      <c r="G323" s="10">
        <f>G322</f>
        <v>2200</v>
      </c>
      <c r="H323" s="10">
        <f>H322</f>
        <v>2200</v>
      </c>
    </row>
    <row r="324" spans="1:8" ht="47.25" x14ac:dyDescent="0.25">
      <c r="A324" s="25" t="s">
        <v>471</v>
      </c>
      <c r="B324" s="20" t="s">
        <v>1044</v>
      </c>
      <c r="C324" s="40" t="s">
        <v>279</v>
      </c>
      <c r="D324" s="40" t="s">
        <v>228</v>
      </c>
      <c r="E324" s="40"/>
      <c r="F324" s="40"/>
      <c r="G324" s="10">
        <f>G325</f>
        <v>1743.4</v>
      </c>
      <c r="H324" s="10">
        <f>H325</f>
        <v>1751.9</v>
      </c>
    </row>
    <row r="325" spans="1:8" ht="63" x14ac:dyDescent="0.25">
      <c r="A325" s="25" t="s">
        <v>287</v>
      </c>
      <c r="B325" s="20" t="s">
        <v>1044</v>
      </c>
      <c r="C325" s="40" t="s">
        <v>279</v>
      </c>
      <c r="D325" s="40" t="s">
        <v>228</v>
      </c>
      <c r="E325" s="40" t="s">
        <v>288</v>
      </c>
      <c r="F325" s="40"/>
      <c r="G325" s="10">
        <f>G326</f>
        <v>1743.4</v>
      </c>
      <c r="H325" s="10">
        <f>H326</f>
        <v>1751.9</v>
      </c>
    </row>
    <row r="326" spans="1:8" ht="31.5" x14ac:dyDescent="0.25">
      <c r="A326" s="25" t="s">
        <v>289</v>
      </c>
      <c r="B326" s="20" t="s">
        <v>1044</v>
      </c>
      <c r="C326" s="40" t="s">
        <v>279</v>
      </c>
      <c r="D326" s="40" t="s">
        <v>228</v>
      </c>
      <c r="E326" s="40" t="s">
        <v>290</v>
      </c>
      <c r="F326" s="40"/>
      <c r="G326" s="10">
        <f>'пр.6.1.ведом.21-22'!G658</f>
        <v>1743.4</v>
      </c>
      <c r="H326" s="10">
        <f>'пр.6.1.ведом.21-22'!H658</f>
        <v>1751.9</v>
      </c>
    </row>
    <row r="327" spans="1:8" ht="47.25" x14ac:dyDescent="0.25">
      <c r="A327" s="29" t="s">
        <v>418</v>
      </c>
      <c r="B327" s="20" t="s">
        <v>1044</v>
      </c>
      <c r="C327" s="40" t="s">
        <v>279</v>
      </c>
      <c r="D327" s="40" t="s">
        <v>228</v>
      </c>
      <c r="E327" s="40" t="s">
        <v>290</v>
      </c>
      <c r="F327" s="40" t="s">
        <v>652</v>
      </c>
      <c r="G327" s="10">
        <f>G326</f>
        <v>1743.4</v>
      </c>
      <c r="H327" s="10">
        <f>H326</f>
        <v>1751.9</v>
      </c>
    </row>
    <row r="328" spans="1:8" ht="47.25" x14ac:dyDescent="0.25">
      <c r="A328" s="23" t="s">
        <v>1038</v>
      </c>
      <c r="B328" s="24" t="s">
        <v>1045</v>
      </c>
      <c r="C328" s="7"/>
      <c r="D328" s="7"/>
      <c r="E328" s="7"/>
      <c r="F328" s="7"/>
      <c r="G328" s="59">
        <f>G331+G335</f>
        <v>1364.7</v>
      </c>
      <c r="H328" s="59">
        <f>H331+H335</f>
        <v>1364.7</v>
      </c>
    </row>
    <row r="329" spans="1:8" ht="15.75" x14ac:dyDescent="0.25">
      <c r="A329" s="29" t="s">
        <v>278</v>
      </c>
      <c r="B329" s="40" t="s">
        <v>1045</v>
      </c>
      <c r="C329" s="40" t="s">
        <v>279</v>
      </c>
      <c r="D329" s="40"/>
      <c r="E329" s="40"/>
      <c r="F329" s="40"/>
      <c r="G329" s="10">
        <f t="shared" ref="G329:H329" si="46">G330</f>
        <v>1364.7</v>
      </c>
      <c r="H329" s="10">
        <f t="shared" si="46"/>
        <v>1364.7</v>
      </c>
    </row>
    <row r="330" spans="1:8" ht="15.75" x14ac:dyDescent="0.25">
      <c r="A330" s="29" t="s">
        <v>440</v>
      </c>
      <c r="B330" s="40" t="s">
        <v>1045</v>
      </c>
      <c r="C330" s="40" t="s">
        <v>279</v>
      </c>
      <c r="D330" s="40" t="s">
        <v>228</v>
      </c>
      <c r="E330" s="40"/>
      <c r="F330" s="40"/>
      <c r="G330" s="10">
        <f>G331+G335</f>
        <v>1364.7</v>
      </c>
      <c r="H330" s="10">
        <f>H331+H335</f>
        <v>1364.7</v>
      </c>
    </row>
    <row r="331" spans="1:8" ht="78.75" x14ac:dyDescent="0.25">
      <c r="A331" s="25" t="s">
        <v>453</v>
      </c>
      <c r="B331" s="20" t="s">
        <v>1046</v>
      </c>
      <c r="C331" s="40" t="s">
        <v>279</v>
      </c>
      <c r="D331" s="40" t="s">
        <v>228</v>
      </c>
      <c r="E331" s="40"/>
      <c r="F331" s="40"/>
      <c r="G331" s="10">
        <f>G332</f>
        <v>868</v>
      </c>
      <c r="H331" s="10">
        <f>H332</f>
        <v>868</v>
      </c>
    </row>
    <row r="332" spans="1:8" ht="63" x14ac:dyDescent="0.25">
      <c r="A332" s="25" t="s">
        <v>287</v>
      </c>
      <c r="B332" s="20" t="s">
        <v>1046</v>
      </c>
      <c r="C332" s="40" t="s">
        <v>279</v>
      </c>
      <c r="D332" s="40" t="s">
        <v>228</v>
      </c>
      <c r="E332" s="40" t="s">
        <v>288</v>
      </c>
      <c r="F332" s="40"/>
      <c r="G332" s="10">
        <f>G333</f>
        <v>868</v>
      </c>
      <c r="H332" s="10">
        <f>H333</f>
        <v>868</v>
      </c>
    </row>
    <row r="333" spans="1:8" ht="31.5" x14ac:dyDescent="0.25">
      <c r="A333" s="25" t="s">
        <v>289</v>
      </c>
      <c r="B333" s="20" t="s">
        <v>1046</v>
      </c>
      <c r="C333" s="40" t="s">
        <v>279</v>
      </c>
      <c r="D333" s="40" t="s">
        <v>228</v>
      </c>
      <c r="E333" s="40" t="s">
        <v>290</v>
      </c>
      <c r="F333" s="40"/>
      <c r="G333" s="10">
        <f>'пр.6.1.ведом.21-22'!G662</f>
        <v>868</v>
      </c>
      <c r="H333" s="10">
        <f>'пр.6.1.ведом.21-22'!H662</f>
        <v>868</v>
      </c>
    </row>
    <row r="334" spans="1:8" ht="47.25" x14ac:dyDescent="0.25">
      <c r="A334" s="29" t="s">
        <v>418</v>
      </c>
      <c r="B334" s="20" t="s">
        <v>1046</v>
      </c>
      <c r="C334" s="40" t="s">
        <v>279</v>
      </c>
      <c r="D334" s="40" t="s">
        <v>228</v>
      </c>
      <c r="E334" s="40" t="s">
        <v>290</v>
      </c>
      <c r="F334" s="40" t="s">
        <v>652</v>
      </c>
      <c r="G334" s="10">
        <f>G333</f>
        <v>868</v>
      </c>
      <c r="H334" s="10">
        <f>H333</f>
        <v>868</v>
      </c>
    </row>
    <row r="335" spans="1:8" ht="78.75" x14ac:dyDescent="0.25">
      <c r="A335" s="25" t="s">
        <v>473</v>
      </c>
      <c r="B335" s="20" t="s">
        <v>1047</v>
      </c>
      <c r="C335" s="40" t="s">
        <v>279</v>
      </c>
      <c r="D335" s="40" t="s">
        <v>228</v>
      </c>
      <c r="E335" s="40"/>
      <c r="F335" s="40"/>
      <c r="G335" s="10">
        <f>G336</f>
        <v>496.7</v>
      </c>
      <c r="H335" s="10">
        <f>H336</f>
        <v>496.7</v>
      </c>
    </row>
    <row r="336" spans="1:8" ht="63" x14ac:dyDescent="0.25">
      <c r="A336" s="354" t="s">
        <v>287</v>
      </c>
      <c r="B336" s="20" t="s">
        <v>1047</v>
      </c>
      <c r="C336" s="40" t="s">
        <v>279</v>
      </c>
      <c r="D336" s="40" t="s">
        <v>228</v>
      </c>
      <c r="E336" s="40" t="s">
        <v>288</v>
      </c>
      <c r="F336" s="40"/>
      <c r="G336" s="10">
        <f>G337</f>
        <v>496.7</v>
      </c>
      <c r="H336" s="10">
        <f>H337</f>
        <v>496.7</v>
      </c>
    </row>
    <row r="337" spans="1:8" ht="31.5" x14ac:dyDescent="0.25">
      <c r="A337" s="25" t="s">
        <v>289</v>
      </c>
      <c r="B337" s="20" t="s">
        <v>1047</v>
      </c>
      <c r="C337" s="40" t="s">
        <v>279</v>
      </c>
      <c r="D337" s="40" t="s">
        <v>228</v>
      </c>
      <c r="E337" s="40" t="s">
        <v>290</v>
      </c>
      <c r="F337" s="40"/>
      <c r="G337" s="10">
        <f>'пр.6.1.ведом.21-22'!G665</f>
        <v>496.7</v>
      </c>
      <c r="H337" s="10">
        <f>'пр.6.1.ведом.21-22'!H665</f>
        <v>496.7</v>
      </c>
    </row>
    <row r="338" spans="1:8" ht="47.25" x14ac:dyDescent="0.25">
      <c r="A338" s="29" t="s">
        <v>418</v>
      </c>
      <c r="B338" s="20" t="s">
        <v>1047</v>
      </c>
      <c r="C338" s="40" t="s">
        <v>279</v>
      </c>
      <c r="D338" s="40" t="s">
        <v>228</v>
      </c>
      <c r="E338" s="40" t="s">
        <v>290</v>
      </c>
      <c r="F338" s="40" t="s">
        <v>652</v>
      </c>
      <c r="G338" s="10">
        <f>G337</f>
        <v>496.7</v>
      </c>
      <c r="H338" s="10">
        <f>H337</f>
        <v>496.7</v>
      </c>
    </row>
    <row r="339" spans="1:8" ht="63" x14ac:dyDescent="0.25">
      <c r="A339" s="23" t="s">
        <v>1082</v>
      </c>
      <c r="B339" s="24" t="s">
        <v>1048</v>
      </c>
      <c r="C339" s="7"/>
      <c r="D339" s="7"/>
      <c r="E339" s="7"/>
      <c r="F339" s="7"/>
      <c r="G339" s="59">
        <f>G342+G346</f>
        <v>2634</v>
      </c>
      <c r="H339" s="59">
        <f>H342+H346</f>
        <v>2634</v>
      </c>
    </row>
    <row r="340" spans="1:8" ht="15.75" x14ac:dyDescent="0.25">
      <c r="A340" s="29" t="s">
        <v>278</v>
      </c>
      <c r="B340" s="40" t="s">
        <v>1048</v>
      </c>
      <c r="C340" s="40" t="s">
        <v>279</v>
      </c>
      <c r="D340" s="40"/>
      <c r="E340" s="40"/>
      <c r="F340" s="40"/>
      <c r="G340" s="10">
        <f t="shared" ref="G340:H340" si="47">G341</f>
        <v>2634</v>
      </c>
      <c r="H340" s="10">
        <f t="shared" si="47"/>
        <v>2634</v>
      </c>
    </row>
    <row r="341" spans="1:8" ht="15.75" x14ac:dyDescent="0.25">
      <c r="A341" s="29" t="s">
        <v>440</v>
      </c>
      <c r="B341" s="40" t="s">
        <v>1048</v>
      </c>
      <c r="C341" s="40" t="s">
        <v>279</v>
      </c>
      <c r="D341" s="40" t="s">
        <v>228</v>
      </c>
      <c r="E341" s="40"/>
      <c r="F341" s="40"/>
      <c r="G341" s="10">
        <f>G342+G346</f>
        <v>2634</v>
      </c>
      <c r="H341" s="10">
        <f>H342+H346</f>
        <v>2634</v>
      </c>
    </row>
    <row r="342" spans="1:8" ht="47.25" hidden="1" x14ac:dyDescent="0.25">
      <c r="A342" s="29" t="s">
        <v>299</v>
      </c>
      <c r="B342" s="20" t="s">
        <v>1050</v>
      </c>
      <c r="C342" s="40" t="s">
        <v>279</v>
      </c>
      <c r="D342" s="40" t="s">
        <v>228</v>
      </c>
      <c r="E342" s="40"/>
      <c r="F342" s="40"/>
      <c r="G342" s="10">
        <f t="shared" ref="G342:H343" si="48">G343</f>
        <v>0</v>
      </c>
      <c r="H342" s="10">
        <f t="shared" si="48"/>
        <v>0</v>
      </c>
    </row>
    <row r="343" spans="1:8" ht="63" hidden="1" x14ac:dyDescent="0.25">
      <c r="A343" s="29" t="s">
        <v>287</v>
      </c>
      <c r="B343" s="20" t="s">
        <v>1050</v>
      </c>
      <c r="C343" s="40" t="s">
        <v>279</v>
      </c>
      <c r="D343" s="40" t="s">
        <v>228</v>
      </c>
      <c r="E343" s="40" t="s">
        <v>288</v>
      </c>
      <c r="F343" s="40"/>
      <c r="G343" s="10">
        <f t="shared" si="48"/>
        <v>0</v>
      </c>
      <c r="H343" s="10">
        <f t="shared" si="48"/>
        <v>0</v>
      </c>
    </row>
    <row r="344" spans="1:8" ht="31.5" hidden="1" x14ac:dyDescent="0.25">
      <c r="A344" s="29" t="s">
        <v>289</v>
      </c>
      <c r="B344" s="20" t="s">
        <v>1050</v>
      </c>
      <c r="C344" s="40" t="s">
        <v>279</v>
      </c>
      <c r="D344" s="40" t="s">
        <v>228</v>
      </c>
      <c r="E344" s="40" t="s">
        <v>290</v>
      </c>
      <c r="F344" s="40"/>
      <c r="G344" s="10">
        <f>'пр.6.1.ведом.21-22'!G669</f>
        <v>0</v>
      </c>
      <c r="H344" s="10">
        <f>'пр.6.1.ведом.21-22'!H669</f>
        <v>0</v>
      </c>
    </row>
    <row r="345" spans="1:8" ht="47.25" hidden="1" x14ac:dyDescent="0.25">
      <c r="A345" s="29" t="s">
        <v>418</v>
      </c>
      <c r="B345" s="20" t="s">
        <v>1050</v>
      </c>
      <c r="C345" s="40" t="s">
        <v>279</v>
      </c>
      <c r="D345" s="40" t="s">
        <v>228</v>
      </c>
      <c r="E345" s="40" t="s">
        <v>290</v>
      </c>
      <c r="F345" s="40" t="s">
        <v>652</v>
      </c>
      <c r="G345" s="10">
        <f>G344</f>
        <v>0</v>
      </c>
      <c r="H345" s="10">
        <f>H344</f>
        <v>0</v>
      </c>
    </row>
    <row r="346" spans="1:8" ht="63" x14ac:dyDescent="0.25">
      <c r="A346" s="448" t="s">
        <v>786</v>
      </c>
      <c r="B346" s="20" t="s">
        <v>1051</v>
      </c>
      <c r="C346" s="40" t="s">
        <v>279</v>
      </c>
      <c r="D346" s="40" t="s">
        <v>228</v>
      </c>
      <c r="E346" s="40"/>
      <c r="F346" s="40"/>
      <c r="G346" s="10">
        <f t="shared" ref="G346:H347" si="49">G347</f>
        <v>2634</v>
      </c>
      <c r="H346" s="10">
        <f t="shared" si="49"/>
        <v>2634</v>
      </c>
    </row>
    <row r="347" spans="1:8" ht="63" x14ac:dyDescent="0.25">
      <c r="A347" s="29" t="s">
        <v>287</v>
      </c>
      <c r="B347" s="20" t="s">
        <v>1051</v>
      </c>
      <c r="C347" s="40" t="s">
        <v>279</v>
      </c>
      <c r="D347" s="40" t="s">
        <v>228</v>
      </c>
      <c r="E347" s="40" t="s">
        <v>288</v>
      </c>
      <c r="F347" s="40"/>
      <c r="G347" s="10">
        <f t="shared" si="49"/>
        <v>2634</v>
      </c>
      <c r="H347" s="10">
        <f t="shared" si="49"/>
        <v>2634</v>
      </c>
    </row>
    <row r="348" spans="1:8" ht="31.5" x14ac:dyDescent="0.25">
      <c r="A348" s="195" t="s">
        <v>289</v>
      </c>
      <c r="B348" s="20" t="s">
        <v>1051</v>
      </c>
      <c r="C348" s="40" t="s">
        <v>279</v>
      </c>
      <c r="D348" s="40" t="s">
        <v>228</v>
      </c>
      <c r="E348" s="40" t="s">
        <v>290</v>
      </c>
      <c r="F348" s="40"/>
      <c r="G348" s="10">
        <f>'пр.6.1.ведом.21-22'!G672</f>
        <v>2634</v>
      </c>
      <c r="H348" s="10">
        <f>'пр.6.1.ведом.21-22'!H672</f>
        <v>2634</v>
      </c>
    </row>
    <row r="349" spans="1:8" ht="47.25" x14ac:dyDescent="0.25">
      <c r="A349" s="29" t="s">
        <v>418</v>
      </c>
      <c r="B349" s="20" t="s">
        <v>1051</v>
      </c>
      <c r="C349" s="40" t="s">
        <v>279</v>
      </c>
      <c r="D349" s="40" t="s">
        <v>228</v>
      </c>
      <c r="E349" s="40" t="s">
        <v>290</v>
      </c>
      <c r="F349" s="40" t="s">
        <v>652</v>
      </c>
      <c r="G349" s="10">
        <f>G348</f>
        <v>2634</v>
      </c>
      <c r="H349" s="10">
        <f>H348</f>
        <v>2634</v>
      </c>
    </row>
    <row r="350" spans="1:8" ht="63" x14ac:dyDescent="0.25">
      <c r="A350" s="279" t="s">
        <v>1053</v>
      </c>
      <c r="B350" s="24" t="s">
        <v>1049</v>
      </c>
      <c r="C350" s="7"/>
      <c r="D350" s="7"/>
      <c r="E350" s="7"/>
      <c r="F350" s="7"/>
      <c r="G350" s="59">
        <f>G353</f>
        <v>678</v>
      </c>
      <c r="H350" s="59">
        <f>H353</f>
        <v>678</v>
      </c>
    </row>
    <row r="351" spans="1:8" ht="15.75" x14ac:dyDescent="0.25">
      <c r="A351" s="29" t="s">
        <v>278</v>
      </c>
      <c r="B351" s="40" t="s">
        <v>1049</v>
      </c>
      <c r="C351" s="40" t="s">
        <v>279</v>
      </c>
      <c r="D351" s="40"/>
      <c r="E351" s="40"/>
      <c r="F351" s="40"/>
      <c r="G351" s="10">
        <f t="shared" ref="G351:H351" si="50">G352</f>
        <v>678</v>
      </c>
      <c r="H351" s="10">
        <f t="shared" si="50"/>
        <v>678</v>
      </c>
    </row>
    <row r="352" spans="1:8" ht="15.75" x14ac:dyDescent="0.25">
      <c r="A352" s="29" t="s">
        <v>440</v>
      </c>
      <c r="B352" s="40" t="s">
        <v>1049</v>
      </c>
      <c r="C352" s="40" t="s">
        <v>279</v>
      </c>
      <c r="D352" s="40" t="s">
        <v>228</v>
      </c>
      <c r="E352" s="40"/>
      <c r="F352" s="40"/>
      <c r="G352" s="10">
        <f t="shared" ref="G352:H354" si="51">G353</f>
        <v>678</v>
      </c>
      <c r="H352" s="10">
        <f t="shared" si="51"/>
        <v>678</v>
      </c>
    </row>
    <row r="353" spans="1:8" ht="94.5" x14ac:dyDescent="0.25">
      <c r="A353" s="195" t="s">
        <v>875</v>
      </c>
      <c r="B353" s="20" t="s">
        <v>1052</v>
      </c>
      <c r="C353" s="40" t="s">
        <v>279</v>
      </c>
      <c r="D353" s="40" t="s">
        <v>228</v>
      </c>
      <c r="E353" s="40"/>
      <c r="F353" s="40"/>
      <c r="G353" s="10">
        <f t="shared" si="51"/>
        <v>678</v>
      </c>
      <c r="H353" s="10">
        <f t="shared" si="51"/>
        <v>678</v>
      </c>
    </row>
    <row r="354" spans="1:8" ht="63" x14ac:dyDescent="0.25">
      <c r="A354" s="29" t="s">
        <v>287</v>
      </c>
      <c r="B354" s="20" t="s">
        <v>1052</v>
      </c>
      <c r="C354" s="40" t="s">
        <v>279</v>
      </c>
      <c r="D354" s="40" t="s">
        <v>228</v>
      </c>
      <c r="E354" s="40" t="s">
        <v>288</v>
      </c>
      <c r="F354" s="40"/>
      <c r="G354" s="10">
        <f t="shared" si="51"/>
        <v>678</v>
      </c>
      <c r="H354" s="10">
        <f t="shared" si="51"/>
        <v>678</v>
      </c>
    </row>
    <row r="355" spans="1:8" ht="31.5" x14ac:dyDescent="0.25">
      <c r="A355" s="195" t="s">
        <v>289</v>
      </c>
      <c r="B355" s="20" t="s">
        <v>1052</v>
      </c>
      <c r="C355" s="40" t="s">
        <v>279</v>
      </c>
      <c r="D355" s="40" t="s">
        <v>228</v>
      </c>
      <c r="E355" s="40" t="s">
        <v>290</v>
      </c>
      <c r="F355" s="40"/>
      <c r="G355" s="10">
        <f>'пр.6.1.ведом.21-22'!G676</f>
        <v>678</v>
      </c>
      <c r="H355" s="10">
        <f>'пр.6.1.ведом.21-22'!H676</f>
        <v>678</v>
      </c>
    </row>
    <row r="356" spans="1:8" ht="47.25" x14ac:dyDescent="0.25">
      <c r="A356" s="29" t="s">
        <v>418</v>
      </c>
      <c r="B356" s="20" t="s">
        <v>1052</v>
      </c>
      <c r="C356" s="40" t="s">
        <v>279</v>
      </c>
      <c r="D356" s="40" t="s">
        <v>228</v>
      </c>
      <c r="E356" s="40" t="s">
        <v>290</v>
      </c>
      <c r="F356" s="40" t="s">
        <v>652</v>
      </c>
      <c r="G356" s="10">
        <f>G355</f>
        <v>678</v>
      </c>
      <c r="H356" s="10">
        <f>H355</f>
        <v>678</v>
      </c>
    </row>
    <row r="357" spans="1:8" ht="63" x14ac:dyDescent="0.25">
      <c r="A357" s="41" t="s">
        <v>461</v>
      </c>
      <c r="B357" s="7" t="s">
        <v>462</v>
      </c>
      <c r="C357" s="7"/>
      <c r="D357" s="7"/>
      <c r="E357" s="7"/>
      <c r="F357" s="7"/>
      <c r="G357" s="59">
        <f t="shared" ref="G357:H357" si="52">G359</f>
        <v>689</v>
      </c>
      <c r="H357" s="59">
        <f t="shared" si="52"/>
        <v>689</v>
      </c>
    </row>
    <row r="358" spans="1:8" ht="63" x14ac:dyDescent="0.25">
      <c r="A358" s="23" t="s">
        <v>1082</v>
      </c>
      <c r="B358" s="24" t="s">
        <v>1058</v>
      </c>
      <c r="C358" s="7"/>
      <c r="D358" s="7"/>
      <c r="E358" s="7"/>
      <c r="F358" s="7"/>
      <c r="G358" s="59">
        <f>G359</f>
        <v>689</v>
      </c>
      <c r="H358" s="59">
        <f>H359</f>
        <v>689</v>
      </c>
    </row>
    <row r="359" spans="1:8" ht="15.75" x14ac:dyDescent="0.25">
      <c r="A359" s="29" t="s">
        <v>278</v>
      </c>
      <c r="B359" s="40" t="s">
        <v>1058</v>
      </c>
      <c r="C359" s="40" t="s">
        <v>279</v>
      </c>
      <c r="D359" s="40"/>
      <c r="E359" s="40"/>
      <c r="F359" s="40"/>
      <c r="G359" s="10">
        <f t="shared" ref="G359:H359" si="53">G360</f>
        <v>689</v>
      </c>
      <c r="H359" s="10">
        <f t="shared" si="53"/>
        <v>689</v>
      </c>
    </row>
    <row r="360" spans="1:8" ht="31.5" x14ac:dyDescent="0.25">
      <c r="A360" s="29" t="s">
        <v>280</v>
      </c>
      <c r="B360" s="40" t="s">
        <v>1058</v>
      </c>
      <c r="C360" s="40" t="s">
        <v>279</v>
      </c>
      <c r="D360" s="40" t="s">
        <v>230</v>
      </c>
      <c r="E360" s="40"/>
      <c r="F360" s="40"/>
      <c r="G360" s="10">
        <f>G361</f>
        <v>689</v>
      </c>
      <c r="H360" s="10">
        <f>H361</f>
        <v>689</v>
      </c>
    </row>
    <row r="361" spans="1:8" ht="63" x14ac:dyDescent="0.25">
      <c r="A361" s="45" t="s">
        <v>786</v>
      </c>
      <c r="B361" s="20" t="s">
        <v>1059</v>
      </c>
      <c r="C361" s="20" t="s">
        <v>279</v>
      </c>
      <c r="D361" s="20" t="s">
        <v>230</v>
      </c>
      <c r="E361" s="20"/>
      <c r="F361" s="20"/>
      <c r="G361" s="10">
        <f t="shared" ref="G361:H362" si="54">G362</f>
        <v>689</v>
      </c>
      <c r="H361" s="10">
        <f t="shared" si="54"/>
        <v>689</v>
      </c>
    </row>
    <row r="362" spans="1:8" ht="63" x14ac:dyDescent="0.25">
      <c r="A362" s="29" t="s">
        <v>287</v>
      </c>
      <c r="B362" s="20" t="s">
        <v>1059</v>
      </c>
      <c r="C362" s="20" t="s">
        <v>279</v>
      </c>
      <c r="D362" s="20" t="s">
        <v>230</v>
      </c>
      <c r="E362" s="20" t="s">
        <v>288</v>
      </c>
      <c r="F362" s="20"/>
      <c r="G362" s="10">
        <f t="shared" si="54"/>
        <v>689</v>
      </c>
      <c r="H362" s="10">
        <f t="shared" si="54"/>
        <v>689</v>
      </c>
    </row>
    <row r="363" spans="1:8" ht="31.5" x14ac:dyDescent="0.25">
      <c r="A363" s="31" t="s">
        <v>289</v>
      </c>
      <c r="B363" s="20" t="s">
        <v>1059</v>
      </c>
      <c r="C363" s="20" t="s">
        <v>279</v>
      </c>
      <c r="D363" s="20" t="s">
        <v>230</v>
      </c>
      <c r="E363" s="20" t="s">
        <v>290</v>
      </c>
      <c r="F363" s="20"/>
      <c r="G363" s="10">
        <f>'пр.6.1.ведом.21-22'!G712</f>
        <v>689</v>
      </c>
      <c r="H363" s="10">
        <f>'пр.6.1.ведом.21-22'!H712</f>
        <v>689</v>
      </c>
    </row>
    <row r="364" spans="1:8" ht="47.25" x14ac:dyDescent="0.25">
      <c r="A364" s="29" t="s">
        <v>418</v>
      </c>
      <c r="B364" s="20" t="s">
        <v>1059</v>
      </c>
      <c r="C364" s="40" t="s">
        <v>279</v>
      </c>
      <c r="D364" s="40" t="s">
        <v>230</v>
      </c>
      <c r="E364" s="40" t="s">
        <v>290</v>
      </c>
      <c r="F364" s="40" t="s">
        <v>652</v>
      </c>
      <c r="G364" s="10">
        <f>G363</f>
        <v>689</v>
      </c>
      <c r="H364" s="10">
        <f>H363</f>
        <v>689</v>
      </c>
    </row>
    <row r="365" spans="1:8" ht="63" x14ac:dyDescent="0.25">
      <c r="A365" s="41" t="s">
        <v>482</v>
      </c>
      <c r="B365" s="7" t="s">
        <v>484</v>
      </c>
      <c r="C365" s="7"/>
      <c r="D365" s="7"/>
      <c r="E365" s="7"/>
      <c r="F365" s="7"/>
      <c r="G365" s="59">
        <f>G366</f>
        <v>5804.9</v>
      </c>
      <c r="H365" s="59">
        <f>H366</f>
        <v>5804.9</v>
      </c>
    </row>
    <row r="366" spans="1:8" ht="47.25" x14ac:dyDescent="0.25">
      <c r="A366" s="23" t="s">
        <v>1061</v>
      </c>
      <c r="B366" s="24" t="s">
        <v>1062</v>
      </c>
      <c r="C366" s="7"/>
      <c r="D366" s="7"/>
      <c r="E366" s="7"/>
      <c r="F366" s="7"/>
      <c r="G366" s="59">
        <f>G367</f>
        <v>5804.9</v>
      </c>
      <c r="H366" s="59">
        <f>H367</f>
        <v>5804.9</v>
      </c>
    </row>
    <row r="367" spans="1:8" ht="15.75" x14ac:dyDescent="0.25">
      <c r="A367" s="29" t="s">
        <v>278</v>
      </c>
      <c r="B367" s="40" t="s">
        <v>1062</v>
      </c>
      <c r="C367" s="40" t="s">
        <v>279</v>
      </c>
      <c r="D367" s="40"/>
      <c r="E367" s="40"/>
      <c r="F367" s="40"/>
      <c r="G367" s="10">
        <f t="shared" ref="G367:H370" si="55">G368</f>
        <v>5804.9</v>
      </c>
      <c r="H367" s="10">
        <f t="shared" si="55"/>
        <v>5804.9</v>
      </c>
    </row>
    <row r="368" spans="1:8" ht="19.5" customHeight="1" x14ac:dyDescent="0.25">
      <c r="A368" s="29" t="s">
        <v>481</v>
      </c>
      <c r="B368" s="40" t="s">
        <v>1062</v>
      </c>
      <c r="C368" s="40" t="s">
        <v>279</v>
      </c>
      <c r="D368" s="40" t="s">
        <v>279</v>
      </c>
      <c r="E368" s="40"/>
      <c r="F368" s="40"/>
      <c r="G368" s="10">
        <f>G369+G373</f>
        <v>5804.9</v>
      </c>
      <c r="H368" s="10">
        <f>H369+H373</f>
        <v>5804.9</v>
      </c>
    </row>
    <row r="369" spans="1:8" ht="47.25" x14ac:dyDescent="0.25">
      <c r="A369" s="31" t="s">
        <v>1246</v>
      </c>
      <c r="B369" s="20" t="s">
        <v>1063</v>
      </c>
      <c r="C369" s="40" t="s">
        <v>279</v>
      </c>
      <c r="D369" s="40" t="s">
        <v>279</v>
      </c>
      <c r="E369" s="40"/>
      <c r="F369" s="40"/>
      <c r="G369" s="10">
        <f t="shared" si="55"/>
        <v>3584</v>
      </c>
      <c r="H369" s="10">
        <f t="shared" si="55"/>
        <v>3584</v>
      </c>
    </row>
    <row r="370" spans="1:8" ht="63" x14ac:dyDescent="0.25">
      <c r="A370" s="25" t="s">
        <v>287</v>
      </c>
      <c r="B370" s="20" t="s">
        <v>1063</v>
      </c>
      <c r="C370" s="40" t="s">
        <v>279</v>
      </c>
      <c r="D370" s="40" t="s">
        <v>279</v>
      </c>
      <c r="E370" s="40" t="s">
        <v>288</v>
      </c>
      <c r="F370" s="40"/>
      <c r="G370" s="10">
        <f t="shared" si="55"/>
        <v>3584</v>
      </c>
      <c r="H370" s="10">
        <f t="shared" si="55"/>
        <v>3584</v>
      </c>
    </row>
    <row r="371" spans="1:8" ht="31.5" x14ac:dyDescent="0.25">
      <c r="A371" s="25" t="s">
        <v>289</v>
      </c>
      <c r="B371" s="20" t="s">
        <v>1063</v>
      </c>
      <c r="C371" s="40" t="s">
        <v>279</v>
      </c>
      <c r="D371" s="40" t="s">
        <v>279</v>
      </c>
      <c r="E371" s="40" t="s">
        <v>290</v>
      </c>
      <c r="F371" s="40"/>
      <c r="G371" s="10">
        <f>'пр.6.1.ведом.21-22'!G724</f>
        <v>3584</v>
      </c>
      <c r="H371" s="10">
        <f>'пр.6.1.ведом.21-22'!H724</f>
        <v>3584</v>
      </c>
    </row>
    <row r="372" spans="1:8" ht="47.25" x14ac:dyDescent="0.25">
      <c r="A372" s="29" t="s">
        <v>418</v>
      </c>
      <c r="B372" s="20" t="s">
        <v>1063</v>
      </c>
      <c r="C372" s="40" t="s">
        <v>279</v>
      </c>
      <c r="D372" s="40" t="s">
        <v>279</v>
      </c>
      <c r="E372" s="40" t="s">
        <v>290</v>
      </c>
      <c r="F372" s="40" t="s">
        <v>652</v>
      </c>
      <c r="G372" s="10">
        <f>G371</f>
        <v>3584</v>
      </c>
      <c r="H372" s="10">
        <f>H371</f>
        <v>3584</v>
      </c>
    </row>
    <row r="373" spans="1:8" ht="47.25" x14ac:dyDescent="0.25">
      <c r="A373" s="31" t="s">
        <v>489</v>
      </c>
      <c r="B373" s="20" t="s">
        <v>1064</v>
      </c>
      <c r="C373" s="40" t="s">
        <v>279</v>
      </c>
      <c r="D373" s="40" t="s">
        <v>279</v>
      </c>
      <c r="E373" s="40"/>
      <c r="F373" s="40"/>
      <c r="G373" s="10">
        <f>G374</f>
        <v>2220.9</v>
      </c>
      <c r="H373" s="10">
        <f>H374</f>
        <v>2220.9</v>
      </c>
    </row>
    <row r="374" spans="1:8" ht="63" x14ac:dyDescent="0.25">
      <c r="A374" s="25" t="s">
        <v>287</v>
      </c>
      <c r="B374" s="20" t="s">
        <v>1064</v>
      </c>
      <c r="C374" s="40" t="s">
        <v>279</v>
      </c>
      <c r="D374" s="40" t="s">
        <v>279</v>
      </c>
      <c r="E374" s="40" t="s">
        <v>288</v>
      </c>
      <c r="F374" s="40"/>
      <c r="G374" s="10">
        <f>G375</f>
        <v>2220.9</v>
      </c>
      <c r="H374" s="10">
        <f>H375</f>
        <v>2220.9</v>
      </c>
    </row>
    <row r="375" spans="1:8" ht="31.5" x14ac:dyDescent="0.25">
      <c r="A375" s="25" t="s">
        <v>289</v>
      </c>
      <c r="B375" s="20" t="s">
        <v>1064</v>
      </c>
      <c r="C375" s="40" t="s">
        <v>279</v>
      </c>
      <c r="D375" s="40" t="s">
        <v>279</v>
      </c>
      <c r="E375" s="40" t="s">
        <v>290</v>
      </c>
      <c r="F375" s="40"/>
      <c r="G375" s="10">
        <f>'пр.6.1.ведом.21-22'!G727</f>
        <v>2220.9</v>
      </c>
      <c r="H375" s="10">
        <f>'пр.6.1.ведом.21-22'!H727</f>
        <v>2220.9</v>
      </c>
    </row>
    <row r="376" spans="1:8" ht="47.25" x14ac:dyDescent="0.25">
      <c r="A376" s="29" t="s">
        <v>418</v>
      </c>
      <c r="B376" s="20" t="s">
        <v>1064</v>
      </c>
      <c r="C376" s="40" t="s">
        <v>279</v>
      </c>
      <c r="D376" s="40" t="s">
        <v>279</v>
      </c>
      <c r="E376" s="40" t="s">
        <v>290</v>
      </c>
      <c r="F376" s="40" t="s">
        <v>652</v>
      </c>
      <c r="G376" s="10">
        <f>G375</f>
        <v>2220.9</v>
      </c>
      <c r="H376" s="10">
        <f>H375</f>
        <v>2220.9</v>
      </c>
    </row>
    <row r="377" spans="1:8" ht="78.75" x14ac:dyDescent="0.25">
      <c r="A377" s="58" t="s">
        <v>814</v>
      </c>
      <c r="B377" s="214" t="s">
        <v>171</v>
      </c>
      <c r="C377" s="7"/>
      <c r="D377" s="214"/>
      <c r="E377" s="214"/>
      <c r="F377" s="214"/>
      <c r="G377" s="59">
        <f>G379</f>
        <v>0</v>
      </c>
      <c r="H377" s="59">
        <f>H379</f>
        <v>0</v>
      </c>
    </row>
    <row r="378" spans="1:8" ht="63" x14ac:dyDescent="0.25">
      <c r="A378" s="23" t="s">
        <v>1254</v>
      </c>
      <c r="B378" s="24" t="s">
        <v>1251</v>
      </c>
      <c r="C378" s="7"/>
      <c r="D378" s="7"/>
      <c r="E378" s="7"/>
      <c r="F378" s="7"/>
      <c r="G378" s="59">
        <f>G379+G381</f>
        <v>0</v>
      </c>
      <c r="H378" s="59">
        <f>H379+H381</f>
        <v>0</v>
      </c>
    </row>
    <row r="379" spans="1:8" ht="15.75" x14ac:dyDescent="0.25">
      <c r="A379" s="45" t="s">
        <v>247</v>
      </c>
      <c r="B379" s="5" t="s">
        <v>1251</v>
      </c>
      <c r="C379" s="40" t="s">
        <v>165</v>
      </c>
      <c r="D379" s="40"/>
      <c r="E379" s="40"/>
      <c r="F379" s="40"/>
      <c r="G379" s="10">
        <f>G380</f>
        <v>0</v>
      </c>
      <c r="H379" s="10">
        <f>H380</f>
        <v>0</v>
      </c>
    </row>
    <row r="380" spans="1:8" ht="31.5" x14ac:dyDescent="0.25">
      <c r="A380" s="45" t="s">
        <v>797</v>
      </c>
      <c r="B380" s="5" t="s">
        <v>1251</v>
      </c>
      <c r="C380" s="40" t="s">
        <v>165</v>
      </c>
      <c r="D380" s="40" t="s">
        <v>253</v>
      </c>
      <c r="E380" s="40"/>
      <c r="F380" s="40"/>
      <c r="G380" s="10">
        <f>G381+G385</f>
        <v>0</v>
      </c>
      <c r="H380" s="10">
        <f>H381+H385</f>
        <v>0</v>
      </c>
    </row>
    <row r="381" spans="1:8" ht="47.25" x14ac:dyDescent="0.25">
      <c r="A381" s="25" t="s">
        <v>1255</v>
      </c>
      <c r="B381" s="20" t="s">
        <v>1252</v>
      </c>
      <c r="C381" s="40" t="s">
        <v>165</v>
      </c>
      <c r="D381" s="40" t="s">
        <v>253</v>
      </c>
      <c r="E381" s="40"/>
      <c r="F381" s="40"/>
      <c r="G381" s="10">
        <f>G382</f>
        <v>0</v>
      </c>
      <c r="H381" s="10">
        <f>H382</f>
        <v>0</v>
      </c>
    </row>
    <row r="382" spans="1:8" ht="15.75" x14ac:dyDescent="0.25">
      <c r="A382" s="25" t="s">
        <v>150</v>
      </c>
      <c r="B382" s="20" t="s">
        <v>1252</v>
      </c>
      <c r="C382" s="40" t="s">
        <v>165</v>
      </c>
      <c r="D382" s="40" t="s">
        <v>253</v>
      </c>
      <c r="E382" s="40" t="s">
        <v>147</v>
      </c>
      <c r="F382" s="40"/>
      <c r="G382" s="10">
        <f>G383</f>
        <v>0</v>
      </c>
      <c r="H382" s="10">
        <f>H383</f>
        <v>0</v>
      </c>
    </row>
    <row r="383" spans="1:8" ht="78.75" x14ac:dyDescent="0.25">
      <c r="A383" s="25" t="s">
        <v>199</v>
      </c>
      <c r="B383" s="20" t="s">
        <v>1252</v>
      </c>
      <c r="C383" s="40" t="s">
        <v>165</v>
      </c>
      <c r="D383" s="40" t="s">
        <v>253</v>
      </c>
      <c r="E383" s="40" t="s">
        <v>149</v>
      </c>
      <c r="F383" s="40"/>
      <c r="G383" s="10">
        <f>'пр.6.1.ведом.21-22'!G186</f>
        <v>0</v>
      </c>
      <c r="H383" s="10">
        <f>'пр.6.1.ведом.21-22'!H186</f>
        <v>0</v>
      </c>
    </row>
    <row r="384" spans="1:8" ht="31.5" x14ac:dyDescent="0.25">
      <c r="A384" s="29" t="s">
        <v>163</v>
      </c>
      <c r="B384" s="20" t="s">
        <v>1252</v>
      </c>
      <c r="C384" s="40" t="s">
        <v>165</v>
      </c>
      <c r="D384" s="40" t="s">
        <v>253</v>
      </c>
      <c r="E384" s="40" t="s">
        <v>149</v>
      </c>
      <c r="F384" s="40" t="s">
        <v>657</v>
      </c>
      <c r="G384" s="10">
        <f>G383</f>
        <v>0</v>
      </c>
      <c r="H384" s="10">
        <f>H383</f>
        <v>0</v>
      </c>
    </row>
    <row r="385" spans="1:8" ht="47.25" hidden="1" x14ac:dyDescent="0.25">
      <c r="A385" s="25" t="s">
        <v>254</v>
      </c>
      <c r="B385" s="20" t="s">
        <v>1253</v>
      </c>
      <c r="C385" s="40" t="s">
        <v>165</v>
      </c>
      <c r="D385" s="40" t="s">
        <v>253</v>
      </c>
      <c r="E385" s="40"/>
      <c r="F385" s="40"/>
      <c r="G385" s="10">
        <f>G386</f>
        <v>0</v>
      </c>
      <c r="H385" s="10">
        <f>H386</f>
        <v>0</v>
      </c>
    </row>
    <row r="386" spans="1:8" ht="15.75" hidden="1" x14ac:dyDescent="0.25">
      <c r="A386" s="25" t="s">
        <v>150</v>
      </c>
      <c r="B386" s="20" t="s">
        <v>1253</v>
      </c>
      <c r="C386" s="40" t="s">
        <v>165</v>
      </c>
      <c r="D386" s="40" t="s">
        <v>253</v>
      </c>
      <c r="E386" s="40" t="s">
        <v>160</v>
      </c>
      <c r="F386" s="40"/>
      <c r="G386" s="10">
        <f>G387</f>
        <v>0</v>
      </c>
      <c r="H386" s="10">
        <f>H387</f>
        <v>0</v>
      </c>
    </row>
    <row r="387" spans="1:8" ht="78.75" hidden="1" x14ac:dyDescent="0.25">
      <c r="A387" s="25" t="s">
        <v>199</v>
      </c>
      <c r="B387" s="20" t="s">
        <v>1253</v>
      </c>
      <c r="C387" s="40" t="s">
        <v>165</v>
      </c>
      <c r="D387" s="40" t="s">
        <v>253</v>
      </c>
      <c r="E387" s="40" t="s">
        <v>175</v>
      </c>
      <c r="F387" s="40"/>
      <c r="G387" s="10">
        <f>'пр.6.1.ведом.21-22'!G189</f>
        <v>0</v>
      </c>
      <c r="H387" s="10">
        <f>'пр.6.1.ведом.21-22'!H189</f>
        <v>0</v>
      </c>
    </row>
    <row r="388" spans="1:8" ht="31.5" hidden="1" x14ac:dyDescent="0.25">
      <c r="A388" s="29" t="s">
        <v>163</v>
      </c>
      <c r="B388" s="20" t="s">
        <v>1253</v>
      </c>
      <c r="C388" s="40" t="s">
        <v>165</v>
      </c>
      <c r="D388" s="40" t="s">
        <v>253</v>
      </c>
      <c r="E388" s="40" t="s">
        <v>175</v>
      </c>
      <c r="F388" s="40" t="s">
        <v>657</v>
      </c>
      <c r="G388" s="10">
        <f>G387</f>
        <v>0</v>
      </c>
      <c r="H388" s="10">
        <f>H387</f>
        <v>0</v>
      </c>
    </row>
    <row r="389" spans="1:8" ht="78.75" x14ac:dyDescent="0.25">
      <c r="A389" s="41" t="s">
        <v>818</v>
      </c>
      <c r="B389" s="214" t="s">
        <v>177</v>
      </c>
      <c r="C389" s="7"/>
      <c r="D389" s="7"/>
      <c r="E389" s="7"/>
      <c r="F389" s="7"/>
      <c r="G389" s="59">
        <f>G390+G397+G416</f>
        <v>549</v>
      </c>
      <c r="H389" s="59">
        <f>H390+H397+H416</f>
        <v>549</v>
      </c>
    </row>
    <row r="390" spans="1:8" ht="94.5" x14ac:dyDescent="0.25">
      <c r="A390" s="283" t="s">
        <v>1161</v>
      </c>
      <c r="B390" s="7" t="s">
        <v>897</v>
      </c>
      <c r="C390" s="7"/>
      <c r="D390" s="8"/>
      <c r="E390" s="214"/>
      <c r="F390" s="7"/>
      <c r="G390" s="59">
        <f>G392</f>
        <v>446</v>
      </c>
      <c r="H390" s="59">
        <f>H392</f>
        <v>446</v>
      </c>
    </row>
    <row r="391" spans="1:8" ht="15.75" x14ac:dyDescent="0.25">
      <c r="A391" s="45" t="s">
        <v>132</v>
      </c>
      <c r="B391" s="5" t="s">
        <v>897</v>
      </c>
      <c r="C391" s="40" t="s">
        <v>133</v>
      </c>
      <c r="D391" s="5"/>
      <c r="E391" s="5"/>
      <c r="F391" s="40"/>
      <c r="G391" s="10">
        <f t="shared" ref="G391:H391" si="56">G392</f>
        <v>446</v>
      </c>
      <c r="H391" s="10">
        <f t="shared" si="56"/>
        <v>446</v>
      </c>
    </row>
    <row r="392" spans="1:8" ht="94.5" x14ac:dyDescent="0.25">
      <c r="A392" s="29" t="s">
        <v>164</v>
      </c>
      <c r="B392" s="5" t="s">
        <v>897</v>
      </c>
      <c r="C392" s="40" t="s">
        <v>133</v>
      </c>
      <c r="D392" s="9" t="s">
        <v>165</v>
      </c>
      <c r="E392" s="5"/>
      <c r="F392" s="40"/>
      <c r="G392" s="10">
        <f>G393</f>
        <v>446</v>
      </c>
      <c r="H392" s="10">
        <f>H393</f>
        <v>446</v>
      </c>
    </row>
    <row r="393" spans="1:8" ht="31.5" x14ac:dyDescent="0.25">
      <c r="A393" s="29" t="s">
        <v>178</v>
      </c>
      <c r="B393" s="40" t="s">
        <v>889</v>
      </c>
      <c r="C393" s="40" t="s">
        <v>133</v>
      </c>
      <c r="D393" s="9" t="s">
        <v>165</v>
      </c>
      <c r="E393" s="40"/>
      <c r="F393" s="40"/>
      <c r="G393" s="10">
        <f t="shared" ref="G393:H394" si="57">G394</f>
        <v>446</v>
      </c>
      <c r="H393" s="10">
        <f t="shared" si="57"/>
        <v>446</v>
      </c>
    </row>
    <row r="394" spans="1:8" ht="47.25" x14ac:dyDescent="0.25">
      <c r="A394" s="29" t="s">
        <v>146</v>
      </c>
      <c r="B394" s="40" t="s">
        <v>889</v>
      </c>
      <c r="C394" s="40" t="s">
        <v>133</v>
      </c>
      <c r="D394" s="9" t="s">
        <v>165</v>
      </c>
      <c r="E394" s="40" t="s">
        <v>147</v>
      </c>
      <c r="F394" s="40"/>
      <c r="G394" s="10">
        <f t="shared" si="57"/>
        <v>446</v>
      </c>
      <c r="H394" s="10">
        <f t="shared" si="57"/>
        <v>446</v>
      </c>
    </row>
    <row r="395" spans="1:8" ht="63" x14ac:dyDescent="0.25">
      <c r="A395" s="29" t="s">
        <v>148</v>
      </c>
      <c r="B395" s="40" t="s">
        <v>889</v>
      </c>
      <c r="C395" s="40" t="s">
        <v>133</v>
      </c>
      <c r="D395" s="9" t="s">
        <v>165</v>
      </c>
      <c r="E395" s="40" t="s">
        <v>149</v>
      </c>
      <c r="F395" s="40"/>
      <c r="G395" s="10">
        <f>'пр.6.1.ведом.21-22'!G73</f>
        <v>446</v>
      </c>
      <c r="H395" s="10">
        <f>'пр.6.1.ведом.21-22'!H73</f>
        <v>446</v>
      </c>
    </row>
    <row r="396" spans="1:8" ht="31.5" x14ac:dyDescent="0.25">
      <c r="A396" s="29" t="s">
        <v>163</v>
      </c>
      <c r="B396" s="40" t="s">
        <v>889</v>
      </c>
      <c r="C396" s="40" t="s">
        <v>133</v>
      </c>
      <c r="D396" s="9" t="s">
        <v>165</v>
      </c>
      <c r="E396" s="40" t="s">
        <v>149</v>
      </c>
      <c r="F396" s="40" t="s">
        <v>657</v>
      </c>
      <c r="G396" s="10">
        <f>G395</f>
        <v>446</v>
      </c>
      <c r="H396" s="10">
        <f>H395</f>
        <v>446</v>
      </c>
    </row>
    <row r="397" spans="1:8" ht="94.5" x14ac:dyDescent="0.25">
      <c r="A397" s="282" t="s">
        <v>891</v>
      </c>
      <c r="B397" s="7" t="s">
        <v>898</v>
      </c>
      <c r="C397" s="7"/>
      <c r="D397" s="8"/>
      <c r="E397" s="214"/>
      <c r="F397" s="7"/>
      <c r="G397" s="59">
        <f>G398</f>
        <v>102.5</v>
      </c>
      <c r="H397" s="59">
        <f>H398</f>
        <v>102.5</v>
      </c>
    </row>
    <row r="398" spans="1:8" ht="15.75" x14ac:dyDescent="0.25">
      <c r="A398" s="45" t="s">
        <v>132</v>
      </c>
      <c r="B398" s="5" t="s">
        <v>898</v>
      </c>
      <c r="C398" s="40" t="s">
        <v>133</v>
      </c>
      <c r="D398" s="5"/>
      <c r="E398" s="5"/>
      <c r="F398" s="40"/>
      <c r="G398" s="10">
        <f>G399+G408</f>
        <v>102.5</v>
      </c>
      <c r="H398" s="10">
        <f>H399+H408</f>
        <v>102.5</v>
      </c>
    </row>
    <row r="399" spans="1:8" ht="63" x14ac:dyDescent="0.25">
      <c r="A399" s="29" t="s">
        <v>590</v>
      </c>
      <c r="B399" s="5" t="s">
        <v>898</v>
      </c>
      <c r="C399" s="40" t="s">
        <v>133</v>
      </c>
      <c r="D399" s="9" t="s">
        <v>228</v>
      </c>
      <c r="E399" s="5"/>
      <c r="F399" s="40"/>
      <c r="G399" s="10">
        <f>G400+G404</f>
        <v>25.5</v>
      </c>
      <c r="H399" s="10">
        <f>H400+H404</f>
        <v>25.5</v>
      </c>
    </row>
    <row r="400" spans="1:8" ht="78.75" x14ac:dyDescent="0.25">
      <c r="A400" s="31" t="s">
        <v>711</v>
      </c>
      <c r="B400" s="40" t="s">
        <v>1147</v>
      </c>
      <c r="C400" s="40" t="s">
        <v>133</v>
      </c>
      <c r="D400" s="9" t="s">
        <v>228</v>
      </c>
      <c r="E400" s="5"/>
      <c r="F400" s="40"/>
      <c r="G400" s="10">
        <f>G401</f>
        <v>0.5</v>
      </c>
      <c r="H400" s="10">
        <f>H401</f>
        <v>0.5</v>
      </c>
    </row>
    <row r="401" spans="1:8" ht="47.25" x14ac:dyDescent="0.25">
      <c r="A401" s="25" t="s">
        <v>146</v>
      </c>
      <c r="B401" s="40" t="s">
        <v>1147</v>
      </c>
      <c r="C401" s="40" t="s">
        <v>133</v>
      </c>
      <c r="D401" s="9" t="s">
        <v>228</v>
      </c>
      <c r="E401" s="5">
        <v>200</v>
      </c>
      <c r="F401" s="40"/>
      <c r="G401" s="10">
        <f>G402</f>
        <v>0.5</v>
      </c>
      <c r="H401" s="10">
        <f>H402</f>
        <v>0.5</v>
      </c>
    </row>
    <row r="402" spans="1:8" ht="63" x14ac:dyDescent="0.25">
      <c r="A402" s="25" t="s">
        <v>148</v>
      </c>
      <c r="B402" s="40" t="s">
        <v>712</v>
      </c>
      <c r="C402" s="40" t="s">
        <v>133</v>
      </c>
      <c r="D402" s="9" t="s">
        <v>228</v>
      </c>
      <c r="E402" s="5">
        <v>240</v>
      </c>
      <c r="F402" s="40"/>
      <c r="G402" s="10">
        <f>'пр.6.1.ведом.21-22'!G1061</f>
        <v>0.5</v>
      </c>
      <c r="H402" s="10">
        <f>'пр.6.1.ведом.21-22'!H1061</f>
        <v>0.5</v>
      </c>
    </row>
    <row r="403" spans="1:8" ht="31.5" x14ac:dyDescent="0.25">
      <c r="A403" s="45" t="s">
        <v>589</v>
      </c>
      <c r="B403" s="40" t="s">
        <v>712</v>
      </c>
      <c r="C403" s="40" t="s">
        <v>133</v>
      </c>
      <c r="D403" s="9" t="s">
        <v>228</v>
      </c>
      <c r="E403" s="5">
        <v>240</v>
      </c>
      <c r="F403" s="40" t="s">
        <v>813</v>
      </c>
      <c r="G403" s="10">
        <f>G402</f>
        <v>0.5</v>
      </c>
      <c r="H403" s="10">
        <f>H402</f>
        <v>0.5</v>
      </c>
    </row>
    <row r="404" spans="1:8" ht="78.75" x14ac:dyDescent="0.25">
      <c r="A404" s="31" t="s">
        <v>711</v>
      </c>
      <c r="B404" s="20" t="s">
        <v>1146</v>
      </c>
      <c r="C404" s="40" t="s">
        <v>133</v>
      </c>
      <c r="D404" s="9" t="s">
        <v>228</v>
      </c>
      <c r="E404" s="5"/>
      <c r="F404" s="40"/>
      <c r="G404" s="10">
        <f>G405</f>
        <v>25</v>
      </c>
      <c r="H404" s="10">
        <f>H405</f>
        <v>25</v>
      </c>
    </row>
    <row r="405" spans="1:8" ht="47.25" x14ac:dyDescent="0.25">
      <c r="A405" s="25" t="s">
        <v>146</v>
      </c>
      <c r="B405" s="20" t="s">
        <v>1146</v>
      </c>
      <c r="C405" s="40" t="s">
        <v>133</v>
      </c>
      <c r="D405" s="9" t="s">
        <v>228</v>
      </c>
      <c r="E405" s="5">
        <v>200</v>
      </c>
      <c r="F405" s="40"/>
      <c r="G405" s="10">
        <f>G406</f>
        <v>25</v>
      </c>
      <c r="H405" s="10">
        <f>H406</f>
        <v>25</v>
      </c>
    </row>
    <row r="406" spans="1:8" ht="63" x14ac:dyDescent="0.25">
      <c r="A406" s="25" t="s">
        <v>148</v>
      </c>
      <c r="B406" s="20" t="s">
        <v>1146</v>
      </c>
      <c r="C406" s="40" t="s">
        <v>133</v>
      </c>
      <c r="D406" s="9" t="s">
        <v>228</v>
      </c>
      <c r="E406" s="5">
        <v>240</v>
      </c>
      <c r="F406" s="40"/>
      <c r="G406" s="10">
        <f>'пр.6.1.ведом.21-22'!G1064</f>
        <v>25</v>
      </c>
      <c r="H406" s="10">
        <f>'пр.6.1.ведом.21-22'!H1064</f>
        <v>25</v>
      </c>
    </row>
    <row r="407" spans="1:8" ht="31.5" x14ac:dyDescent="0.25">
      <c r="A407" s="45" t="s">
        <v>589</v>
      </c>
      <c r="B407" s="20" t="s">
        <v>1146</v>
      </c>
      <c r="C407" s="40" t="s">
        <v>133</v>
      </c>
      <c r="D407" s="9" t="s">
        <v>228</v>
      </c>
      <c r="E407" s="5">
        <v>240</v>
      </c>
      <c r="F407" s="40" t="s">
        <v>813</v>
      </c>
      <c r="G407" s="10">
        <f>G406</f>
        <v>25</v>
      </c>
      <c r="H407" s="10">
        <f>H406</f>
        <v>25</v>
      </c>
    </row>
    <row r="408" spans="1:8" ht="94.5" x14ac:dyDescent="0.25">
      <c r="A408" s="29" t="s">
        <v>164</v>
      </c>
      <c r="B408" s="5" t="s">
        <v>898</v>
      </c>
      <c r="C408" s="40" t="s">
        <v>133</v>
      </c>
      <c r="D408" s="9" t="s">
        <v>165</v>
      </c>
      <c r="E408" s="5"/>
      <c r="F408" s="40"/>
      <c r="G408" s="10">
        <f>G409</f>
        <v>77</v>
      </c>
      <c r="H408" s="10">
        <f>H409</f>
        <v>77</v>
      </c>
    </row>
    <row r="409" spans="1:8" ht="78.75" x14ac:dyDescent="0.25">
      <c r="A409" s="180" t="s">
        <v>180</v>
      </c>
      <c r="B409" s="40" t="s">
        <v>890</v>
      </c>
      <c r="C409" s="40" t="s">
        <v>133</v>
      </c>
      <c r="D409" s="9" t="s">
        <v>165</v>
      </c>
      <c r="E409" s="40"/>
      <c r="F409" s="40"/>
      <c r="G409" s="10">
        <f>G410+G413</f>
        <v>77</v>
      </c>
      <c r="H409" s="10">
        <f>H410+H413</f>
        <v>77</v>
      </c>
    </row>
    <row r="410" spans="1:8" ht="126" x14ac:dyDescent="0.25">
      <c r="A410" s="25" t="s">
        <v>142</v>
      </c>
      <c r="B410" s="40" t="s">
        <v>890</v>
      </c>
      <c r="C410" s="40" t="s">
        <v>133</v>
      </c>
      <c r="D410" s="9" t="s">
        <v>165</v>
      </c>
      <c r="E410" s="40" t="s">
        <v>143</v>
      </c>
      <c r="F410" s="40"/>
      <c r="G410" s="10">
        <f t="shared" ref="G410:H410" si="58">G411</f>
        <v>37</v>
      </c>
      <c r="H410" s="10">
        <f t="shared" si="58"/>
        <v>37</v>
      </c>
    </row>
    <row r="411" spans="1:8" ht="47.25" x14ac:dyDescent="0.25">
      <c r="A411" s="25" t="s">
        <v>144</v>
      </c>
      <c r="B411" s="40" t="s">
        <v>890</v>
      </c>
      <c r="C411" s="40" t="s">
        <v>133</v>
      </c>
      <c r="D411" s="9" t="s">
        <v>165</v>
      </c>
      <c r="E411" s="40" t="s">
        <v>145</v>
      </c>
      <c r="F411" s="40"/>
      <c r="G411" s="10">
        <f>'пр.6.1.ведом.21-22'!G77</f>
        <v>37</v>
      </c>
      <c r="H411" s="10">
        <f>'пр.6.1.ведом.21-22'!H77</f>
        <v>37</v>
      </c>
    </row>
    <row r="412" spans="1:8" ht="31.5" x14ac:dyDescent="0.25">
      <c r="A412" s="29" t="s">
        <v>163</v>
      </c>
      <c r="B412" s="40" t="s">
        <v>890</v>
      </c>
      <c r="C412" s="40" t="s">
        <v>133</v>
      </c>
      <c r="D412" s="9" t="s">
        <v>165</v>
      </c>
      <c r="E412" s="40" t="s">
        <v>145</v>
      </c>
      <c r="F412" s="40" t="s">
        <v>657</v>
      </c>
      <c r="G412" s="10">
        <f>G411</f>
        <v>37</v>
      </c>
      <c r="H412" s="10">
        <f>H411</f>
        <v>37</v>
      </c>
    </row>
    <row r="413" spans="1:8" ht="47.25" x14ac:dyDescent="0.25">
      <c r="A413" s="25" t="s">
        <v>146</v>
      </c>
      <c r="B413" s="40" t="s">
        <v>890</v>
      </c>
      <c r="C413" s="40" t="s">
        <v>133</v>
      </c>
      <c r="D413" s="9" t="s">
        <v>165</v>
      </c>
      <c r="E413" s="40" t="s">
        <v>147</v>
      </c>
      <c r="F413" s="40"/>
      <c r="G413" s="10">
        <f t="shared" ref="G413:H413" si="59">G414</f>
        <v>40</v>
      </c>
      <c r="H413" s="10">
        <f t="shared" si="59"/>
        <v>40</v>
      </c>
    </row>
    <row r="414" spans="1:8" ht="63" x14ac:dyDescent="0.25">
      <c r="A414" s="25" t="s">
        <v>148</v>
      </c>
      <c r="B414" s="40" t="s">
        <v>890</v>
      </c>
      <c r="C414" s="40" t="s">
        <v>133</v>
      </c>
      <c r="D414" s="9" t="s">
        <v>165</v>
      </c>
      <c r="E414" s="40" t="s">
        <v>149</v>
      </c>
      <c r="F414" s="40"/>
      <c r="G414" s="10">
        <f>'пр.6.1.ведом.21-22'!G79</f>
        <v>40</v>
      </c>
      <c r="H414" s="10">
        <f>'пр.6.1.ведом.21-22'!H79</f>
        <v>40</v>
      </c>
    </row>
    <row r="415" spans="1:8" ht="31.5" x14ac:dyDescent="0.25">
      <c r="A415" s="29" t="s">
        <v>163</v>
      </c>
      <c r="B415" s="40" t="s">
        <v>890</v>
      </c>
      <c r="C415" s="40" t="s">
        <v>133</v>
      </c>
      <c r="D415" s="9" t="s">
        <v>165</v>
      </c>
      <c r="E415" s="40" t="s">
        <v>149</v>
      </c>
      <c r="F415" s="40" t="s">
        <v>657</v>
      </c>
      <c r="G415" s="10">
        <f>G414</f>
        <v>40</v>
      </c>
      <c r="H415" s="10">
        <f>H414</f>
        <v>40</v>
      </c>
    </row>
    <row r="416" spans="1:8" ht="94.5" x14ac:dyDescent="0.25">
      <c r="A416" s="34" t="s">
        <v>1162</v>
      </c>
      <c r="B416" s="7" t="s">
        <v>899</v>
      </c>
      <c r="C416" s="7"/>
      <c r="D416" s="8"/>
      <c r="E416" s="7"/>
      <c r="F416" s="7"/>
      <c r="G416" s="59">
        <f>G417</f>
        <v>0.5</v>
      </c>
      <c r="H416" s="59">
        <f>H417</f>
        <v>0.5</v>
      </c>
    </row>
    <row r="417" spans="1:8" s="229" customFormat="1" ht="15.75" x14ac:dyDescent="0.25">
      <c r="A417" s="449" t="s">
        <v>132</v>
      </c>
      <c r="B417" s="40" t="s">
        <v>899</v>
      </c>
      <c r="C417" s="40" t="s">
        <v>133</v>
      </c>
      <c r="D417" s="9"/>
      <c r="E417" s="7"/>
      <c r="F417" s="7"/>
      <c r="G417" s="10">
        <f>G418</f>
        <v>0.5</v>
      </c>
      <c r="H417" s="10">
        <f>H418</f>
        <v>0.5</v>
      </c>
    </row>
    <row r="418" spans="1:8" s="229" customFormat="1" ht="94.5" x14ac:dyDescent="0.25">
      <c r="A418" s="29" t="s">
        <v>164</v>
      </c>
      <c r="B418" s="40" t="s">
        <v>899</v>
      </c>
      <c r="C418" s="40" t="s">
        <v>133</v>
      </c>
      <c r="D418" s="9" t="s">
        <v>165</v>
      </c>
      <c r="E418" s="7"/>
      <c r="F418" s="7"/>
      <c r="G418" s="10">
        <f>G419+G423</f>
        <v>0.5</v>
      </c>
      <c r="H418" s="10">
        <f>H419+H423</f>
        <v>0.5</v>
      </c>
    </row>
    <row r="419" spans="1:8" ht="63" x14ac:dyDescent="0.25">
      <c r="A419" s="449" t="s">
        <v>206</v>
      </c>
      <c r="B419" s="40" t="s">
        <v>892</v>
      </c>
      <c r="C419" s="40" t="s">
        <v>133</v>
      </c>
      <c r="D419" s="9" t="s">
        <v>165</v>
      </c>
      <c r="E419" s="40"/>
      <c r="F419" s="40"/>
      <c r="G419" s="10">
        <f>G420</f>
        <v>0.5</v>
      </c>
      <c r="H419" s="10">
        <f>H420</f>
        <v>0.5</v>
      </c>
    </row>
    <row r="420" spans="1:8" ht="47.25" x14ac:dyDescent="0.25">
      <c r="A420" s="25" t="s">
        <v>146</v>
      </c>
      <c r="B420" s="40" t="s">
        <v>892</v>
      </c>
      <c r="C420" s="40" t="s">
        <v>133</v>
      </c>
      <c r="D420" s="9" t="s">
        <v>165</v>
      </c>
      <c r="E420" s="40" t="s">
        <v>147</v>
      </c>
      <c r="F420" s="40"/>
      <c r="G420" s="10">
        <f>G421</f>
        <v>0.5</v>
      </c>
      <c r="H420" s="10">
        <f>H421</f>
        <v>0.5</v>
      </c>
    </row>
    <row r="421" spans="1:8" ht="63" x14ac:dyDescent="0.25">
      <c r="A421" s="25" t="s">
        <v>148</v>
      </c>
      <c r="B421" s="40" t="s">
        <v>892</v>
      </c>
      <c r="C421" s="40" t="s">
        <v>133</v>
      </c>
      <c r="D421" s="9" t="s">
        <v>165</v>
      </c>
      <c r="E421" s="40" t="s">
        <v>149</v>
      </c>
      <c r="F421" s="40"/>
      <c r="G421" s="10">
        <f>'пр.6.1.ведом.21-22'!G83</f>
        <v>0.5</v>
      </c>
      <c r="H421" s="10">
        <f>'пр.6.1.ведом.21-22'!H83</f>
        <v>0.5</v>
      </c>
    </row>
    <row r="422" spans="1:8" ht="31.5" x14ac:dyDescent="0.25">
      <c r="A422" s="29" t="s">
        <v>163</v>
      </c>
      <c r="B422" s="40" t="s">
        <v>892</v>
      </c>
      <c r="C422" s="40" t="s">
        <v>133</v>
      </c>
      <c r="D422" s="9" t="s">
        <v>165</v>
      </c>
      <c r="E422" s="40" t="s">
        <v>149</v>
      </c>
      <c r="F422" s="40" t="s">
        <v>657</v>
      </c>
      <c r="G422" s="10">
        <f>G421</f>
        <v>0.5</v>
      </c>
      <c r="H422" s="10">
        <f>H421</f>
        <v>0.5</v>
      </c>
    </row>
    <row r="423" spans="1:8" ht="63" hidden="1" x14ac:dyDescent="0.25">
      <c r="A423" s="449" t="s">
        <v>206</v>
      </c>
      <c r="B423" s="20" t="s">
        <v>893</v>
      </c>
      <c r="C423" s="40" t="s">
        <v>133</v>
      </c>
      <c r="D423" s="9" t="s">
        <v>165</v>
      </c>
      <c r="E423" s="40"/>
      <c r="F423" s="40"/>
      <c r="G423" s="10">
        <f>G424</f>
        <v>0</v>
      </c>
      <c r="H423" s="10">
        <f>H424</f>
        <v>0</v>
      </c>
    </row>
    <row r="424" spans="1:8" ht="47.25" hidden="1" x14ac:dyDescent="0.25">
      <c r="A424" s="25" t="s">
        <v>146</v>
      </c>
      <c r="B424" s="20" t="s">
        <v>893</v>
      </c>
      <c r="C424" s="40" t="s">
        <v>133</v>
      </c>
      <c r="D424" s="9" t="s">
        <v>165</v>
      </c>
      <c r="E424" s="40" t="s">
        <v>147</v>
      </c>
      <c r="F424" s="40"/>
      <c r="G424" s="10">
        <f>G425</f>
        <v>0</v>
      </c>
      <c r="H424" s="10">
        <f>H425</f>
        <v>0</v>
      </c>
    </row>
    <row r="425" spans="1:8" ht="63" hidden="1" x14ac:dyDescent="0.25">
      <c r="A425" s="25" t="s">
        <v>148</v>
      </c>
      <c r="B425" s="20" t="s">
        <v>893</v>
      </c>
      <c r="C425" s="40" t="s">
        <v>133</v>
      </c>
      <c r="D425" s="9" t="s">
        <v>165</v>
      </c>
      <c r="E425" s="40" t="s">
        <v>149</v>
      </c>
      <c r="F425" s="40"/>
      <c r="G425" s="10">
        <f>'пр.6.1.ведом.21-22'!G86</f>
        <v>0</v>
      </c>
      <c r="H425" s="10">
        <f>'пр.6.1.ведом.21-22'!H86</f>
        <v>0</v>
      </c>
    </row>
    <row r="426" spans="1:8" ht="31.5" hidden="1" x14ac:dyDescent="0.25">
      <c r="A426" s="29" t="s">
        <v>163</v>
      </c>
      <c r="B426" s="20" t="s">
        <v>893</v>
      </c>
      <c r="C426" s="40" t="s">
        <v>133</v>
      </c>
      <c r="D426" s="9" t="s">
        <v>165</v>
      </c>
      <c r="E426" s="40" t="s">
        <v>149</v>
      </c>
      <c r="F426" s="40" t="s">
        <v>657</v>
      </c>
      <c r="G426" s="10">
        <f>G425</f>
        <v>0</v>
      </c>
      <c r="H426" s="10">
        <f>H425</f>
        <v>0</v>
      </c>
    </row>
    <row r="427" spans="1:8" ht="110.25" x14ac:dyDescent="0.25">
      <c r="A427" s="41" t="s">
        <v>268</v>
      </c>
      <c r="B427" s="214" t="s">
        <v>269</v>
      </c>
      <c r="C427" s="40"/>
      <c r="D427" s="40"/>
      <c r="E427" s="40"/>
      <c r="F427" s="40"/>
      <c r="G427" s="59">
        <f t="shared" ref="G427:H427" si="60">G429</f>
        <v>5010</v>
      </c>
      <c r="H427" s="59">
        <f t="shared" si="60"/>
        <v>10</v>
      </c>
    </row>
    <row r="428" spans="1:8" ht="63" x14ac:dyDescent="0.25">
      <c r="A428" s="23" t="s">
        <v>933</v>
      </c>
      <c r="B428" s="24" t="s">
        <v>931</v>
      </c>
      <c r="C428" s="40"/>
      <c r="D428" s="40"/>
      <c r="E428" s="40"/>
      <c r="F428" s="40"/>
      <c r="G428" s="59">
        <f t="shared" ref="G428:H429" si="61">G429</f>
        <v>5010</v>
      </c>
      <c r="H428" s="59">
        <f t="shared" si="61"/>
        <v>10</v>
      </c>
    </row>
    <row r="429" spans="1:8" ht="15.75" x14ac:dyDescent="0.25">
      <c r="A429" s="29" t="s">
        <v>258</v>
      </c>
      <c r="B429" s="5" t="s">
        <v>931</v>
      </c>
      <c r="C429" s="40" t="s">
        <v>259</v>
      </c>
      <c r="D429" s="40"/>
      <c r="E429" s="40"/>
      <c r="F429" s="40"/>
      <c r="G429" s="10">
        <f t="shared" si="61"/>
        <v>5010</v>
      </c>
      <c r="H429" s="10">
        <f t="shared" si="61"/>
        <v>10</v>
      </c>
    </row>
    <row r="430" spans="1:8" ht="31.5" x14ac:dyDescent="0.25">
      <c r="A430" s="29" t="s">
        <v>267</v>
      </c>
      <c r="B430" s="5" t="s">
        <v>931</v>
      </c>
      <c r="C430" s="40" t="s">
        <v>259</v>
      </c>
      <c r="D430" s="40" t="s">
        <v>230</v>
      </c>
      <c r="E430" s="40"/>
      <c r="F430" s="40"/>
      <c r="G430" s="10">
        <f>G431+G435</f>
        <v>5010</v>
      </c>
      <c r="H430" s="10">
        <f>H431+H435</f>
        <v>10</v>
      </c>
    </row>
    <row r="431" spans="1:8" ht="47.25" x14ac:dyDescent="0.25">
      <c r="A431" s="25" t="s">
        <v>932</v>
      </c>
      <c r="B431" s="20" t="s">
        <v>1155</v>
      </c>
      <c r="C431" s="40" t="s">
        <v>259</v>
      </c>
      <c r="D431" s="40" t="s">
        <v>230</v>
      </c>
      <c r="E431" s="40"/>
      <c r="F431" s="40"/>
      <c r="G431" s="10">
        <f t="shared" ref="G431:H432" si="62">G432</f>
        <v>10</v>
      </c>
      <c r="H431" s="10">
        <f t="shared" si="62"/>
        <v>10</v>
      </c>
    </row>
    <row r="432" spans="1:8" ht="31.5" x14ac:dyDescent="0.25">
      <c r="A432" s="25" t="s">
        <v>263</v>
      </c>
      <c r="B432" s="20" t="s">
        <v>1155</v>
      </c>
      <c r="C432" s="40" t="s">
        <v>259</v>
      </c>
      <c r="D432" s="40" t="s">
        <v>230</v>
      </c>
      <c r="E432" s="40" t="s">
        <v>264</v>
      </c>
      <c r="F432" s="40"/>
      <c r="G432" s="10">
        <f t="shared" si="62"/>
        <v>10</v>
      </c>
      <c r="H432" s="10">
        <f t="shared" si="62"/>
        <v>10</v>
      </c>
    </row>
    <row r="433" spans="1:8" ht="47.25" x14ac:dyDescent="0.25">
      <c r="A433" s="25" t="s">
        <v>265</v>
      </c>
      <c r="B433" s="20" t="s">
        <v>1155</v>
      </c>
      <c r="C433" s="40" t="s">
        <v>259</v>
      </c>
      <c r="D433" s="40" t="s">
        <v>230</v>
      </c>
      <c r="E433" s="40" t="s">
        <v>266</v>
      </c>
      <c r="F433" s="40"/>
      <c r="G433" s="10">
        <f>'пр.6.1.ведом.21-22'!G202</f>
        <v>10</v>
      </c>
      <c r="H433" s="10">
        <f>'пр.6.1.ведом.21-22'!H202</f>
        <v>10</v>
      </c>
    </row>
    <row r="434" spans="1:8" ht="31.5" x14ac:dyDescent="0.25">
      <c r="A434" s="45" t="s">
        <v>163</v>
      </c>
      <c r="B434" s="20" t="s">
        <v>1155</v>
      </c>
      <c r="C434" s="40" t="s">
        <v>259</v>
      </c>
      <c r="D434" s="40" t="s">
        <v>230</v>
      </c>
      <c r="E434" s="40" t="s">
        <v>266</v>
      </c>
      <c r="F434" s="40" t="s">
        <v>657</v>
      </c>
      <c r="G434" s="10">
        <f>G433</f>
        <v>10</v>
      </c>
      <c r="H434" s="10">
        <f>H433</f>
        <v>10</v>
      </c>
    </row>
    <row r="435" spans="1:8" s="229" customFormat="1" ht="94.5" x14ac:dyDescent="0.25">
      <c r="A435" s="25" t="s">
        <v>1445</v>
      </c>
      <c r="B435" s="20" t="s">
        <v>1444</v>
      </c>
      <c r="C435" s="40" t="s">
        <v>259</v>
      </c>
      <c r="D435" s="40" t="s">
        <v>230</v>
      </c>
      <c r="E435" s="40"/>
      <c r="F435" s="40"/>
      <c r="G435" s="10">
        <f>G436</f>
        <v>5000</v>
      </c>
      <c r="H435" s="10">
        <f>H436</f>
        <v>0</v>
      </c>
    </row>
    <row r="436" spans="1:8" s="229" customFormat="1" ht="31.5" x14ac:dyDescent="0.25">
      <c r="A436" s="25" t="s">
        <v>263</v>
      </c>
      <c r="B436" s="20" t="s">
        <v>1444</v>
      </c>
      <c r="C436" s="40" t="s">
        <v>259</v>
      </c>
      <c r="D436" s="40" t="s">
        <v>230</v>
      </c>
      <c r="E436" s="40" t="s">
        <v>264</v>
      </c>
      <c r="F436" s="40"/>
      <c r="G436" s="10">
        <f>G437</f>
        <v>5000</v>
      </c>
      <c r="H436" s="10">
        <f>H437</f>
        <v>0</v>
      </c>
    </row>
    <row r="437" spans="1:8" s="229" customFormat="1" ht="47.25" x14ac:dyDescent="0.25">
      <c r="A437" s="25" t="s">
        <v>265</v>
      </c>
      <c r="B437" s="20" t="s">
        <v>1444</v>
      </c>
      <c r="C437" s="40" t="s">
        <v>259</v>
      </c>
      <c r="D437" s="40" t="s">
        <v>230</v>
      </c>
      <c r="E437" s="40" t="s">
        <v>266</v>
      </c>
      <c r="F437" s="40"/>
      <c r="G437" s="10">
        <f>'пр.6.1.ведом.21-22'!G205</f>
        <v>5000</v>
      </c>
      <c r="H437" s="10">
        <f>'пр.6.1.ведом.21-22'!H205</f>
        <v>0</v>
      </c>
    </row>
    <row r="438" spans="1:8" s="229" customFormat="1" ht="31.5" x14ac:dyDescent="0.25">
      <c r="A438" s="45" t="s">
        <v>163</v>
      </c>
      <c r="B438" s="20" t="s">
        <v>1444</v>
      </c>
      <c r="C438" s="40" t="s">
        <v>259</v>
      </c>
      <c r="D438" s="40" t="s">
        <v>230</v>
      </c>
      <c r="E438" s="40" t="s">
        <v>266</v>
      </c>
      <c r="F438" s="40" t="s">
        <v>657</v>
      </c>
      <c r="G438" s="10">
        <f>G435</f>
        <v>5000</v>
      </c>
      <c r="H438" s="10">
        <f>H435</f>
        <v>0</v>
      </c>
    </row>
    <row r="439" spans="1:8" ht="78.75" x14ac:dyDescent="0.25">
      <c r="A439" s="41" t="s">
        <v>496</v>
      </c>
      <c r="B439" s="3" t="s">
        <v>497</v>
      </c>
      <c r="C439" s="68"/>
      <c r="D439" s="68"/>
      <c r="E439" s="68"/>
      <c r="F439" s="68"/>
      <c r="G439" s="4">
        <f>G440+G489</f>
        <v>48187.5</v>
      </c>
      <c r="H439" s="4">
        <f>H440+H489</f>
        <v>48187.5</v>
      </c>
    </row>
    <row r="440" spans="1:8" ht="78.75" x14ac:dyDescent="0.25">
      <c r="A440" s="58" t="s">
        <v>508</v>
      </c>
      <c r="B440" s="7" t="s">
        <v>509</v>
      </c>
      <c r="C440" s="7"/>
      <c r="D440" s="7"/>
      <c r="E440" s="7"/>
      <c r="F440" s="3"/>
      <c r="G440" s="59">
        <f>G441+G456+G471+G482</f>
        <v>46187.5</v>
      </c>
      <c r="H440" s="59">
        <f>H441+H456+H471+H482</f>
        <v>46187.5</v>
      </c>
    </row>
    <row r="441" spans="1:8" ht="47.25" x14ac:dyDescent="0.25">
      <c r="A441" s="23" t="s">
        <v>1033</v>
      </c>
      <c r="B441" s="24" t="s">
        <v>1066</v>
      </c>
      <c r="C441" s="7"/>
      <c r="D441" s="7"/>
      <c r="E441" s="286"/>
      <c r="F441" s="214"/>
      <c r="G441" s="59">
        <f>G442</f>
        <v>44582</v>
      </c>
      <c r="H441" s="59">
        <f>H442</f>
        <v>44582</v>
      </c>
    </row>
    <row r="442" spans="1:8" ht="15.75" x14ac:dyDescent="0.25">
      <c r="A442" s="29" t="s">
        <v>505</v>
      </c>
      <c r="B442" s="40" t="s">
        <v>1066</v>
      </c>
      <c r="C442" s="2">
        <v>11</v>
      </c>
      <c r="D442" s="68"/>
      <c r="E442" s="68"/>
      <c r="F442" s="68"/>
      <c r="G442" s="10">
        <f t="shared" ref="G442:H442" si="63">G443</f>
        <v>44582</v>
      </c>
      <c r="H442" s="10">
        <f t="shared" si="63"/>
        <v>44582</v>
      </c>
    </row>
    <row r="443" spans="1:8" ht="16.5" x14ac:dyDescent="0.25">
      <c r="A443" s="29" t="s">
        <v>507</v>
      </c>
      <c r="B443" s="40" t="s">
        <v>1066</v>
      </c>
      <c r="C443" s="40" t="s">
        <v>506</v>
      </c>
      <c r="D443" s="40" t="s">
        <v>133</v>
      </c>
      <c r="E443" s="71"/>
      <c r="F443" s="5"/>
      <c r="G443" s="10">
        <f>G444+G448+G452</f>
        <v>44582</v>
      </c>
      <c r="H443" s="10">
        <f>H444+H448+H452</f>
        <v>44582</v>
      </c>
    </row>
    <row r="444" spans="1:8" ht="78.75" x14ac:dyDescent="0.25">
      <c r="A444" s="25" t="s">
        <v>838</v>
      </c>
      <c r="B444" s="20" t="s">
        <v>1076</v>
      </c>
      <c r="C444" s="40" t="s">
        <v>506</v>
      </c>
      <c r="D444" s="40" t="s">
        <v>133</v>
      </c>
      <c r="E444" s="71"/>
      <c r="F444" s="5"/>
      <c r="G444" s="10">
        <f>G445</f>
        <v>13108</v>
      </c>
      <c r="H444" s="10">
        <f>H445</f>
        <v>13108</v>
      </c>
    </row>
    <row r="445" spans="1:8" ht="63" x14ac:dyDescent="0.25">
      <c r="A445" s="29" t="s">
        <v>287</v>
      </c>
      <c r="B445" s="20" t="s">
        <v>1076</v>
      </c>
      <c r="C445" s="40" t="s">
        <v>506</v>
      </c>
      <c r="D445" s="40" t="s">
        <v>133</v>
      </c>
      <c r="E445" s="40" t="s">
        <v>288</v>
      </c>
      <c r="F445" s="5"/>
      <c r="G445" s="10">
        <f>G446</f>
        <v>13108</v>
      </c>
      <c r="H445" s="10">
        <f>H446</f>
        <v>13108</v>
      </c>
    </row>
    <row r="446" spans="1:8" ht="31.5" x14ac:dyDescent="0.25">
      <c r="A446" s="29" t="s">
        <v>289</v>
      </c>
      <c r="B446" s="20" t="s">
        <v>1076</v>
      </c>
      <c r="C446" s="40" t="s">
        <v>506</v>
      </c>
      <c r="D446" s="40" t="s">
        <v>133</v>
      </c>
      <c r="E446" s="40" t="s">
        <v>290</v>
      </c>
      <c r="F446" s="5"/>
      <c r="G446" s="10">
        <f>'пр.6.1.ведом.21-22'!G770</f>
        <v>13108</v>
      </c>
      <c r="H446" s="10">
        <f>'пр.6.1.ведом.21-22'!H770</f>
        <v>13108</v>
      </c>
    </row>
    <row r="447" spans="1:8" ht="47.25" x14ac:dyDescent="0.25">
      <c r="A447" s="439" t="s">
        <v>495</v>
      </c>
      <c r="B447" s="20" t="s">
        <v>1076</v>
      </c>
      <c r="C447" s="40" t="s">
        <v>506</v>
      </c>
      <c r="D447" s="40" t="s">
        <v>133</v>
      </c>
      <c r="E447" s="40" t="s">
        <v>290</v>
      </c>
      <c r="F447" s="5">
        <v>907</v>
      </c>
      <c r="G447" s="10">
        <f>G446</f>
        <v>13108</v>
      </c>
      <c r="H447" s="10">
        <f>H446</f>
        <v>13108</v>
      </c>
    </row>
    <row r="448" spans="1:8" ht="63" x14ac:dyDescent="0.25">
      <c r="A448" s="25" t="s">
        <v>837</v>
      </c>
      <c r="B448" s="20" t="s">
        <v>1077</v>
      </c>
      <c r="C448" s="40" t="s">
        <v>506</v>
      </c>
      <c r="D448" s="40" t="s">
        <v>133</v>
      </c>
      <c r="E448" s="40"/>
      <c r="F448" s="5"/>
      <c r="G448" s="10">
        <f>G449</f>
        <v>12897</v>
      </c>
      <c r="H448" s="10">
        <f>H449</f>
        <v>12897</v>
      </c>
    </row>
    <row r="449" spans="1:8" ht="63" x14ac:dyDescent="0.25">
      <c r="A449" s="25" t="s">
        <v>287</v>
      </c>
      <c r="B449" s="20" t="s">
        <v>1077</v>
      </c>
      <c r="C449" s="40" t="s">
        <v>506</v>
      </c>
      <c r="D449" s="40" t="s">
        <v>133</v>
      </c>
      <c r="E449" s="40" t="s">
        <v>288</v>
      </c>
      <c r="F449" s="5"/>
      <c r="G449" s="10">
        <f>G450</f>
        <v>12897</v>
      </c>
      <c r="H449" s="10">
        <f>H450</f>
        <v>12897</v>
      </c>
    </row>
    <row r="450" spans="1:8" ht="31.5" x14ac:dyDescent="0.25">
      <c r="A450" s="25" t="s">
        <v>289</v>
      </c>
      <c r="B450" s="20" t="s">
        <v>1077</v>
      </c>
      <c r="C450" s="40" t="s">
        <v>506</v>
      </c>
      <c r="D450" s="40" t="s">
        <v>133</v>
      </c>
      <c r="E450" s="40" t="s">
        <v>290</v>
      </c>
      <c r="F450" s="5"/>
      <c r="G450" s="10">
        <f>'пр.6.1.ведом.21-22'!G773</f>
        <v>12897</v>
      </c>
      <c r="H450" s="10">
        <f>'пр.6.1.ведом.21-22'!H773</f>
        <v>12897</v>
      </c>
    </row>
    <row r="451" spans="1:8" ht="47.25" x14ac:dyDescent="0.25">
      <c r="A451" s="439" t="s">
        <v>495</v>
      </c>
      <c r="B451" s="20" t="s">
        <v>1077</v>
      </c>
      <c r="C451" s="40" t="s">
        <v>506</v>
      </c>
      <c r="D451" s="40" t="s">
        <v>133</v>
      </c>
      <c r="E451" s="40" t="s">
        <v>290</v>
      </c>
      <c r="F451" s="5">
        <v>907</v>
      </c>
      <c r="G451" s="10">
        <f>G450</f>
        <v>12897</v>
      </c>
      <c r="H451" s="10">
        <f>H450</f>
        <v>12897</v>
      </c>
    </row>
    <row r="452" spans="1:8" ht="78.75" x14ac:dyDescent="0.25">
      <c r="A452" s="25" t="s">
        <v>836</v>
      </c>
      <c r="B452" s="20" t="s">
        <v>1078</v>
      </c>
      <c r="C452" s="40" t="s">
        <v>506</v>
      </c>
      <c r="D452" s="40" t="s">
        <v>133</v>
      </c>
      <c r="E452" s="40"/>
      <c r="F452" s="5"/>
      <c r="G452" s="10">
        <f>G453</f>
        <v>18577</v>
      </c>
      <c r="H452" s="10">
        <f>H453</f>
        <v>18577</v>
      </c>
    </row>
    <row r="453" spans="1:8" ht="63" x14ac:dyDescent="0.25">
      <c r="A453" s="25" t="s">
        <v>287</v>
      </c>
      <c r="B453" s="20" t="s">
        <v>1078</v>
      </c>
      <c r="C453" s="40" t="s">
        <v>506</v>
      </c>
      <c r="D453" s="40" t="s">
        <v>133</v>
      </c>
      <c r="E453" s="40" t="s">
        <v>288</v>
      </c>
      <c r="F453" s="5"/>
      <c r="G453" s="10">
        <f>G454</f>
        <v>18577</v>
      </c>
      <c r="H453" s="10">
        <f>H454</f>
        <v>18577</v>
      </c>
    </row>
    <row r="454" spans="1:8" ht="31.5" x14ac:dyDescent="0.25">
      <c r="A454" s="25" t="s">
        <v>289</v>
      </c>
      <c r="B454" s="20" t="s">
        <v>1078</v>
      </c>
      <c r="C454" s="40" t="s">
        <v>506</v>
      </c>
      <c r="D454" s="40" t="s">
        <v>133</v>
      </c>
      <c r="E454" s="40" t="s">
        <v>290</v>
      </c>
      <c r="F454" s="5"/>
      <c r="G454" s="10">
        <f>'пр.6.1.ведом.21-22'!G776</f>
        <v>18577</v>
      </c>
      <c r="H454" s="10">
        <f>'пр.6.1.ведом.21-22'!H776</f>
        <v>18577</v>
      </c>
    </row>
    <row r="455" spans="1:8" ht="47.25" x14ac:dyDescent="0.25">
      <c r="A455" s="439" t="s">
        <v>495</v>
      </c>
      <c r="B455" s="20" t="s">
        <v>1078</v>
      </c>
      <c r="C455" s="40" t="s">
        <v>506</v>
      </c>
      <c r="D455" s="40" t="s">
        <v>133</v>
      </c>
      <c r="E455" s="40" t="s">
        <v>290</v>
      </c>
      <c r="F455" s="5">
        <v>907</v>
      </c>
      <c r="G455" s="10">
        <f>G454</f>
        <v>18577</v>
      </c>
      <c r="H455" s="10">
        <f>H454</f>
        <v>18577</v>
      </c>
    </row>
    <row r="456" spans="1:8" ht="31.5" x14ac:dyDescent="0.25">
      <c r="A456" s="23" t="s">
        <v>1079</v>
      </c>
      <c r="B456" s="24" t="s">
        <v>1080</v>
      </c>
      <c r="C456" s="7"/>
      <c r="D456" s="7"/>
      <c r="E456" s="7"/>
      <c r="F456" s="214"/>
      <c r="G456" s="59">
        <f>G457</f>
        <v>36</v>
      </c>
      <c r="H456" s="59">
        <f>H457</f>
        <v>36</v>
      </c>
    </row>
    <row r="457" spans="1:8" ht="15.75" x14ac:dyDescent="0.25">
      <c r="A457" s="29" t="s">
        <v>505</v>
      </c>
      <c r="B457" s="40" t="s">
        <v>1080</v>
      </c>
      <c r="C457" s="2">
        <v>11</v>
      </c>
      <c r="D457" s="68"/>
      <c r="E457" s="68"/>
      <c r="F457" s="68"/>
      <c r="G457" s="10">
        <f t="shared" ref="G457:H457" si="64">G458</f>
        <v>36</v>
      </c>
      <c r="H457" s="10">
        <f t="shared" si="64"/>
        <v>36</v>
      </c>
    </row>
    <row r="458" spans="1:8" ht="16.5" x14ac:dyDescent="0.25">
      <c r="A458" s="29" t="s">
        <v>507</v>
      </c>
      <c r="B458" s="40" t="s">
        <v>1080</v>
      </c>
      <c r="C458" s="40" t="s">
        <v>506</v>
      </c>
      <c r="D458" s="40" t="s">
        <v>133</v>
      </c>
      <c r="E458" s="71"/>
      <c r="F458" s="5"/>
      <c r="G458" s="10">
        <f>G459+G463+G467</f>
        <v>36</v>
      </c>
      <c r="H458" s="10">
        <f>H459+H463+H467</f>
        <v>36</v>
      </c>
    </row>
    <row r="459" spans="1:8" ht="63" hidden="1" x14ac:dyDescent="0.25">
      <c r="A459" s="29" t="s">
        <v>293</v>
      </c>
      <c r="B459" s="20" t="s">
        <v>1084</v>
      </c>
      <c r="C459" s="40" t="s">
        <v>506</v>
      </c>
      <c r="D459" s="40" t="s">
        <v>133</v>
      </c>
      <c r="E459" s="40"/>
      <c r="F459" s="5"/>
      <c r="G459" s="10">
        <f t="shared" ref="G459:H460" si="65">G460</f>
        <v>0</v>
      </c>
      <c r="H459" s="10">
        <f t="shared" si="65"/>
        <v>0</v>
      </c>
    </row>
    <row r="460" spans="1:8" ht="63" hidden="1" x14ac:dyDescent="0.25">
      <c r="A460" s="29" t="s">
        <v>287</v>
      </c>
      <c r="B460" s="20" t="s">
        <v>1084</v>
      </c>
      <c r="C460" s="40" t="s">
        <v>506</v>
      </c>
      <c r="D460" s="40" t="s">
        <v>133</v>
      </c>
      <c r="E460" s="40" t="s">
        <v>288</v>
      </c>
      <c r="F460" s="5"/>
      <c r="G460" s="10">
        <f t="shared" si="65"/>
        <v>0</v>
      </c>
      <c r="H460" s="10">
        <f t="shared" si="65"/>
        <v>0</v>
      </c>
    </row>
    <row r="461" spans="1:8" ht="31.5" hidden="1" x14ac:dyDescent="0.25">
      <c r="A461" s="29" t="s">
        <v>289</v>
      </c>
      <c r="B461" s="20" t="s">
        <v>1084</v>
      </c>
      <c r="C461" s="40" t="s">
        <v>506</v>
      </c>
      <c r="D461" s="40" t="s">
        <v>133</v>
      </c>
      <c r="E461" s="40" t="s">
        <v>290</v>
      </c>
      <c r="F461" s="5"/>
      <c r="G461" s="10">
        <f>'пр.6.1.ведом.21-22'!G780</f>
        <v>0</v>
      </c>
      <c r="H461" s="10">
        <f>'пр.6.1.ведом.21-22'!H780</f>
        <v>0</v>
      </c>
    </row>
    <row r="462" spans="1:8" ht="47.25" hidden="1" x14ac:dyDescent="0.25">
      <c r="A462" s="439" t="s">
        <v>495</v>
      </c>
      <c r="B462" s="20" t="s">
        <v>1084</v>
      </c>
      <c r="C462" s="40" t="s">
        <v>506</v>
      </c>
      <c r="D462" s="40" t="s">
        <v>133</v>
      </c>
      <c r="E462" s="40" t="s">
        <v>290</v>
      </c>
      <c r="F462" s="5">
        <v>907</v>
      </c>
      <c r="G462" s="10">
        <f>G461</f>
        <v>0</v>
      </c>
      <c r="H462" s="10">
        <f>H461</f>
        <v>0</v>
      </c>
    </row>
    <row r="463" spans="1:8" ht="47.25" hidden="1" x14ac:dyDescent="0.25">
      <c r="A463" s="29" t="s">
        <v>295</v>
      </c>
      <c r="B463" s="20" t="s">
        <v>1085</v>
      </c>
      <c r="C463" s="40" t="s">
        <v>506</v>
      </c>
      <c r="D463" s="40" t="s">
        <v>133</v>
      </c>
      <c r="E463" s="40"/>
      <c r="F463" s="5"/>
      <c r="G463" s="10">
        <f t="shared" ref="G463:H464" si="66">G464</f>
        <v>0</v>
      </c>
      <c r="H463" s="10">
        <f t="shared" si="66"/>
        <v>0</v>
      </c>
    </row>
    <row r="464" spans="1:8" ht="63" hidden="1" x14ac:dyDescent="0.25">
      <c r="A464" s="29" t="s">
        <v>287</v>
      </c>
      <c r="B464" s="20" t="s">
        <v>1085</v>
      </c>
      <c r="C464" s="40" t="s">
        <v>506</v>
      </c>
      <c r="D464" s="40" t="s">
        <v>133</v>
      </c>
      <c r="E464" s="40" t="s">
        <v>288</v>
      </c>
      <c r="F464" s="5"/>
      <c r="G464" s="10">
        <f t="shared" si="66"/>
        <v>0</v>
      </c>
      <c r="H464" s="10">
        <f t="shared" si="66"/>
        <v>0</v>
      </c>
    </row>
    <row r="465" spans="1:8" ht="31.5" hidden="1" x14ac:dyDescent="0.25">
      <c r="A465" s="29" t="s">
        <v>289</v>
      </c>
      <c r="B465" s="20" t="s">
        <v>1085</v>
      </c>
      <c r="C465" s="40" t="s">
        <v>506</v>
      </c>
      <c r="D465" s="40" t="s">
        <v>133</v>
      </c>
      <c r="E465" s="40" t="s">
        <v>290</v>
      </c>
      <c r="F465" s="5"/>
      <c r="G465" s="10">
        <f>'пр.6.1.ведом.21-22'!G783</f>
        <v>0</v>
      </c>
      <c r="H465" s="10">
        <f>'пр.6.1.ведом.21-22'!H783</f>
        <v>0</v>
      </c>
    </row>
    <row r="466" spans="1:8" ht="47.25" hidden="1" x14ac:dyDescent="0.25">
      <c r="A466" s="439" t="s">
        <v>495</v>
      </c>
      <c r="B466" s="20" t="s">
        <v>1085</v>
      </c>
      <c r="C466" s="40" t="s">
        <v>506</v>
      </c>
      <c r="D466" s="40" t="s">
        <v>133</v>
      </c>
      <c r="E466" s="40" t="s">
        <v>290</v>
      </c>
      <c r="F466" s="5">
        <v>907</v>
      </c>
      <c r="G466" s="10">
        <f>G465</f>
        <v>0</v>
      </c>
      <c r="H466" s="10">
        <f>H465</f>
        <v>0</v>
      </c>
    </row>
    <row r="467" spans="1:8" ht="31.5" x14ac:dyDescent="0.25">
      <c r="A467" s="25" t="s">
        <v>877</v>
      </c>
      <c r="B467" s="20" t="s">
        <v>1086</v>
      </c>
      <c r="C467" s="40" t="s">
        <v>506</v>
      </c>
      <c r="D467" s="40" t="s">
        <v>133</v>
      </c>
      <c r="E467" s="40"/>
      <c r="F467" s="5"/>
      <c r="G467" s="10">
        <f>G468</f>
        <v>36</v>
      </c>
      <c r="H467" s="10">
        <f>H468</f>
        <v>36</v>
      </c>
    </row>
    <row r="468" spans="1:8" ht="63" x14ac:dyDescent="0.25">
      <c r="A468" s="25" t="s">
        <v>287</v>
      </c>
      <c r="B468" s="20" t="s">
        <v>1086</v>
      </c>
      <c r="C468" s="40" t="s">
        <v>506</v>
      </c>
      <c r="D468" s="40" t="s">
        <v>133</v>
      </c>
      <c r="E468" s="40" t="s">
        <v>288</v>
      </c>
      <c r="F468" s="5"/>
      <c r="G468" s="10">
        <f>G469</f>
        <v>36</v>
      </c>
      <c r="H468" s="10">
        <f>H469</f>
        <v>36</v>
      </c>
    </row>
    <row r="469" spans="1:8" ht="31.5" x14ac:dyDescent="0.25">
      <c r="A469" s="25" t="s">
        <v>289</v>
      </c>
      <c r="B469" s="20" t="s">
        <v>1086</v>
      </c>
      <c r="C469" s="40" t="s">
        <v>506</v>
      </c>
      <c r="D469" s="40" t="s">
        <v>133</v>
      </c>
      <c r="E469" s="40" t="s">
        <v>290</v>
      </c>
      <c r="F469" s="5"/>
      <c r="G469" s="10">
        <f>'пр.6.1.ведом.21-22'!G786</f>
        <v>36</v>
      </c>
      <c r="H469" s="10">
        <f>'пр.6.1.ведом.21-22'!H786</f>
        <v>36</v>
      </c>
    </row>
    <row r="470" spans="1:8" ht="47.25" x14ac:dyDescent="0.25">
      <c r="A470" s="439" t="s">
        <v>495</v>
      </c>
      <c r="B470" s="20" t="s">
        <v>1086</v>
      </c>
      <c r="C470" s="40" t="s">
        <v>506</v>
      </c>
      <c r="D470" s="40" t="s">
        <v>133</v>
      </c>
      <c r="E470" s="40" t="s">
        <v>290</v>
      </c>
      <c r="F470" s="5">
        <v>907</v>
      </c>
      <c r="G470" s="10">
        <f>G469</f>
        <v>36</v>
      </c>
      <c r="H470" s="10">
        <f>H469</f>
        <v>36</v>
      </c>
    </row>
    <row r="471" spans="1:8" ht="63" x14ac:dyDescent="0.25">
      <c r="A471" s="23" t="s">
        <v>1081</v>
      </c>
      <c r="B471" s="24" t="s">
        <v>1083</v>
      </c>
      <c r="C471" s="7"/>
      <c r="D471" s="7"/>
      <c r="E471" s="7"/>
      <c r="F471" s="214"/>
      <c r="G471" s="59">
        <f>G472</f>
        <v>756</v>
      </c>
      <c r="H471" s="59">
        <f>H472</f>
        <v>756</v>
      </c>
    </row>
    <row r="472" spans="1:8" ht="15.75" x14ac:dyDescent="0.25">
      <c r="A472" s="29" t="s">
        <v>505</v>
      </c>
      <c r="B472" s="40" t="s">
        <v>1083</v>
      </c>
      <c r="C472" s="2">
        <v>11</v>
      </c>
      <c r="D472" s="68"/>
      <c r="E472" s="68"/>
      <c r="F472" s="68"/>
      <c r="G472" s="10">
        <f t="shared" ref="G472:H472" si="67">G473</f>
        <v>756</v>
      </c>
      <c r="H472" s="10">
        <f t="shared" si="67"/>
        <v>756</v>
      </c>
    </row>
    <row r="473" spans="1:8" ht="16.5" x14ac:dyDescent="0.25">
      <c r="A473" s="29" t="s">
        <v>507</v>
      </c>
      <c r="B473" s="40" t="s">
        <v>1083</v>
      </c>
      <c r="C473" s="40" t="s">
        <v>506</v>
      </c>
      <c r="D473" s="40" t="s">
        <v>133</v>
      </c>
      <c r="E473" s="71"/>
      <c r="F473" s="5"/>
      <c r="G473" s="10">
        <f>G474+G478</f>
        <v>756</v>
      </c>
      <c r="H473" s="10">
        <f>H474+H478</f>
        <v>756</v>
      </c>
    </row>
    <row r="474" spans="1:8" ht="47.25" hidden="1" x14ac:dyDescent="0.25">
      <c r="A474" s="29" t="s">
        <v>299</v>
      </c>
      <c r="B474" s="20" t="s">
        <v>1087</v>
      </c>
      <c r="C474" s="40" t="s">
        <v>506</v>
      </c>
      <c r="D474" s="40" t="s">
        <v>133</v>
      </c>
      <c r="E474" s="40"/>
      <c r="F474" s="5"/>
      <c r="G474" s="10">
        <f t="shared" ref="G474:H475" si="68">G475</f>
        <v>0</v>
      </c>
      <c r="H474" s="10">
        <f t="shared" si="68"/>
        <v>0</v>
      </c>
    </row>
    <row r="475" spans="1:8" ht="63" hidden="1" x14ac:dyDescent="0.25">
      <c r="A475" s="29" t="s">
        <v>287</v>
      </c>
      <c r="B475" s="20" t="s">
        <v>1087</v>
      </c>
      <c r="C475" s="40" t="s">
        <v>506</v>
      </c>
      <c r="D475" s="40" t="s">
        <v>133</v>
      </c>
      <c r="E475" s="40" t="s">
        <v>288</v>
      </c>
      <c r="F475" s="5"/>
      <c r="G475" s="10">
        <f t="shared" si="68"/>
        <v>0</v>
      </c>
      <c r="H475" s="10">
        <f t="shared" si="68"/>
        <v>0</v>
      </c>
    </row>
    <row r="476" spans="1:8" ht="31.5" hidden="1" x14ac:dyDescent="0.25">
      <c r="A476" s="29" t="s">
        <v>289</v>
      </c>
      <c r="B476" s="20" t="s">
        <v>1087</v>
      </c>
      <c r="C476" s="40" t="s">
        <v>506</v>
      </c>
      <c r="D476" s="40" t="s">
        <v>133</v>
      </c>
      <c r="E476" s="40" t="s">
        <v>290</v>
      </c>
      <c r="F476" s="5"/>
      <c r="G476" s="10">
        <f>'пр.6.1.ведом.21-22'!G790</f>
        <v>0</v>
      </c>
      <c r="H476" s="10">
        <f>'пр.6.1.ведом.21-22'!H790</f>
        <v>0</v>
      </c>
    </row>
    <row r="477" spans="1:8" ht="47.25" hidden="1" x14ac:dyDescent="0.25">
      <c r="A477" s="439" t="s">
        <v>495</v>
      </c>
      <c r="B477" s="20" t="s">
        <v>1087</v>
      </c>
      <c r="C477" s="40" t="s">
        <v>506</v>
      </c>
      <c r="D477" s="40" t="s">
        <v>133</v>
      </c>
      <c r="E477" s="40" t="s">
        <v>290</v>
      </c>
      <c r="F477" s="5">
        <v>907</v>
      </c>
      <c r="G477" s="10">
        <f>G476</f>
        <v>0</v>
      </c>
      <c r="H477" s="10">
        <f>H476</f>
        <v>0</v>
      </c>
    </row>
    <row r="478" spans="1:8" ht="63" x14ac:dyDescent="0.25">
      <c r="A478" s="45" t="s">
        <v>786</v>
      </c>
      <c r="B478" s="20" t="s">
        <v>1088</v>
      </c>
      <c r="C478" s="40" t="s">
        <v>506</v>
      </c>
      <c r="D478" s="40" t="s">
        <v>133</v>
      </c>
      <c r="E478" s="40"/>
      <c r="F478" s="5"/>
      <c r="G478" s="10">
        <f t="shared" ref="G478:H479" si="69">G479</f>
        <v>756</v>
      </c>
      <c r="H478" s="10">
        <f t="shared" si="69"/>
        <v>756</v>
      </c>
    </row>
    <row r="479" spans="1:8" ht="63" x14ac:dyDescent="0.25">
      <c r="A479" s="31" t="s">
        <v>287</v>
      </c>
      <c r="B479" s="20" t="s">
        <v>1088</v>
      </c>
      <c r="C479" s="40" t="s">
        <v>506</v>
      </c>
      <c r="D479" s="40" t="s">
        <v>133</v>
      </c>
      <c r="E479" s="40" t="s">
        <v>288</v>
      </c>
      <c r="F479" s="5"/>
      <c r="G479" s="10">
        <f t="shared" si="69"/>
        <v>756</v>
      </c>
      <c r="H479" s="10">
        <f t="shared" si="69"/>
        <v>756</v>
      </c>
    </row>
    <row r="480" spans="1:8" ht="31.5" x14ac:dyDescent="0.25">
      <c r="A480" s="31" t="s">
        <v>289</v>
      </c>
      <c r="B480" s="20" t="s">
        <v>1088</v>
      </c>
      <c r="C480" s="40" t="s">
        <v>506</v>
      </c>
      <c r="D480" s="40" t="s">
        <v>133</v>
      </c>
      <c r="E480" s="40" t="s">
        <v>290</v>
      </c>
      <c r="F480" s="5"/>
      <c r="G480" s="10">
        <f>'пр.6.1.ведом.21-22'!G793</f>
        <v>756</v>
      </c>
      <c r="H480" s="10">
        <f>'пр.6.1.ведом.21-22'!H793</f>
        <v>756</v>
      </c>
    </row>
    <row r="481" spans="1:8" ht="47.25" x14ac:dyDescent="0.25">
      <c r="A481" s="439" t="s">
        <v>495</v>
      </c>
      <c r="B481" s="20" t="s">
        <v>1088</v>
      </c>
      <c r="C481" s="40" t="s">
        <v>506</v>
      </c>
      <c r="D481" s="40" t="s">
        <v>133</v>
      </c>
      <c r="E481" s="40" t="s">
        <v>290</v>
      </c>
      <c r="F481" s="5">
        <v>907</v>
      </c>
      <c r="G481" s="10">
        <f>G480</f>
        <v>756</v>
      </c>
      <c r="H481" s="10">
        <f>H480</f>
        <v>756</v>
      </c>
    </row>
    <row r="482" spans="1:8" ht="78.75" x14ac:dyDescent="0.25">
      <c r="A482" s="23" t="s">
        <v>973</v>
      </c>
      <c r="B482" s="24" t="s">
        <v>1089</v>
      </c>
      <c r="C482" s="7"/>
      <c r="D482" s="7"/>
      <c r="E482" s="7"/>
      <c r="F482" s="214"/>
      <c r="G482" s="59">
        <f>G483</f>
        <v>813.5</v>
      </c>
      <c r="H482" s="59">
        <f>H483</f>
        <v>813.5</v>
      </c>
    </row>
    <row r="483" spans="1:8" ht="15.75" x14ac:dyDescent="0.25">
      <c r="A483" s="29" t="s">
        <v>505</v>
      </c>
      <c r="B483" s="40" t="s">
        <v>1089</v>
      </c>
      <c r="C483" s="2">
        <v>11</v>
      </c>
      <c r="D483" s="68"/>
      <c r="E483" s="68"/>
      <c r="F483" s="68"/>
      <c r="G483" s="10">
        <f t="shared" ref="G483:H483" si="70">G484</f>
        <v>813.5</v>
      </c>
      <c r="H483" s="10">
        <f t="shared" si="70"/>
        <v>813.5</v>
      </c>
    </row>
    <row r="484" spans="1:8" ht="16.5" x14ac:dyDescent="0.25">
      <c r="A484" s="29" t="s">
        <v>507</v>
      </c>
      <c r="B484" s="40" t="s">
        <v>1089</v>
      </c>
      <c r="C484" s="40" t="s">
        <v>506</v>
      </c>
      <c r="D484" s="40" t="s">
        <v>133</v>
      </c>
      <c r="E484" s="71"/>
      <c r="F484" s="5"/>
      <c r="G484" s="10">
        <f t="shared" ref="G484:H486" si="71">G485</f>
        <v>813.5</v>
      </c>
      <c r="H484" s="10">
        <f t="shared" si="71"/>
        <v>813.5</v>
      </c>
    </row>
    <row r="485" spans="1:8" ht="141.75" x14ac:dyDescent="0.25">
      <c r="A485" s="31" t="s">
        <v>479</v>
      </c>
      <c r="B485" s="20" t="s">
        <v>1090</v>
      </c>
      <c r="C485" s="40" t="s">
        <v>506</v>
      </c>
      <c r="D485" s="40" t="s">
        <v>133</v>
      </c>
      <c r="E485" s="40"/>
      <c r="F485" s="5"/>
      <c r="G485" s="10">
        <f t="shared" si="71"/>
        <v>813.5</v>
      </c>
      <c r="H485" s="10">
        <f t="shared" si="71"/>
        <v>813.5</v>
      </c>
    </row>
    <row r="486" spans="1:8" ht="63" x14ac:dyDescent="0.25">
      <c r="A486" s="25" t="s">
        <v>287</v>
      </c>
      <c r="B486" s="20" t="s">
        <v>1090</v>
      </c>
      <c r="C486" s="40" t="s">
        <v>506</v>
      </c>
      <c r="D486" s="40" t="s">
        <v>133</v>
      </c>
      <c r="E486" s="40" t="s">
        <v>288</v>
      </c>
      <c r="F486" s="5"/>
      <c r="G486" s="10">
        <f t="shared" si="71"/>
        <v>813.5</v>
      </c>
      <c r="H486" s="10">
        <f t="shared" si="71"/>
        <v>813.5</v>
      </c>
    </row>
    <row r="487" spans="1:8" ht="31.5" x14ac:dyDescent="0.25">
      <c r="A487" s="25" t="s">
        <v>289</v>
      </c>
      <c r="B487" s="20" t="s">
        <v>1090</v>
      </c>
      <c r="C487" s="40" t="s">
        <v>506</v>
      </c>
      <c r="D487" s="40" t="s">
        <v>133</v>
      </c>
      <c r="E487" s="40" t="s">
        <v>290</v>
      </c>
      <c r="F487" s="5"/>
      <c r="G487" s="10">
        <f>'пр.6.1.ведом.21-22'!G797</f>
        <v>813.5</v>
      </c>
      <c r="H487" s="10">
        <f>'пр.6.1.ведом.21-22'!H797</f>
        <v>813.5</v>
      </c>
    </row>
    <row r="488" spans="1:8" ht="47.25" x14ac:dyDescent="0.25">
      <c r="A488" s="439" t="s">
        <v>495</v>
      </c>
      <c r="B488" s="20" t="s">
        <v>1090</v>
      </c>
      <c r="C488" s="40" t="s">
        <v>506</v>
      </c>
      <c r="D488" s="40" t="s">
        <v>133</v>
      </c>
      <c r="E488" s="40" t="s">
        <v>290</v>
      </c>
      <c r="F488" s="5">
        <v>907</v>
      </c>
      <c r="G488" s="10">
        <f>G487</f>
        <v>813.5</v>
      </c>
      <c r="H488" s="10">
        <f>H487</f>
        <v>813.5</v>
      </c>
    </row>
    <row r="489" spans="1:8" ht="63" x14ac:dyDescent="0.25">
      <c r="A489" s="58" t="s">
        <v>516</v>
      </c>
      <c r="B489" s="7" t="s">
        <v>517</v>
      </c>
      <c r="C489" s="40"/>
      <c r="D489" s="40"/>
      <c r="E489" s="7"/>
      <c r="F489" s="214"/>
      <c r="G489" s="4">
        <f t="shared" ref="G489:H492" si="72">G490</f>
        <v>2000</v>
      </c>
      <c r="H489" s="4">
        <f t="shared" si="72"/>
        <v>2000</v>
      </c>
    </row>
    <row r="490" spans="1:8" ht="50.25" customHeight="1" x14ac:dyDescent="0.25">
      <c r="A490" s="58" t="s">
        <v>1091</v>
      </c>
      <c r="B490" s="7" t="s">
        <v>1092</v>
      </c>
      <c r="C490" s="7"/>
      <c r="D490" s="7"/>
      <c r="E490" s="7"/>
      <c r="F490" s="214"/>
      <c r="G490" s="4">
        <f t="shared" si="72"/>
        <v>2000</v>
      </c>
      <c r="H490" s="4">
        <f t="shared" si="72"/>
        <v>2000</v>
      </c>
    </row>
    <row r="491" spans="1:8" ht="15.75" x14ac:dyDescent="0.25">
      <c r="A491" s="29" t="s">
        <v>505</v>
      </c>
      <c r="B491" s="40" t="s">
        <v>1092</v>
      </c>
      <c r="C491" s="40" t="s">
        <v>506</v>
      </c>
      <c r="D491" s="40"/>
      <c r="E491" s="40"/>
      <c r="F491" s="5"/>
      <c r="G491" s="6">
        <f t="shared" si="72"/>
        <v>2000</v>
      </c>
      <c r="H491" s="6">
        <f t="shared" si="72"/>
        <v>2000</v>
      </c>
    </row>
    <row r="492" spans="1:8" ht="31.5" x14ac:dyDescent="0.25">
      <c r="A492" s="25" t="s">
        <v>515</v>
      </c>
      <c r="B492" s="40" t="s">
        <v>1092</v>
      </c>
      <c r="C492" s="40" t="s">
        <v>506</v>
      </c>
      <c r="D492" s="40" t="s">
        <v>249</v>
      </c>
      <c r="E492" s="40"/>
      <c r="F492" s="5"/>
      <c r="G492" s="6">
        <f t="shared" si="72"/>
        <v>2000</v>
      </c>
      <c r="H492" s="6">
        <f t="shared" si="72"/>
        <v>2000</v>
      </c>
    </row>
    <row r="493" spans="1:8" ht="31.5" x14ac:dyDescent="0.25">
      <c r="A493" s="29" t="s">
        <v>1093</v>
      </c>
      <c r="B493" s="40" t="s">
        <v>1247</v>
      </c>
      <c r="C493" s="40" t="s">
        <v>506</v>
      </c>
      <c r="D493" s="40" t="s">
        <v>249</v>
      </c>
      <c r="E493" s="40"/>
      <c r="F493" s="5"/>
      <c r="G493" s="6">
        <f>G494+G497</f>
        <v>2000</v>
      </c>
      <c r="H493" s="6">
        <f>H494+H497</f>
        <v>2000</v>
      </c>
    </row>
    <row r="494" spans="1:8" ht="126" x14ac:dyDescent="0.25">
      <c r="A494" s="25" t="s">
        <v>142</v>
      </c>
      <c r="B494" s="40" t="s">
        <v>1247</v>
      </c>
      <c r="C494" s="40" t="s">
        <v>506</v>
      </c>
      <c r="D494" s="40" t="s">
        <v>249</v>
      </c>
      <c r="E494" s="40" t="s">
        <v>143</v>
      </c>
      <c r="F494" s="5"/>
      <c r="G494" s="6">
        <f t="shared" ref="G494:H494" si="73">G495</f>
        <v>1500</v>
      </c>
      <c r="H494" s="6">
        <f t="shared" si="73"/>
        <v>1500</v>
      </c>
    </row>
    <row r="495" spans="1:8" ht="31.5" x14ac:dyDescent="0.25">
      <c r="A495" s="25" t="s">
        <v>357</v>
      </c>
      <c r="B495" s="40" t="s">
        <v>1247</v>
      </c>
      <c r="C495" s="40" t="s">
        <v>506</v>
      </c>
      <c r="D495" s="40" t="s">
        <v>249</v>
      </c>
      <c r="E495" s="40" t="s">
        <v>224</v>
      </c>
      <c r="F495" s="5"/>
      <c r="G495" s="6">
        <f>'пр.6.1.ведом.21-22'!G829</f>
        <v>1500</v>
      </c>
      <c r="H495" s="6">
        <f>'пр.6.1.ведом.21-22'!H829</f>
        <v>1500</v>
      </c>
    </row>
    <row r="496" spans="1:8" ht="47.25" x14ac:dyDescent="0.25">
      <c r="A496" s="439" t="s">
        <v>495</v>
      </c>
      <c r="B496" s="40" t="s">
        <v>1247</v>
      </c>
      <c r="C496" s="40" t="s">
        <v>506</v>
      </c>
      <c r="D496" s="40" t="s">
        <v>249</v>
      </c>
      <c r="E496" s="40" t="s">
        <v>224</v>
      </c>
      <c r="F496" s="5">
        <v>907</v>
      </c>
      <c r="G496" s="10">
        <f>G495</f>
        <v>1500</v>
      </c>
      <c r="H496" s="10">
        <f>H495</f>
        <v>1500</v>
      </c>
    </row>
    <row r="497" spans="1:8" ht="47.25" x14ac:dyDescent="0.25">
      <c r="A497" s="29" t="s">
        <v>146</v>
      </c>
      <c r="B497" s="40" t="s">
        <v>1247</v>
      </c>
      <c r="C497" s="40" t="s">
        <v>506</v>
      </c>
      <c r="D497" s="40" t="s">
        <v>249</v>
      </c>
      <c r="E497" s="40" t="s">
        <v>147</v>
      </c>
      <c r="F497" s="5"/>
      <c r="G497" s="6">
        <f t="shared" ref="G497:H497" si="74">G498</f>
        <v>500</v>
      </c>
      <c r="H497" s="6">
        <f t="shared" si="74"/>
        <v>500</v>
      </c>
    </row>
    <row r="498" spans="1:8" ht="63" x14ac:dyDescent="0.25">
      <c r="A498" s="29" t="s">
        <v>148</v>
      </c>
      <c r="B498" s="40" t="s">
        <v>1247</v>
      </c>
      <c r="C498" s="40" t="s">
        <v>506</v>
      </c>
      <c r="D498" s="40" t="s">
        <v>249</v>
      </c>
      <c r="E498" s="40" t="s">
        <v>149</v>
      </c>
      <c r="F498" s="5"/>
      <c r="G498" s="6">
        <f>'пр.6.1.ведом.21-22'!G831</f>
        <v>500</v>
      </c>
      <c r="H498" s="6">
        <f>'пр.6.1.ведом.21-22'!H831</f>
        <v>500</v>
      </c>
    </row>
    <row r="499" spans="1:8" ht="47.25" x14ac:dyDescent="0.25">
      <c r="A499" s="439" t="s">
        <v>495</v>
      </c>
      <c r="B499" s="40" t="s">
        <v>1247</v>
      </c>
      <c r="C499" s="40" t="s">
        <v>506</v>
      </c>
      <c r="D499" s="40" t="s">
        <v>249</v>
      </c>
      <c r="E499" s="40" t="s">
        <v>149</v>
      </c>
      <c r="F499" s="5">
        <v>907</v>
      </c>
      <c r="G499" s="10">
        <f>G498</f>
        <v>500</v>
      </c>
      <c r="H499" s="10">
        <f>H498</f>
        <v>500</v>
      </c>
    </row>
    <row r="500" spans="1:8" ht="63" x14ac:dyDescent="0.25">
      <c r="A500" s="41" t="s">
        <v>281</v>
      </c>
      <c r="B500" s="7" t="s">
        <v>282</v>
      </c>
      <c r="C500" s="72"/>
      <c r="D500" s="72"/>
      <c r="E500" s="72"/>
      <c r="F500" s="3"/>
      <c r="G500" s="59">
        <f>G501+G546+G596</f>
        <v>68708.03</v>
      </c>
      <c r="H500" s="59">
        <f>H501+H546+H596</f>
        <v>66505.63</v>
      </c>
    </row>
    <row r="501" spans="1:8" ht="94.5" x14ac:dyDescent="0.25">
      <c r="A501" s="41" t="s">
        <v>316</v>
      </c>
      <c r="B501" s="7" t="s">
        <v>317</v>
      </c>
      <c r="C501" s="7"/>
      <c r="D501" s="7"/>
      <c r="E501" s="72"/>
      <c r="F501" s="3"/>
      <c r="G501" s="59">
        <f>G502+G515+G525+G532+G539</f>
        <v>27648.690000000002</v>
      </c>
      <c r="H501" s="59">
        <f>H502+H515+H525+H532+H539</f>
        <v>25446.29</v>
      </c>
    </row>
    <row r="502" spans="1:8" ht="63" x14ac:dyDescent="0.25">
      <c r="A502" s="23" t="s">
        <v>958</v>
      </c>
      <c r="B502" s="24" t="s">
        <v>959</v>
      </c>
      <c r="C502" s="7"/>
      <c r="D502" s="7"/>
      <c r="E502" s="7"/>
      <c r="F502" s="3"/>
      <c r="G502" s="59">
        <f t="shared" ref="G502:H504" si="75">G503</f>
        <v>23784</v>
      </c>
      <c r="H502" s="59">
        <f t="shared" si="75"/>
        <v>23784</v>
      </c>
    </row>
    <row r="503" spans="1:8" ht="15.75" x14ac:dyDescent="0.25">
      <c r="A503" s="73" t="s">
        <v>313</v>
      </c>
      <c r="B503" s="40" t="s">
        <v>959</v>
      </c>
      <c r="C503" s="40" t="s">
        <v>314</v>
      </c>
      <c r="D503" s="73"/>
      <c r="E503" s="73"/>
      <c r="F503" s="2"/>
      <c r="G503" s="10">
        <f t="shared" si="75"/>
        <v>23784</v>
      </c>
      <c r="H503" s="10">
        <f t="shared" si="75"/>
        <v>23784</v>
      </c>
    </row>
    <row r="504" spans="1:8" ht="15.75" x14ac:dyDescent="0.25">
      <c r="A504" s="73" t="s">
        <v>315</v>
      </c>
      <c r="B504" s="40" t="s">
        <v>959</v>
      </c>
      <c r="C504" s="40" t="s">
        <v>314</v>
      </c>
      <c r="D504" s="40" t="s">
        <v>133</v>
      </c>
      <c r="E504" s="73"/>
      <c r="F504" s="2"/>
      <c r="G504" s="10">
        <f t="shared" si="75"/>
        <v>23784</v>
      </c>
      <c r="H504" s="10">
        <f t="shared" si="75"/>
        <v>23784</v>
      </c>
    </row>
    <row r="505" spans="1:8" ht="31.5" x14ac:dyDescent="0.25">
      <c r="A505" s="25" t="s">
        <v>832</v>
      </c>
      <c r="B505" s="20" t="s">
        <v>957</v>
      </c>
      <c r="C505" s="40" t="s">
        <v>314</v>
      </c>
      <c r="D505" s="40" t="s">
        <v>133</v>
      </c>
      <c r="E505" s="40"/>
      <c r="F505" s="2"/>
      <c r="G505" s="10">
        <f>G506+G509+G512</f>
        <v>23784</v>
      </c>
      <c r="H505" s="10">
        <f>H506+H509+H512</f>
        <v>23784</v>
      </c>
    </row>
    <row r="506" spans="1:8" ht="126" x14ac:dyDescent="0.25">
      <c r="A506" s="25" t="s">
        <v>142</v>
      </c>
      <c r="B506" s="20" t="s">
        <v>957</v>
      </c>
      <c r="C506" s="40" t="s">
        <v>314</v>
      </c>
      <c r="D506" s="40" t="s">
        <v>133</v>
      </c>
      <c r="E506" s="40" t="s">
        <v>143</v>
      </c>
      <c r="F506" s="2"/>
      <c r="G506" s="10">
        <f>G507</f>
        <v>20032</v>
      </c>
      <c r="H506" s="10">
        <f>H507</f>
        <v>20032</v>
      </c>
    </row>
    <row r="507" spans="1:8" ht="31.5" x14ac:dyDescent="0.25">
      <c r="A507" s="25" t="s">
        <v>223</v>
      </c>
      <c r="B507" s="20" t="s">
        <v>957</v>
      </c>
      <c r="C507" s="40" t="s">
        <v>314</v>
      </c>
      <c r="D507" s="40" t="s">
        <v>133</v>
      </c>
      <c r="E507" s="40" t="s">
        <v>224</v>
      </c>
      <c r="F507" s="2"/>
      <c r="G507" s="10">
        <f>'пр.6.1.ведом.21-22'!G345</f>
        <v>20032</v>
      </c>
      <c r="H507" s="10">
        <f>'пр.6.1.ведом.21-22'!H345</f>
        <v>20032</v>
      </c>
    </row>
    <row r="508" spans="1:8" ht="63" x14ac:dyDescent="0.25">
      <c r="A508" s="25" t="s">
        <v>1280</v>
      </c>
      <c r="B508" s="20" t="s">
        <v>957</v>
      </c>
      <c r="C508" s="40" t="s">
        <v>314</v>
      </c>
      <c r="D508" s="40" t="s">
        <v>133</v>
      </c>
      <c r="E508" s="40" t="s">
        <v>224</v>
      </c>
      <c r="F508" s="2">
        <v>903</v>
      </c>
      <c r="G508" s="10">
        <f>G507</f>
        <v>20032</v>
      </c>
      <c r="H508" s="10">
        <f>H507</f>
        <v>20032</v>
      </c>
    </row>
    <row r="509" spans="1:8" ht="47.25" x14ac:dyDescent="0.25">
      <c r="A509" s="25" t="s">
        <v>146</v>
      </c>
      <c r="B509" s="20" t="s">
        <v>957</v>
      </c>
      <c r="C509" s="40" t="s">
        <v>314</v>
      </c>
      <c r="D509" s="40" t="s">
        <v>133</v>
      </c>
      <c r="E509" s="40" t="s">
        <v>147</v>
      </c>
      <c r="F509" s="2"/>
      <c r="G509" s="10">
        <f>G510</f>
        <v>3715</v>
      </c>
      <c r="H509" s="10">
        <f>H510</f>
        <v>3715</v>
      </c>
    </row>
    <row r="510" spans="1:8" ht="63" x14ac:dyDescent="0.25">
      <c r="A510" s="25" t="s">
        <v>148</v>
      </c>
      <c r="B510" s="20" t="s">
        <v>957</v>
      </c>
      <c r="C510" s="40" t="s">
        <v>314</v>
      </c>
      <c r="D510" s="40" t="s">
        <v>133</v>
      </c>
      <c r="E510" s="40" t="s">
        <v>149</v>
      </c>
      <c r="F510" s="2"/>
      <c r="G510" s="10">
        <f>'пр.6.1.ведом.21-22'!G347</f>
        <v>3715</v>
      </c>
      <c r="H510" s="10">
        <f>'пр.6.1.ведом.21-22'!H347</f>
        <v>3715</v>
      </c>
    </row>
    <row r="511" spans="1:8" ht="63" x14ac:dyDescent="0.25">
      <c r="A511" s="25" t="s">
        <v>1280</v>
      </c>
      <c r="B511" s="20" t="s">
        <v>957</v>
      </c>
      <c r="C511" s="40" t="s">
        <v>314</v>
      </c>
      <c r="D511" s="40" t="s">
        <v>133</v>
      </c>
      <c r="E511" s="40" t="s">
        <v>149</v>
      </c>
      <c r="F511" s="2">
        <v>903</v>
      </c>
      <c r="G511" s="10">
        <f>G510</f>
        <v>3715</v>
      </c>
      <c r="H511" s="10">
        <f>H510</f>
        <v>3715</v>
      </c>
    </row>
    <row r="512" spans="1:8" ht="15.75" x14ac:dyDescent="0.25">
      <c r="A512" s="25" t="s">
        <v>150</v>
      </c>
      <c r="B512" s="20" t="s">
        <v>957</v>
      </c>
      <c r="C512" s="40" t="s">
        <v>314</v>
      </c>
      <c r="D512" s="40" t="s">
        <v>133</v>
      </c>
      <c r="E512" s="40" t="s">
        <v>160</v>
      </c>
      <c r="F512" s="2"/>
      <c r="G512" s="10">
        <f>G513</f>
        <v>37</v>
      </c>
      <c r="H512" s="10">
        <f>H513</f>
        <v>37</v>
      </c>
    </row>
    <row r="513" spans="1:8" ht="31.5" x14ac:dyDescent="0.25">
      <c r="A513" s="25" t="s">
        <v>152</v>
      </c>
      <c r="B513" s="20" t="s">
        <v>957</v>
      </c>
      <c r="C513" s="40" t="s">
        <v>314</v>
      </c>
      <c r="D513" s="40" t="s">
        <v>133</v>
      </c>
      <c r="E513" s="40" t="s">
        <v>153</v>
      </c>
      <c r="F513" s="2"/>
      <c r="G513" s="10">
        <f>'пр.6.1.ведом.21-22'!G349</f>
        <v>37</v>
      </c>
      <c r="H513" s="10">
        <f>'пр.6.1.ведом.21-22'!H349</f>
        <v>37</v>
      </c>
    </row>
    <row r="514" spans="1:8" ht="63" x14ac:dyDescent="0.25">
      <c r="A514" s="25" t="s">
        <v>1280</v>
      </c>
      <c r="B514" s="20" t="s">
        <v>957</v>
      </c>
      <c r="C514" s="40" t="s">
        <v>314</v>
      </c>
      <c r="D514" s="40" t="s">
        <v>133</v>
      </c>
      <c r="E514" s="40" t="s">
        <v>153</v>
      </c>
      <c r="F514" s="2">
        <v>903</v>
      </c>
      <c r="G514" s="10">
        <f>G513</f>
        <v>37</v>
      </c>
      <c r="H514" s="10">
        <f>H513</f>
        <v>37</v>
      </c>
    </row>
    <row r="515" spans="1:8" ht="47.25" x14ac:dyDescent="0.25">
      <c r="A515" s="279" t="s">
        <v>972</v>
      </c>
      <c r="B515" s="24" t="s">
        <v>960</v>
      </c>
      <c r="C515" s="7"/>
      <c r="D515" s="7"/>
      <c r="E515" s="7"/>
      <c r="F515" s="3"/>
      <c r="G515" s="59">
        <f>G518+G522</f>
        <v>250</v>
      </c>
      <c r="H515" s="59">
        <f>H518+H522</f>
        <v>250</v>
      </c>
    </row>
    <row r="516" spans="1:8" ht="15.75" x14ac:dyDescent="0.25">
      <c r="A516" s="73" t="s">
        <v>313</v>
      </c>
      <c r="B516" s="40" t="s">
        <v>960</v>
      </c>
      <c r="C516" s="40" t="s">
        <v>314</v>
      </c>
      <c r="D516" s="73"/>
      <c r="E516" s="73"/>
      <c r="F516" s="2"/>
      <c r="G516" s="10">
        <f>G517</f>
        <v>250</v>
      </c>
      <c r="H516" s="10">
        <f>H517</f>
        <v>250</v>
      </c>
    </row>
    <row r="517" spans="1:8" ht="15.75" x14ac:dyDescent="0.25">
      <c r="A517" s="73" t="s">
        <v>315</v>
      </c>
      <c r="B517" s="40" t="s">
        <v>960</v>
      </c>
      <c r="C517" s="40" t="s">
        <v>314</v>
      </c>
      <c r="D517" s="40" t="s">
        <v>133</v>
      </c>
      <c r="E517" s="73"/>
      <c r="F517" s="2"/>
      <c r="G517" s="10">
        <f>G518+G522</f>
        <v>250</v>
      </c>
      <c r="H517" s="10">
        <f>H518+H522</f>
        <v>250</v>
      </c>
    </row>
    <row r="518" spans="1:8" ht="47.25" hidden="1" x14ac:dyDescent="0.25">
      <c r="A518" s="31" t="s">
        <v>861</v>
      </c>
      <c r="B518" s="20" t="s">
        <v>961</v>
      </c>
      <c r="C518" s="40" t="s">
        <v>314</v>
      </c>
      <c r="D518" s="40" t="s">
        <v>133</v>
      </c>
      <c r="E518" s="40"/>
      <c r="F518" s="2"/>
      <c r="G518" s="10">
        <f>G519</f>
        <v>0</v>
      </c>
      <c r="H518" s="10">
        <f>H519</f>
        <v>0</v>
      </c>
    </row>
    <row r="519" spans="1:8" ht="126" hidden="1" x14ac:dyDescent="0.25">
      <c r="A519" s="25" t="s">
        <v>142</v>
      </c>
      <c r="B519" s="20" t="s">
        <v>961</v>
      </c>
      <c r="C519" s="40" t="s">
        <v>314</v>
      </c>
      <c r="D519" s="40" t="s">
        <v>133</v>
      </c>
      <c r="E519" s="40" t="s">
        <v>143</v>
      </c>
      <c r="F519" s="2"/>
      <c r="G519" s="10">
        <f>G520</f>
        <v>0</v>
      </c>
      <c r="H519" s="10">
        <f>H520</f>
        <v>0</v>
      </c>
    </row>
    <row r="520" spans="1:8" ht="31.5" hidden="1" x14ac:dyDescent="0.25">
      <c r="A520" s="25" t="s">
        <v>223</v>
      </c>
      <c r="B520" s="20" t="s">
        <v>961</v>
      </c>
      <c r="C520" s="40" t="s">
        <v>314</v>
      </c>
      <c r="D520" s="40" t="s">
        <v>133</v>
      </c>
      <c r="E520" s="40" t="s">
        <v>224</v>
      </c>
      <c r="F520" s="2"/>
      <c r="G520" s="10">
        <f>'пр.6.1.ведом.21-22'!G353</f>
        <v>0</v>
      </c>
      <c r="H520" s="10">
        <f>'пр.6.1.ведом.21-22'!H353</f>
        <v>0</v>
      </c>
    </row>
    <row r="521" spans="1:8" ht="63" hidden="1" x14ac:dyDescent="0.25">
      <c r="A521" s="25" t="s">
        <v>1280</v>
      </c>
      <c r="B521" s="20" t="s">
        <v>961</v>
      </c>
      <c r="C521" s="40" t="s">
        <v>314</v>
      </c>
      <c r="D521" s="40" t="s">
        <v>133</v>
      </c>
      <c r="E521" s="40" t="s">
        <v>224</v>
      </c>
      <c r="F521" s="2">
        <v>903</v>
      </c>
      <c r="G521" s="10">
        <f>G520</f>
        <v>0</v>
      </c>
      <c r="H521" s="10">
        <f>H520</f>
        <v>0</v>
      </c>
    </row>
    <row r="522" spans="1:8" ht="47.25" x14ac:dyDescent="0.25">
      <c r="A522" s="25" t="s">
        <v>146</v>
      </c>
      <c r="B522" s="20" t="s">
        <v>961</v>
      </c>
      <c r="C522" s="40" t="s">
        <v>314</v>
      </c>
      <c r="D522" s="40" t="s">
        <v>133</v>
      </c>
      <c r="E522" s="40" t="s">
        <v>147</v>
      </c>
      <c r="F522" s="2"/>
      <c r="G522" s="10">
        <f>G523</f>
        <v>250</v>
      </c>
      <c r="H522" s="10">
        <f>H523</f>
        <v>250</v>
      </c>
    </row>
    <row r="523" spans="1:8" ht="63" x14ac:dyDescent="0.25">
      <c r="A523" s="25" t="s">
        <v>148</v>
      </c>
      <c r="B523" s="20" t="s">
        <v>961</v>
      </c>
      <c r="C523" s="40" t="s">
        <v>314</v>
      </c>
      <c r="D523" s="40" t="s">
        <v>133</v>
      </c>
      <c r="E523" s="40" t="s">
        <v>149</v>
      </c>
      <c r="F523" s="2"/>
      <c r="G523" s="10">
        <f>'пр.6.1.ведом.21-22'!G355</f>
        <v>250</v>
      </c>
      <c r="H523" s="10">
        <f>'пр.6.1.ведом.21-22'!H355</f>
        <v>250</v>
      </c>
    </row>
    <row r="524" spans="1:8" ht="63" x14ac:dyDescent="0.25">
      <c r="A524" s="25" t="s">
        <v>1280</v>
      </c>
      <c r="B524" s="20" t="s">
        <v>961</v>
      </c>
      <c r="C524" s="40" t="s">
        <v>314</v>
      </c>
      <c r="D524" s="40" t="s">
        <v>133</v>
      </c>
      <c r="E524" s="40" t="s">
        <v>149</v>
      </c>
      <c r="F524" s="2">
        <v>903</v>
      </c>
      <c r="G524" s="10">
        <f>G523</f>
        <v>250</v>
      </c>
      <c r="H524" s="10">
        <f>H523</f>
        <v>250</v>
      </c>
    </row>
    <row r="525" spans="1:8" ht="63" x14ac:dyDescent="0.25">
      <c r="A525" s="23" t="s">
        <v>1081</v>
      </c>
      <c r="B525" s="24" t="s">
        <v>1170</v>
      </c>
      <c r="C525" s="7"/>
      <c r="D525" s="7"/>
      <c r="E525" s="7"/>
      <c r="F525" s="3"/>
      <c r="G525" s="59">
        <f>G528</f>
        <v>588</v>
      </c>
      <c r="H525" s="59">
        <f>H528</f>
        <v>588</v>
      </c>
    </row>
    <row r="526" spans="1:8" ht="15.75" x14ac:dyDescent="0.25">
      <c r="A526" s="73" t="s">
        <v>313</v>
      </c>
      <c r="B526" s="40" t="s">
        <v>1170</v>
      </c>
      <c r="C526" s="40" t="s">
        <v>314</v>
      </c>
      <c r="D526" s="73"/>
      <c r="E526" s="73"/>
      <c r="F526" s="2"/>
      <c r="G526" s="10">
        <f>G527</f>
        <v>1412.29</v>
      </c>
      <c r="H526" s="10">
        <f>H527</f>
        <v>1412.29</v>
      </c>
    </row>
    <row r="527" spans="1:8" ht="15.75" x14ac:dyDescent="0.25">
      <c r="A527" s="73" t="s">
        <v>315</v>
      </c>
      <c r="B527" s="40" t="s">
        <v>1170</v>
      </c>
      <c r="C527" s="40" t="s">
        <v>314</v>
      </c>
      <c r="D527" s="40" t="s">
        <v>133</v>
      </c>
      <c r="E527" s="73"/>
      <c r="F527" s="2"/>
      <c r="G527" s="10">
        <f>G528+G532</f>
        <v>1412.29</v>
      </c>
      <c r="H527" s="10">
        <f>H528+H532</f>
        <v>1412.29</v>
      </c>
    </row>
    <row r="528" spans="1:8" ht="63" x14ac:dyDescent="0.25">
      <c r="A528" s="25" t="s">
        <v>886</v>
      </c>
      <c r="B528" s="20" t="s">
        <v>1171</v>
      </c>
      <c r="C528" s="40" t="s">
        <v>314</v>
      </c>
      <c r="D528" s="40" t="s">
        <v>133</v>
      </c>
      <c r="E528" s="40"/>
      <c r="F528" s="2"/>
      <c r="G528" s="10">
        <f>G529</f>
        <v>588</v>
      </c>
      <c r="H528" s="10">
        <f>H529</f>
        <v>588</v>
      </c>
    </row>
    <row r="529" spans="1:8" ht="126" x14ac:dyDescent="0.25">
      <c r="A529" s="25" t="s">
        <v>142</v>
      </c>
      <c r="B529" s="20" t="s">
        <v>1171</v>
      </c>
      <c r="C529" s="40" t="s">
        <v>314</v>
      </c>
      <c r="D529" s="40" t="s">
        <v>133</v>
      </c>
      <c r="E529" s="40" t="s">
        <v>143</v>
      </c>
      <c r="F529" s="2"/>
      <c r="G529" s="10">
        <f>G530</f>
        <v>588</v>
      </c>
      <c r="H529" s="10">
        <f>H530</f>
        <v>588</v>
      </c>
    </row>
    <row r="530" spans="1:8" ht="47.25" x14ac:dyDescent="0.25">
      <c r="A530" s="25" t="s">
        <v>144</v>
      </c>
      <c r="B530" s="20" t="s">
        <v>1171</v>
      </c>
      <c r="C530" s="40" t="s">
        <v>314</v>
      </c>
      <c r="D530" s="40" t="s">
        <v>133</v>
      </c>
      <c r="E530" s="40" t="s">
        <v>224</v>
      </c>
      <c r="F530" s="2"/>
      <c r="G530" s="10">
        <f>'пр.6.1.ведом.21-22'!G359</f>
        <v>588</v>
      </c>
      <c r="H530" s="10">
        <f>'пр.6.1.ведом.21-22'!H359</f>
        <v>588</v>
      </c>
    </row>
    <row r="531" spans="1:8" ht="63" x14ac:dyDescent="0.25">
      <c r="A531" s="25" t="s">
        <v>1280</v>
      </c>
      <c r="B531" s="20" t="s">
        <v>1171</v>
      </c>
      <c r="C531" s="40" t="s">
        <v>314</v>
      </c>
      <c r="D531" s="40" t="s">
        <v>133</v>
      </c>
      <c r="E531" s="40" t="s">
        <v>224</v>
      </c>
      <c r="F531" s="2">
        <v>903</v>
      </c>
      <c r="G531" s="10">
        <f>G530</f>
        <v>588</v>
      </c>
      <c r="H531" s="10">
        <f>H530</f>
        <v>588</v>
      </c>
    </row>
    <row r="532" spans="1:8" ht="78.75" x14ac:dyDescent="0.25">
      <c r="A532" s="280" t="s">
        <v>973</v>
      </c>
      <c r="B532" s="24" t="s">
        <v>1172</v>
      </c>
      <c r="C532" s="7"/>
      <c r="D532" s="7"/>
      <c r="E532" s="7"/>
      <c r="F532" s="3"/>
      <c r="G532" s="59">
        <f>G535</f>
        <v>824.29</v>
      </c>
      <c r="H532" s="59">
        <f>H535</f>
        <v>824.29</v>
      </c>
    </row>
    <row r="533" spans="1:8" ht="15.75" x14ac:dyDescent="0.25">
      <c r="A533" s="73" t="s">
        <v>313</v>
      </c>
      <c r="B533" s="40" t="s">
        <v>1172</v>
      </c>
      <c r="C533" s="40" t="s">
        <v>314</v>
      </c>
      <c r="D533" s="73"/>
      <c r="E533" s="73"/>
      <c r="F533" s="2"/>
      <c r="G533" s="10">
        <f t="shared" ref="G533:H536" si="76">G534</f>
        <v>824.29</v>
      </c>
      <c r="H533" s="10">
        <f t="shared" si="76"/>
        <v>824.29</v>
      </c>
    </row>
    <row r="534" spans="1:8" ht="15.75" x14ac:dyDescent="0.25">
      <c r="A534" s="73" t="s">
        <v>315</v>
      </c>
      <c r="B534" s="40" t="s">
        <v>1172</v>
      </c>
      <c r="C534" s="40" t="s">
        <v>314</v>
      </c>
      <c r="D534" s="40" t="s">
        <v>133</v>
      </c>
      <c r="E534" s="73"/>
      <c r="F534" s="2"/>
      <c r="G534" s="10">
        <f t="shared" si="76"/>
        <v>824.29</v>
      </c>
      <c r="H534" s="10">
        <f t="shared" si="76"/>
        <v>824.29</v>
      </c>
    </row>
    <row r="535" spans="1:8" ht="141.75" x14ac:dyDescent="0.25">
      <c r="A535" s="31" t="s">
        <v>308</v>
      </c>
      <c r="B535" s="20" t="s">
        <v>1173</v>
      </c>
      <c r="C535" s="40" t="s">
        <v>314</v>
      </c>
      <c r="D535" s="40" t="s">
        <v>133</v>
      </c>
      <c r="E535" s="40"/>
      <c r="F535" s="2"/>
      <c r="G535" s="10">
        <f t="shared" si="76"/>
        <v>824.29</v>
      </c>
      <c r="H535" s="10">
        <f t="shared" si="76"/>
        <v>824.29</v>
      </c>
    </row>
    <row r="536" spans="1:8" ht="126" x14ac:dyDescent="0.25">
      <c r="A536" s="25" t="s">
        <v>142</v>
      </c>
      <c r="B536" s="20" t="s">
        <v>1173</v>
      </c>
      <c r="C536" s="40" t="s">
        <v>314</v>
      </c>
      <c r="D536" s="40" t="s">
        <v>133</v>
      </c>
      <c r="E536" s="40" t="s">
        <v>143</v>
      </c>
      <c r="F536" s="2"/>
      <c r="G536" s="10">
        <f t="shared" si="76"/>
        <v>824.29</v>
      </c>
      <c r="H536" s="10">
        <f t="shared" si="76"/>
        <v>824.29</v>
      </c>
    </row>
    <row r="537" spans="1:8" ht="31.5" x14ac:dyDescent="0.25">
      <c r="A537" s="25" t="s">
        <v>223</v>
      </c>
      <c r="B537" s="20" t="s">
        <v>1173</v>
      </c>
      <c r="C537" s="40" t="s">
        <v>314</v>
      </c>
      <c r="D537" s="40" t="s">
        <v>133</v>
      </c>
      <c r="E537" s="40" t="s">
        <v>224</v>
      </c>
      <c r="F537" s="2"/>
      <c r="G537" s="10">
        <f>'пр.6.1.ведом.21-22'!G363</f>
        <v>824.29</v>
      </c>
      <c r="H537" s="10">
        <f>'пр.6.1.ведом.21-22'!H363</f>
        <v>824.29</v>
      </c>
    </row>
    <row r="538" spans="1:8" ht="63" x14ac:dyDescent="0.25">
      <c r="A538" s="25" t="s">
        <v>1280</v>
      </c>
      <c r="B538" s="20" t="s">
        <v>1173</v>
      </c>
      <c r="C538" s="40" t="s">
        <v>314</v>
      </c>
      <c r="D538" s="40" t="s">
        <v>133</v>
      </c>
      <c r="E538" s="40" t="s">
        <v>224</v>
      </c>
      <c r="F538" s="2">
        <v>903</v>
      </c>
      <c r="G538" s="10">
        <f>G537</f>
        <v>824.29</v>
      </c>
      <c r="H538" s="10">
        <f>H537</f>
        <v>824.29</v>
      </c>
    </row>
    <row r="539" spans="1:8" s="229" customFormat="1" ht="47.25" x14ac:dyDescent="0.25">
      <c r="A539" s="369" t="s">
        <v>1471</v>
      </c>
      <c r="B539" s="24" t="s">
        <v>1470</v>
      </c>
      <c r="C539" s="40"/>
      <c r="D539" s="73"/>
      <c r="E539" s="73"/>
      <c r="F539" s="2"/>
      <c r="G539" s="59">
        <f t="shared" ref="G539:H543" si="77">G540</f>
        <v>2202.4</v>
      </c>
      <c r="H539" s="59">
        <f t="shared" si="77"/>
        <v>0</v>
      </c>
    </row>
    <row r="540" spans="1:8" s="229" customFormat="1" ht="15.75" x14ac:dyDescent="0.25">
      <c r="A540" s="73" t="s">
        <v>313</v>
      </c>
      <c r="B540" s="20" t="s">
        <v>1470</v>
      </c>
      <c r="C540" s="40" t="s">
        <v>314</v>
      </c>
      <c r="D540" s="73"/>
      <c r="E540" s="73"/>
      <c r="F540" s="2"/>
      <c r="G540" s="10">
        <f t="shared" si="77"/>
        <v>2202.4</v>
      </c>
      <c r="H540" s="10">
        <f t="shared" si="77"/>
        <v>0</v>
      </c>
    </row>
    <row r="541" spans="1:8" s="229" customFormat="1" ht="15.75" x14ac:dyDescent="0.25">
      <c r="A541" s="73" t="s">
        <v>315</v>
      </c>
      <c r="B541" s="20" t="s">
        <v>1470</v>
      </c>
      <c r="C541" s="40" t="s">
        <v>314</v>
      </c>
      <c r="D541" s="40" t="s">
        <v>133</v>
      </c>
      <c r="E541" s="73"/>
      <c r="F541" s="2"/>
      <c r="G541" s="10">
        <f t="shared" si="77"/>
        <v>2202.4</v>
      </c>
      <c r="H541" s="10">
        <f t="shared" si="77"/>
        <v>0</v>
      </c>
    </row>
    <row r="542" spans="1:8" s="229" customFormat="1" ht="78.75" x14ac:dyDescent="0.25">
      <c r="A542" s="370" t="s">
        <v>1432</v>
      </c>
      <c r="B542" s="20" t="s">
        <v>1469</v>
      </c>
      <c r="C542" s="40" t="s">
        <v>314</v>
      </c>
      <c r="D542" s="40" t="s">
        <v>133</v>
      </c>
      <c r="E542" s="40"/>
      <c r="F542" s="2"/>
      <c r="G542" s="10">
        <f t="shared" si="77"/>
        <v>2202.4</v>
      </c>
      <c r="H542" s="10">
        <f t="shared" si="77"/>
        <v>0</v>
      </c>
    </row>
    <row r="543" spans="1:8" s="229" customFormat="1" ht="47.25" x14ac:dyDescent="0.25">
      <c r="A543" s="25" t="s">
        <v>146</v>
      </c>
      <c r="B543" s="20" t="s">
        <v>1469</v>
      </c>
      <c r="C543" s="40" t="s">
        <v>314</v>
      </c>
      <c r="D543" s="40" t="s">
        <v>133</v>
      </c>
      <c r="E543" s="40" t="s">
        <v>147</v>
      </c>
      <c r="F543" s="2"/>
      <c r="G543" s="10">
        <f t="shared" si="77"/>
        <v>2202.4</v>
      </c>
      <c r="H543" s="10">
        <f t="shared" si="77"/>
        <v>0</v>
      </c>
    </row>
    <row r="544" spans="1:8" s="229" customFormat="1" ht="63" x14ac:dyDescent="0.25">
      <c r="A544" s="25" t="s">
        <v>148</v>
      </c>
      <c r="B544" s="20" t="s">
        <v>1469</v>
      </c>
      <c r="C544" s="40" t="s">
        <v>314</v>
      </c>
      <c r="D544" s="40" t="s">
        <v>133</v>
      </c>
      <c r="E544" s="40" t="s">
        <v>149</v>
      </c>
      <c r="F544" s="2"/>
      <c r="G544" s="10">
        <f>'пр.6.1.ведом.21-22'!G367</f>
        <v>2202.4</v>
      </c>
      <c r="H544" s="10">
        <f>'пр.6.1.ведом.21-22'!H367</f>
        <v>0</v>
      </c>
    </row>
    <row r="545" spans="1:8" s="229" customFormat="1" ht="63" x14ac:dyDescent="0.25">
      <c r="A545" s="25" t="s">
        <v>1280</v>
      </c>
      <c r="B545" s="20" t="s">
        <v>1469</v>
      </c>
      <c r="C545" s="40" t="s">
        <v>314</v>
      </c>
      <c r="D545" s="40" t="s">
        <v>133</v>
      </c>
      <c r="E545" s="40" t="s">
        <v>149</v>
      </c>
      <c r="F545" s="2">
        <v>903</v>
      </c>
      <c r="G545" s="10">
        <f>G539</f>
        <v>2202.4</v>
      </c>
      <c r="H545" s="10">
        <f>H539</f>
        <v>0</v>
      </c>
    </row>
    <row r="546" spans="1:8" ht="63" x14ac:dyDescent="0.25">
      <c r="A546" s="41" t="s">
        <v>327</v>
      </c>
      <c r="B546" s="7" t="s">
        <v>328</v>
      </c>
      <c r="C546" s="7"/>
      <c r="D546" s="7"/>
      <c r="E546" s="7"/>
      <c r="F546" s="75"/>
      <c r="G546" s="59">
        <f>G547+G560+G567+G574+G585</f>
        <v>24415.71</v>
      </c>
      <c r="H546" s="59">
        <f>H547+H560+H567+H574+H585</f>
        <v>24415.71</v>
      </c>
    </row>
    <row r="547" spans="1:8" ht="63" x14ac:dyDescent="0.25">
      <c r="A547" s="23" t="s">
        <v>958</v>
      </c>
      <c r="B547" s="24" t="s">
        <v>962</v>
      </c>
      <c r="C547" s="7"/>
      <c r="D547" s="7"/>
      <c r="E547" s="7"/>
      <c r="F547" s="3"/>
      <c r="G547" s="59">
        <f>G548</f>
        <v>22194</v>
      </c>
      <c r="H547" s="59">
        <f>H548</f>
        <v>22194</v>
      </c>
    </row>
    <row r="548" spans="1:8" ht="15.75" x14ac:dyDescent="0.25">
      <c r="A548" s="73" t="s">
        <v>313</v>
      </c>
      <c r="B548" s="40" t="s">
        <v>962</v>
      </c>
      <c r="C548" s="40" t="s">
        <v>314</v>
      </c>
      <c r="D548" s="40"/>
      <c r="E548" s="40"/>
      <c r="F548" s="74"/>
      <c r="G548" s="10">
        <f t="shared" ref="G548:H548" si="78">G549</f>
        <v>22194</v>
      </c>
      <c r="H548" s="10">
        <f t="shared" si="78"/>
        <v>22194</v>
      </c>
    </row>
    <row r="549" spans="1:8" ht="15.75" x14ac:dyDescent="0.25">
      <c r="A549" s="73" t="s">
        <v>315</v>
      </c>
      <c r="B549" s="40" t="s">
        <v>962</v>
      </c>
      <c r="C549" s="40" t="s">
        <v>314</v>
      </c>
      <c r="D549" s="40" t="s">
        <v>133</v>
      </c>
      <c r="E549" s="40"/>
      <c r="F549" s="74"/>
      <c r="G549" s="10">
        <f>G550</f>
        <v>22194</v>
      </c>
      <c r="H549" s="10">
        <f>H550</f>
        <v>22194</v>
      </c>
    </row>
    <row r="550" spans="1:8" ht="31.5" x14ac:dyDescent="0.25">
      <c r="A550" s="25" t="s">
        <v>832</v>
      </c>
      <c r="B550" s="20" t="s">
        <v>963</v>
      </c>
      <c r="C550" s="40" t="s">
        <v>314</v>
      </c>
      <c r="D550" s="40" t="s">
        <v>133</v>
      </c>
      <c r="E550" s="40"/>
      <c r="F550" s="2"/>
      <c r="G550" s="10">
        <f>G551+G554+G557</f>
        <v>22194</v>
      </c>
      <c r="H550" s="10">
        <f>H551+H554+H557</f>
        <v>22194</v>
      </c>
    </row>
    <row r="551" spans="1:8" ht="126" x14ac:dyDescent="0.25">
      <c r="A551" s="25" t="s">
        <v>142</v>
      </c>
      <c r="B551" s="20" t="s">
        <v>963</v>
      </c>
      <c r="C551" s="40" t="s">
        <v>314</v>
      </c>
      <c r="D551" s="40" t="s">
        <v>133</v>
      </c>
      <c r="E551" s="40" t="s">
        <v>143</v>
      </c>
      <c r="F551" s="2"/>
      <c r="G551" s="10">
        <f>G552</f>
        <v>19218</v>
      </c>
      <c r="H551" s="10">
        <f>H552</f>
        <v>19218</v>
      </c>
    </row>
    <row r="552" spans="1:8" ht="31.5" x14ac:dyDescent="0.25">
      <c r="A552" s="25" t="s">
        <v>223</v>
      </c>
      <c r="B552" s="20" t="s">
        <v>963</v>
      </c>
      <c r="C552" s="40" t="s">
        <v>314</v>
      </c>
      <c r="D552" s="40" t="s">
        <v>133</v>
      </c>
      <c r="E552" s="40" t="s">
        <v>224</v>
      </c>
      <c r="F552" s="2"/>
      <c r="G552" s="10">
        <f>'пр.6.1.ведом.21-22'!G372</f>
        <v>19218</v>
      </c>
      <c r="H552" s="10">
        <f>'пр.6.1.ведом.21-22'!H372</f>
        <v>19218</v>
      </c>
    </row>
    <row r="553" spans="1:8" ht="63" x14ac:dyDescent="0.25">
      <c r="A553" s="25" t="s">
        <v>1280</v>
      </c>
      <c r="B553" s="20" t="s">
        <v>963</v>
      </c>
      <c r="C553" s="40" t="s">
        <v>314</v>
      </c>
      <c r="D553" s="40" t="s">
        <v>133</v>
      </c>
      <c r="E553" s="40" t="s">
        <v>224</v>
      </c>
      <c r="F553" s="2">
        <v>903</v>
      </c>
      <c r="G553" s="10">
        <f>G552</f>
        <v>19218</v>
      </c>
      <c r="H553" s="10">
        <f>H552</f>
        <v>19218</v>
      </c>
    </row>
    <row r="554" spans="1:8" ht="47.25" x14ac:dyDescent="0.25">
      <c r="A554" s="25" t="s">
        <v>146</v>
      </c>
      <c r="B554" s="20" t="s">
        <v>963</v>
      </c>
      <c r="C554" s="40" t="s">
        <v>314</v>
      </c>
      <c r="D554" s="40" t="s">
        <v>133</v>
      </c>
      <c r="E554" s="40" t="s">
        <v>147</v>
      </c>
      <c r="F554" s="2"/>
      <c r="G554" s="10">
        <f>G555</f>
        <v>2950</v>
      </c>
      <c r="H554" s="10">
        <f>H555</f>
        <v>2950</v>
      </c>
    </row>
    <row r="555" spans="1:8" ht="63" x14ac:dyDescent="0.25">
      <c r="A555" s="25" t="s">
        <v>148</v>
      </c>
      <c r="B555" s="20" t="s">
        <v>963</v>
      </c>
      <c r="C555" s="40" t="s">
        <v>314</v>
      </c>
      <c r="D555" s="40" t="s">
        <v>133</v>
      </c>
      <c r="E555" s="40" t="s">
        <v>149</v>
      </c>
      <c r="F555" s="2"/>
      <c r="G555" s="10">
        <f>'пр.6.1.ведом.21-22'!G374</f>
        <v>2950</v>
      </c>
      <c r="H555" s="10">
        <f>'пр.6.1.ведом.21-22'!H374</f>
        <v>2950</v>
      </c>
    </row>
    <row r="556" spans="1:8" ht="63" x14ac:dyDescent="0.25">
      <c r="A556" s="25" t="s">
        <v>1280</v>
      </c>
      <c r="B556" s="20" t="s">
        <v>963</v>
      </c>
      <c r="C556" s="40" t="s">
        <v>314</v>
      </c>
      <c r="D556" s="40" t="s">
        <v>133</v>
      </c>
      <c r="E556" s="40" t="s">
        <v>149</v>
      </c>
      <c r="F556" s="2">
        <v>903</v>
      </c>
      <c r="G556" s="10">
        <f>G555</f>
        <v>2950</v>
      </c>
      <c r="H556" s="10">
        <f>H555</f>
        <v>2950</v>
      </c>
    </row>
    <row r="557" spans="1:8" ht="15.75" x14ac:dyDescent="0.25">
      <c r="A557" s="25" t="s">
        <v>150</v>
      </c>
      <c r="B557" s="20" t="s">
        <v>963</v>
      </c>
      <c r="C557" s="40" t="s">
        <v>314</v>
      </c>
      <c r="D557" s="40" t="s">
        <v>133</v>
      </c>
      <c r="E557" s="40" t="s">
        <v>160</v>
      </c>
      <c r="F557" s="2"/>
      <c r="G557" s="10">
        <f>G558</f>
        <v>26</v>
      </c>
      <c r="H557" s="10">
        <f>H558</f>
        <v>26</v>
      </c>
    </row>
    <row r="558" spans="1:8" ht="31.5" x14ac:dyDescent="0.25">
      <c r="A558" s="25" t="s">
        <v>152</v>
      </c>
      <c r="B558" s="20" t="s">
        <v>963</v>
      </c>
      <c r="C558" s="40" t="s">
        <v>314</v>
      </c>
      <c r="D558" s="40" t="s">
        <v>133</v>
      </c>
      <c r="E558" s="40" t="s">
        <v>153</v>
      </c>
      <c r="F558" s="2"/>
      <c r="G558" s="10">
        <f>'пр.6.1.ведом.21-22'!G376</f>
        <v>26</v>
      </c>
      <c r="H558" s="10">
        <f>'пр.6.1.ведом.21-22'!H376</f>
        <v>26</v>
      </c>
    </row>
    <row r="559" spans="1:8" ht="63" x14ac:dyDescent="0.25">
      <c r="A559" s="25" t="s">
        <v>1280</v>
      </c>
      <c r="B559" s="20" t="s">
        <v>963</v>
      </c>
      <c r="C559" s="40" t="s">
        <v>314</v>
      </c>
      <c r="D559" s="40" t="s">
        <v>133</v>
      </c>
      <c r="E559" s="40" t="s">
        <v>153</v>
      </c>
      <c r="F559" s="2">
        <v>903</v>
      </c>
      <c r="G559" s="10">
        <f>G558</f>
        <v>26</v>
      </c>
      <c r="H559" s="10">
        <f>H558</f>
        <v>26</v>
      </c>
    </row>
    <row r="560" spans="1:8" ht="48.75" customHeight="1" x14ac:dyDescent="0.25">
      <c r="A560" s="23" t="s">
        <v>975</v>
      </c>
      <c r="B560" s="24" t="s">
        <v>964</v>
      </c>
      <c r="C560" s="7"/>
      <c r="D560" s="7"/>
      <c r="E560" s="7"/>
      <c r="F560" s="3"/>
      <c r="G560" s="59">
        <f>G563</f>
        <v>50</v>
      </c>
      <c r="H560" s="59">
        <f>H563</f>
        <v>50</v>
      </c>
    </row>
    <row r="561" spans="1:8" ht="15.75" x14ac:dyDescent="0.25">
      <c r="A561" s="73" t="s">
        <v>313</v>
      </c>
      <c r="B561" s="40" t="s">
        <v>964</v>
      </c>
      <c r="C561" s="40" t="s">
        <v>314</v>
      </c>
      <c r="D561" s="40"/>
      <c r="E561" s="40"/>
      <c r="F561" s="74"/>
      <c r="G561" s="10">
        <f t="shared" ref="G561:H561" si="79">G562</f>
        <v>50</v>
      </c>
      <c r="H561" s="10">
        <f t="shared" si="79"/>
        <v>50</v>
      </c>
    </row>
    <row r="562" spans="1:8" ht="15.75" x14ac:dyDescent="0.25">
      <c r="A562" s="73" t="s">
        <v>315</v>
      </c>
      <c r="B562" s="40" t="s">
        <v>964</v>
      </c>
      <c r="C562" s="40" t="s">
        <v>314</v>
      </c>
      <c r="D562" s="40" t="s">
        <v>133</v>
      </c>
      <c r="E562" s="40"/>
      <c r="F562" s="74"/>
      <c r="G562" s="10">
        <f t="shared" ref="G562:H564" si="80">G563</f>
        <v>50</v>
      </c>
      <c r="H562" s="10">
        <f t="shared" si="80"/>
        <v>50</v>
      </c>
    </row>
    <row r="563" spans="1:8" ht="31.5" x14ac:dyDescent="0.25">
      <c r="A563" s="25" t="s">
        <v>867</v>
      </c>
      <c r="B563" s="20" t="s">
        <v>965</v>
      </c>
      <c r="C563" s="40" t="s">
        <v>314</v>
      </c>
      <c r="D563" s="40" t="s">
        <v>133</v>
      </c>
      <c r="E563" s="40"/>
      <c r="F563" s="2"/>
      <c r="G563" s="10">
        <f t="shared" si="80"/>
        <v>50</v>
      </c>
      <c r="H563" s="10">
        <f t="shared" si="80"/>
        <v>50</v>
      </c>
    </row>
    <row r="564" spans="1:8" ht="47.25" x14ac:dyDescent="0.25">
      <c r="A564" s="25" t="s">
        <v>146</v>
      </c>
      <c r="B564" s="20" t="s">
        <v>965</v>
      </c>
      <c r="C564" s="40" t="s">
        <v>314</v>
      </c>
      <c r="D564" s="40" t="s">
        <v>133</v>
      </c>
      <c r="E564" s="40" t="s">
        <v>147</v>
      </c>
      <c r="F564" s="2"/>
      <c r="G564" s="10">
        <f t="shared" si="80"/>
        <v>50</v>
      </c>
      <c r="H564" s="10">
        <f t="shared" si="80"/>
        <v>50</v>
      </c>
    </row>
    <row r="565" spans="1:8" ht="63" x14ac:dyDescent="0.25">
      <c r="A565" s="25" t="s">
        <v>148</v>
      </c>
      <c r="B565" s="20" t="s">
        <v>965</v>
      </c>
      <c r="C565" s="40" t="s">
        <v>314</v>
      </c>
      <c r="D565" s="40" t="s">
        <v>133</v>
      </c>
      <c r="E565" s="40" t="s">
        <v>149</v>
      </c>
      <c r="F565" s="2"/>
      <c r="G565" s="10">
        <f>'пр.6.1.ведом.21-22'!G380</f>
        <v>50</v>
      </c>
      <c r="H565" s="10">
        <f>'пр.6.1.ведом.21-22'!H380</f>
        <v>50</v>
      </c>
    </row>
    <row r="566" spans="1:8" ht="63" x14ac:dyDescent="0.25">
      <c r="A566" s="25" t="s">
        <v>1280</v>
      </c>
      <c r="B566" s="20" t="s">
        <v>965</v>
      </c>
      <c r="C566" s="40" t="s">
        <v>314</v>
      </c>
      <c r="D566" s="40" t="s">
        <v>133</v>
      </c>
      <c r="E566" s="40" t="s">
        <v>149</v>
      </c>
      <c r="F566" s="2">
        <v>903</v>
      </c>
      <c r="G566" s="10">
        <f>G565</f>
        <v>50</v>
      </c>
      <c r="H566" s="10">
        <f>H565</f>
        <v>50</v>
      </c>
    </row>
    <row r="567" spans="1:8" ht="63" x14ac:dyDescent="0.25">
      <c r="A567" s="23" t="s">
        <v>1081</v>
      </c>
      <c r="B567" s="24" t="s">
        <v>966</v>
      </c>
      <c r="C567" s="7"/>
      <c r="D567" s="7"/>
      <c r="E567" s="7"/>
      <c r="F567" s="3"/>
      <c r="G567" s="59">
        <f>G570</f>
        <v>507</v>
      </c>
      <c r="H567" s="59">
        <f>H570</f>
        <v>507</v>
      </c>
    </row>
    <row r="568" spans="1:8" ht="15.75" x14ac:dyDescent="0.25">
      <c r="A568" s="73" t="s">
        <v>313</v>
      </c>
      <c r="B568" s="40" t="s">
        <v>966</v>
      </c>
      <c r="C568" s="40" t="s">
        <v>314</v>
      </c>
      <c r="D568" s="40"/>
      <c r="E568" s="40"/>
      <c r="F568" s="74"/>
      <c r="G568" s="10">
        <f t="shared" ref="G568:H568" si="81">G569</f>
        <v>507</v>
      </c>
      <c r="H568" s="10">
        <f t="shared" si="81"/>
        <v>507</v>
      </c>
    </row>
    <row r="569" spans="1:8" ht="15.75" x14ac:dyDescent="0.25">
      <c r="A569" s="73" t="s">
        <v>315</v>
      </c>
      <c r="B569" s="40" t="s">
        <v>966</v>
      </c>
      <c r="C569" s="40" t="s">
        <v>314</v>
      </c>
      <c r="D569" s="40" t="s">
        <v>133</v>
      </c>
      <c r="E569" s="40"/>
      <c r="F569" s="74"/>
      <c r="G569" s="10">
        <f t="shared" ref="G569:H571" si="82">G570</f>
        <v>507</v>
      </c>
      <c r="H569" s="10">
        <f t="shared" si="82"/>
        <v>507</v>
      </c>
    </row>
    <row r="570" spans="1:8" ht="63" x14ac:dyDescent="0.25">
      <c r="A570" s="25" t="s">
        <v>886</v>
      </c>
      <c r="B570" s="20" t="s">
        <v>1263</v>
      </c>
      <c r="C570" s="40" t="s">
        <v>314</v>
      </c>
      <c r="D570" s="40" t="s">
        <v>133</v>
      </c>
      <c r="E570" s="40"/>
      <c r="F570" s="2"/>
      <c r="G570" s="10">
        <f t="shared" si="82"/>
        <v>507</v>
      </c>
      <c r="H570" s="10">
        <f t="shared" si="82"/>
        <v>507</v>
      </c>
    </row>
    <row r="571" spans="1:8" ht="126" x14ac:dyDescent="0.25">
      <c r="A571" s="25" t="s">
        <v>142</v>
      </c>
      <c r="B571" s="20" t="s">
        <v>1263</v>
      </c>
      <c r="C571" s="40" t="s">
        <v>314</v>
      </c>
      <c r="D571" s="40" t="s">
        <v>133</v>
      </c>
      <c r="E571" s="40" t="s">
        <v>143</v>
      </c>
      <c r="F571" s="2"/>
      <c r="G571" s="10">
        <f t="shared" si="82"/>
        <v>507</v>
      </c>
      <c r="H571" s="10">
        <f t="shared" si="82"/>
        <v>507</v>
      </c>
    </row>
    <row r="572" spans="1:8" ht="47.25" x14ac:dyDescent="0.25">
      <c r="A572" s="25" t="s">
        <v>144</v>
      </c>
      <c r="B572" s="20" t="s">
        <v>1263</v>
      </c>
      <c r="C572" s="40" t="s">
        <v>314</v>
      </c>
      <c r="D572" s="40" t="s">
        <v>133</v>
      </c>
      <c r="E572" s="40" t="s">
        <v>224</v>
      </c>
      <c r="F572" s="2"/>
      <c r="G572" s="10">
        <f>'пр.6.1.ведом.21-22'!G384</f>
        <v>507</v>
      </c>
      <c r="H572" s="10">
        <f>'пр.6.1.ведом.21-22'!H384</f>
        <v>507</v>
      </c>
    </row>
    <row r="573" spans="1:8" ht="63" x14ac:dyDescent="0.25">
      <c r="A573" s="25" t="s">
        <v>1280</v>
      </c>
      <c r="B573" s="20" t="s">
        <v>1263</v>
      </c>
      <c r="C573" s="40" t="s">
        <v>314</v>
      </c>
      <c r="D573" s="40" t="s">
        <v>133</v>
      </c>
      <c r="E573" s="40" t="s">
        <v>224</v>
      </c>
      <c r="F573" s="2">
        <v>903</v>
      </c>
      <c r="G573" s="10">
        <f>G572</f>
        <v>507</v>
      </c>
      <c r="H573" s="10">
        <f>H572</f>
        <v>507</v>
      </c>
    </row>
    <row r="574" spans="1:8" ht="31.5" x14ac:dyDescent="0.25">
      <c r="A574" s="23" t="s">
        <v>1169</v>
      </c>
      <c r="B574" s="24" t="s">
        <v>967</v>
      </c>
      <c r="C574" s="7"/>
      <c r="D574" s="7"/>
      <c r="E574" s="7"/>
      <c r="F574" s="3"/>
      <c r="G574" s="59">
        <f>G577+G581</f>
        <v>68.7</v>
      </c>
      <c r="H574" s="59">
        <f>H577+H581</f>
        <v>68.7</v>
      </c>
    </row>
    <row r="575" spans="1:8" ht="15.75" x14ac:dyDescent="0.25">
      <c r="A575" s="68" t="s">
        <v>313</v>
      </c>
      <c r="B575" s="40" t="s">
        <v>967</v>
      </c>
      <c r="C575" s="40" t="s">
        <v>314</v>
      </c>
      <c r="D575" s="40"/>
      <c r="E575" s="40"/>
      <c r="F575" s="74"/>
      <c r="G575" s="10">
        <f t="shared" ref="G575:H575" si="83">G576</f>
        <v>68.7</v>
      </c>
      <c r="H575" s="10">
        <f t="shared" si="83"/>
        <v>68.7</v>
      </c>
    </row>
    <row r="576" spans="1:8" ht="15.75" x14ac:dyDescent="0.25">
      <c r="A576" s="68" t="s">
        <v>315</v>
      </c>
      <c r="B576" s="40" t="s">
        <v>967</v>
      </c>
      <c r="C576" s="40" t="s">
        <v>314</v>
      </c>
      <c r="D576" s="40" t="s">
        <v>133</v>
      </c>
      <c r="E576" s="40"/>
      <c r="F576" s="74"/>
      <c r="G576" s="10">
        <f>G577+G581</f>
        <v>68.7</v>
      </c>
      <c r="H576" s="10">
        <f>H577+H581</f>
        <v>68.7</v>
      </c>
    </row>
    <row r="577" spans="1:8" ht="31.5" x14ac:dyDescent="0.25">
      <c r="A577" s="25" t="s">
        <v>344</v>
      </c>
      <c r="B577" s="20" t="s">
        <v>1264</v>
      </c>
      <c r="C577" s="40" t="s">
        <v>314</v>
      </c>
      <c r="D577" s="40" t="s">
        <v>133</v>
      </c>
      <c r="E577" s="40"/>
      <c r="F577" s="2"/>
      <c r="G577" s="10">
        <f>G578</f>
        <v>3.5</v>
      </c>
      <c r="H577" s="10">
        <f>H578</f>
        <v>3.5</v>
      </c>
    </row>
    <row r="578" spans="1:8" ht="47.25" x14ac:dyDescent="0.25">
      <c r="A578" s="25" t="s">
        <v>146</v>
      </c>
      <c r="B578" s="20" t="s">
        <v>1264</v>
      </c>
      <c r="C578" s="40" t="s">
        <v>314</v>
      </c>
      <c r="D578" s="40" t="s">
        <v>133</v>
      </c>
      <c r="E578" s="40" t="s">
        <v>147</v>
      </c>
      <c r="F578" s="2"/>
      <c r="G578" s="10">
        <f>G579</f>
        <v>3.5</v>
      </c>
      <c r="H578" s="10">
        <f>H579</f>
        <v>3.5</v>
      </c>
    </row>
    <row r="579" spans="1:8" ht="63" x14ac:dyDescent="0.25">
      <c r="A579" s="25" t="s">
        <v>148</v>
      </c>
      <c r="B579" s="20" t="s">
        <v>1264</v>
      </c>
      <c r="C579" s="40" t="s">
        <v>314</v>
      </c>
      <c r="D579" s="40" t="s">
        <v>133</v>
      </c>
      <c r="E579" s="40" t="s">
        <v>149</v>
      </c>
      <c r="F579" s="2"/>
      <c r="G579" s="10">
        <f>'пр.6.1.ведом.21-22'!G388</f>
        <v>3.5</v>
      </c>
      <c r="H579" s="10">
        <f>'пр.6.1.ведом.21-22'!H388</f>
        <v>3.5</v>
      </c>
    </row>
    <row r="580" spans="1:8" ht="63" x14ac:dyDescent="0.25">
      <c r="A580" s="25" t="s">
        <v>1280</v>
      </c>
      <c r="B580" s="20" t="s">
        <v>1264</v>
      </c>
      <c r="C580" s="40" t="s">
        <v>314</v>
      </c>
      <c r="D580" s="40" t="s">
        <v>133</v>
      </c>
      <c r="E580" s="40" t="s">
        <v>149</v>
      </c>
      <c r="F580" s="2">
        <v>903</v>
      </c>
      <c r="G580" s="10">
        <f>G579</f>
        <v>3.5</v>
      </c>
      <c r="H580" s="10">
        <f>H579</f>
        <v>3.5</v>
      </c>
    </row>
    <row r="581" spans="1:8" ht="31.5" x14ac:dyDescent="0.25">
      <c r="A581" s="25" t="s">
        <v>344</v>
      </c>
      <c r="B581" s="20" t="s">
        <v>1265</v>
      </c>
      <c r="C581" s="40" t="s">
        <v>314</v>
      </c>
      <c r="D581" s="40" t="s">
        <v>133</v>
      </c>
      <c r="E581" s="40"/>
      <c r="F581" s="2"/>
      <c r="G581" s="10">
        <f>G582</f>
        <v>65.2</v>
      </c>
      <c r="H581" s="10">
        <f>H582</f>
        <v>65.2</v>
      </c>
    </row>
    <row r="582" spans="1:8" ht="47.25" x14ac:dyDescent="0.25">
      <c r="A582" s="25" t="s">
        <v>146</v>
      </c>
      <c r="B582" s="20" t="s">
        <v>1265</v>
      </c>
      <c r="C582" s="40" t="s">
        <v>314</v>
      </c>
      <c r="D582" s="40" t="s">
        <v>133</v>
      </c>
      <c r="E582" s="40" t="s">
        <v>147</v>
      </c>
      <c r="F582" s="2"/>
      <c r="G582" s="10">
        <f>G583</f>
        <v>65.2</v>
      </c>
      <c r="H582" s="10">
        <f>H583</f>
        <v>65.2</v>
      </c>
    </row>
    <row r="583" spans="1:8" ht="63" x14ac:dyDescent="0.25">
      <c r="A583" s="25" t="s">
        <v>148</v>
      </c>
      <c r="B583" s="20" t="s">
        <v>1265</v>
      </c>
      <c r="C583" s="40" t="s">
        <v>314</v>
      </c>
      <c r="D583" s="40" t="s">
        <v>133</v>
      </c>
      <c r="E583" s="40" t="s">
        <v>149</v>
      </c>
      <c r="F583" s="2"/>
      <c r="G583" s="10">
        <f>'пр.6.1.ведом.21-22'!G391</f>
        <v>65.2</v>
      </c>
      <c r="H583" s="10">
        <f>'пр.6.1.ведом.21-22'!H391</f>
        <v>65.2</v>
      </c>
    </row>
    <row r="584" spans="1:8" ht="63" x14ac:dyDescent="0.25">
      <c r="A584" s="25" t="s">
        <v>1280</v>
      </c>
      <c r="B584" s="20" t="s">
        <v>1265</v>
      </c>
      <c r="C584" s="40" t="s">
        <v>314</v>
      </c>
      <c r="D584" s="40" t="s">
        <v>133</v>
      </c>
      <c r="E584" s="40" t="s">
        <v>149</v>
      </c>
      <c r="F584" s="2">
        <v>903</v>
      </c>
      <c r="G584" s="10">
        <f>G583</f>
        <v>65.2</v>
      </c>
      <c r="H584" s="10">
        <f>H583</f>
        <v>65.2</v>
      </c>
    </row>
    <row r="585" spans="1:8" ht="78.75" x14ac:dyDescent="0.25">
      <c r="A585" s="280" t="s">
        <v>973</v>
      </c>
      <c r="B585" s="24" t="s">
        <v>1266</v>
      </c>
      <c r="C585" s="7"/>
      <c r="D585" s="7"/>
      <c r="E585" s="7"/>
      <c r="F585" s="3"/>
      <c r="G585" s="59">
        <f>G586</f>
        <v>1596.01</v>
      </c>
      <c r="H585" s="59">
        <f>H586</f>
        <v>1596.01</v>
      </c>
    </row>
    <row r="586" spans="1:8" ht="15.75" x14ac:dyDescent="0.25">
      <c r="A586" s="68" t="s">
        <v>313</v>
      </c>
      <c r="B586" s="40" t="s">
        <v>1266</v>
      </c>
      <c r="C586" s="40" t="s">
        <v>314</v>
      </c>
      <c r="D586" s="40"/>
      <c r="E586" s="40"/>
      <c r="F586" s="74"/>
      <c r="G586" s="10">
        <f t="shared" ref="G586:H586" si="84">G587</f>
        <v>1596.01</v>
      </c>
      <c r="H586" s="10">
        <f t="shared" si="84"/>
        <v>1596.01</v>
      </c>
    </row>
    <row r="587" spans="1:8" ht="15.75" x14ac:dyDescent="0.25">
      <c r="A587" s="68" t="s">
        <v>315</v>
      </c>
      <c r="B587" s="40" t="s">
        <v>1266</v>
      </c>
      <c r="C587" s="40" t="s">
        <v>314</v>
      </c>
      <c r="D587" s="40" t="s">
        <v>133</v>
      </c>
      <c r="E587" s="40"/>
      <c r="F587" s="74"/>
      <c r="G587" s="10">
        <f>G588+G592</f>
        <v>1596.01</v>
      </c>
      <c r="H587" s="10">
        <f>H588+H592</f>
        <v>1596.01</v>
      </c>
    </row>
    <row r="588" spans="1:8" ht="110.25" x14ac:dyDescent="0.25">
      <c r="A588" s="25" t="s">
        <v>346</v>
      </c>
      <c r="B588" s="20" t="s">
        <v>1267</v>
      </c>
      <c r="C588" s="40" t="s">
        <v>314</v>
      </c>
      <c r="D588" s="40" t="s">
        <v>133</v>
      </c>
      <c r="E588" s="40"/>
      <c r="F588" s="2"/>
      <c r="G588" s="10">
        <f>G589</f>
        <v>319.7</v>
      </c>
      <c r="H588" s="10">
        <f>H589</f>
        <v>319.7</v>
      </c>
    </row>
    <row r="589" spans="1:8" ht="126" x14ac:dyDescent="0.25">
      <c r="A589" s="25" t="s">
        <v>142</v>
      </c>
      <c r="B589" s="20" t="s">
        <v>1267</v>
      </c>
      <c r="C589" s="40" t="s">
        <v>314</v>
      </c>
      <c r="D589" s="40" t="s">
        <v>133</v>
      </c>
      <c r="E589" s="40" t="s">
        <v>143</v>
      </c>
      <c r="F589" s="2"/>
      <c r="G589" s="10">
        <f>G590</f>
        <v>319.7</v>
      </c>
      <c r="H589" s="10">
        <f>H590</f>
        <v>319.7</v>
      </c>
    </row>
    <row r="590" spans="1:8" ht="31.5" x14ac:dyDescent="0.25">
      <c r="A590" s="25" t="s">
        <v>223</v>
      </c>
      <c r="B590" s="20" t="s">
        <v>1267</v>
      </c>
      <c r="C590" s="40" t="s">
        <v>314</v>
      </c>
      <c r="D590" s="40" t="s">
        <v>133</v>
      </c>
      <c r="E590" s="40" t="s">
        <v>224</v>
      </c>
      <c r="F590" s="2"/>
      <c r="G590" s="10">
        <f>'пр.6.1.ведом.21-22'!G395</f>
        <v>319.7</v>
      </c>
      <c r="H590" s="10">
        <f>'пр.6.1.ведом.21-22'!H395</f>
        <v>319.7</v>
      </c>
    </row>
    <row r="591" spans="1:8" ht="63" x14ac:dyDescent="0.25">
      <c r="A591" s="25" t="s">
        <v>1280</v>
      </c>
      <c r="B591" s="20" t="s">
        <v>1267</v>
      </c>
      <c r="C591" s="40" t="s">
        <v>314</v>
      </c>
      <c r="D591" s="40" t="s">
        <v>133</v>
      </c>
      <c r="E591" s="40" t="s">
        <v>224</v>
      </c>
      <c r="F591" s="2">
        <v>903</v>
      </c>
      <c r="G591" s="10">
        <f>G590</f>
        <v>319.7</v>
      </c>
      <c r="H591" s="10">
        <f>H590</f>
        <v>319.7</v>
      </c>
    </row>
    <row r="592" spans="1:8" ht="141.75" x14ac:dyDescent="0.25">
      <c r="A592" s="31" t="s">
        <v>308</v>
      </c>
      <c r="B592" s="20" t="s">
        <v>1268</v>
      </c>
      <c r="C592" s="40" t="s">
        <v>314</v>
      </c>
      <c r="D592" s="40" t="s">
        <v>133</v>
      </c>
      <c r="E592" s="40"/>
      <c r="F592" s="2"/>
      <c r="G592" s="10">
        <f>G593</f>
        <v>1276.31</v>
      </c>
      <c r="H592" s="10">
        <f>H593</f>
        <v>1276.31</v>
      </c>
    </row>
    <row r="593" spans="1:8" ht="126" x14ac:dyDescent="0.25">
      <c r="A593" s="25" t="s">
        <v>142</v>
      </c>
      <c r="B593" s="20" t="s">
        <v>1268</v>
      </c>
      <c r="C593" s="40" t="s">
        <v>314</v>
      </c>
      <c r="D593" s="40" t="s">
        <v>133</v>
      </c>
      <c r="E593" s="40" t="s">
        <v>143</v>
      </c>
      <c r="F593" s="2"/>
      <c r="G593" s="10">
        <f>G594</f>
        <v>1276.31</v>
      </c>
      <c r="H593" s="10">
        <f>H594</f>
        <v>1276.31</v>
      </c>
    </row>
    <row r="594" spans="1:8" ht="31.5" x14ac:dyDescent="0.25">
      <c r="A594" s="25" t="s">
        <v>223</v>
      </c>
      <c r="B594" s="20" t="s">
        <v>1268</v>
      </c>
      <c r="C594" s="40" t="s">
        <v>314</v>
      </c>
      <c r="D594" s="40" t="s">
        <v>133</v>
      </c>
      <c r="E594" s="40" t="s">
        <v>224</v>
      </c>
      <c r="F594" s="2"/>
      <c r="G594" s="10">
        <f>'пр.6.1.ведом.21-22'!G398</f>
        <v>1276.31</v>
      </c>
      <c r="H594" s="10">
        <f>'пр.6.1.ведом.21-22'!H398</f>
        <v>1276.31</v>
      </c>
    </row>
    <row r="595" spans="1:8" ht="63" x14ac:dyDescent="0.25">
      <c r="A595" s="25" t="s">
        <v>1280</v>
      </c>
      <c r="B595" s="20" t="s">
        <v>1268</v>
      </c>
      <c r="C595" s="40" t="s">
        <v>314</v>
      </c>
      <c r="D595" s="40" t="s">
        <v>133</v>
      </c>
      <c r="E595" s="40" t="s">
        <v>224</v>
      </c>
      <c r="F595" s="2">
        <v>903</v>
      </c>
      <c r="G595" s="10">
        <f>G594</f>
        <v>1276.31</v>
      </c>
      <c r="H595" s="10">
        <f>H594</f>
        <v>1276.31</v>
      </c>
    </row>
    <row r="596" spans="1:8" ht="78.75" x14ac:dyDescent="0.25">
      <c r="A596" s="23" t="s">
        <v>283</v>
      </c>
      <c r="B596" s="24" t="s">
        <v>284</v>
      </c>
      <c r="C596" s="7"/>
      <c r="D596" s="7"/>
      <c r="E596" s="7"/>
      <c r="F596" s="3"/>
      <c r="G596" s="59">
        <f>G597+G610+G617+G627+G634</f>
        <v>16643.63</v>
      </c>
      <c r="H596" s="59">
        <f>H597+H610+H617+H627+H634</f>
        <v>16643.63</v>
      </c>
    </row>
    <row r="597" spans="1:8" ht="63" x14ac:dyDescent="0.25">
      <c r="A597" s="23" t="s">
        <v>943</v>
      </c>
      <c r="B597" s="24" t="s">
        <v>944</v>
      </c>
      <c r="C597" s="7"/>
      <c r="D597" s="7"/>
      <c r="E597" s="7"/>
      <c r="F597" s="3"/>
      <c r="G597" s="59">
        <f t="shared" ref="G597:H599" si="85">G598</f>
        <v>15011</v>
      </c>
      <c r="H597" s="59">
        <f t="shared" si="85"/>
        <v>15011</v>
      </c>
    </row>
    <row r="598" spans="1:8" ht="15.75" x14ac:dyDescent="0.25">
      <c r="A598" s="25" t="s">
        <v>278</v>
      </c>
      <c r="B598" s="20" t="s">
        <v>944</v>
      </c>
      <c r="C598" s="40" t="s">
        <v>279</v>
      </c>
      <c r="D598" s="40"/>
      <c r="E598" s="40"/>
      <c r="F598" s="2"/>
      <c r="G598" s="10">
        <f t="shared" si="85"/>
        <v>15011</v>
      </c>
      <c r="H598" s="10">
        <f t="shared" si="85"/>
        <v>15011</v>
      </c>
    </row>
    <row r="599" spans="1:8" ht="31.5" x14ac:dyDescent="0.25">
      <c r="A599" s="25" t="s">
        <v>280</v>
      </c>
      <c r="B599" s="20" t="s">
        <v>944</v>
      </c>
      <c r="C599" s="40" t="s">
        <v>279</v>
      </c>
      <c r="D599" s="40" t="s">
        <v>230</v>
      </c>
      <c r="E599" s="40"/>
      <c r="F599" s="2"/>
      <c r="G599" s="10">
        <f t="shared" si="85"/>
        <v>15011</v>
      </c>
      <c r="H599" s="10">
        <f t="shared" si="85"/>
        <v>15011</v>
      </c>
    </row>
    <row r="600" spans="1:8" ht="31.5" x14ac:dyDescent="0.25">
      <c r="A600" s="25" t="s">
        <v>832</v>
      </c>
      <c r="B600" s="20" t="s">
        <v>942</v>
      </c>
      <c r="C600" s="40" t="s">
        <v>279</v>
      </c>
      <c r="D600" s="40" t="s">
        <v>230</v>
      </c>
      <c r="E600" s="40"/>
      <c r="F600" s="2"/>
      <c r="G600" s="10">
        <f>G601+G604+G607</f>
        <v>15011</v>
      </c>
      <c r="H600" s="10">
        <f>H601+H604+H607</f>
        <v>15011</v>
      </c>
    </row>
    <row r="601" spans="1:8" ht="126" x14ac:dyDescent="0.25">
      <c r="A601" s="25" t="s">
        <v>142</v>
      </c>
      <c r="B601" s="20" t="s">
        <v>942</v>
      </c>
      <c r="C601" s="40" t="s">
        <v>279</v>
      </c>
      <c r="D601" s="40" t="s">
        <v>230</v>
      </c>
      <c r="E601" s="20" t="s">
        <v>143</v>
      </c>
      <c r="F601" s="2"/>
      <c r="G601" s="10">
        <f>G602</f>
        <v>13393</v>
      </c>
      <c r="H601" s="10">
        <f>H602</f>
        <v>13393</v>
      </c>
    </row>
    <row r="602" spans="1:8" ht="31.5" x14ac:dyDescent="0.25">
      <c r="A602" s="450" t="s">
        <v>357</v>
      </c>
      <c r="B602" s="20" t="s">
        <v>942</v>
      </c>
      <c r="C602" s="40" t="s">
        <v>279</v>
      </c>
      <c r="D602" s="40" t="s">
        <v>230</v>
      </c>
      <c r="E602" s="20" t="s">
        <v>224</v>
      </c>
      <c r="F602" s="2"/>
      <c r="G602" s="10">
        <f>'пр.6.1.ведом.21-22'!G284</f>
        <v>13393</v>
      </c>
      <c r="H602" s="10">
        <f>'пр.6.1.ведом.21-22'!H284</f>
        <v>13393</v>
      </c>
    </row>
    <row r="603" spans="1:8" ht="63" x14ac:dyDescent="0.25">
      <c r="A603" s="25" t="s">
        <v>1280</v>
      </c>
      <c r="B603" s="20" t="s">
        <v>942</v>
      </c>
      <c r="C603" s="40" t="s">
        <v>279</v>
      </c>
      <c r="D603" s="40" t="s">
        <v>230</v>
      </c>
      <c r="E603" s="20" t="s">
        <v>224</v>
      </c>
      <c r="F603" s="2">
        <v>903</v>
      </c>
      <c r="G603" s="10">
        <f>G602</f>
        <v>13393</v>
      </c>
      <c r="H603" s="10">
        <f>H602</f>
        <v>13393</v>
      </c>
    </row>
    <row r="604" spans="1:8" ht="47.25" x14ac:dyDescent="0.25">
      <c r="A604" s="25" t="s">
        <v>146</v>
      </c>
      <c r="B604" s="20" t="s">
        <v>942</v>
      </c>
      <c r="C604" s="40" t="s">
        <v>279</v>
      </c>
      <c r="D604" s="40" t="s">
        <v>230</v>
      </c>
      <c r="E604" s="20" t="s">
        <v>147</v>
      </c>
      <c r="F604" s="2"/>
      <c r="G604" s="10">
        <f>G605</f>
        <v>1540</v>
      </c>
      <c r="H604" s="10">
        <f>H605</f>
        <v>1540</v>
      </c>
    </row>
    <row r="605" spans="1:8" ht="63" x14ac:dyDescent="0.25">
      <c r="A605" s="25" t="s">
        <v>148</v>
      </c>
      <c r="B605" s="20" t="s">
        <v>942</v>
      </c>
      <c r="C605" s="40" t="s">
        <v>279</v>
      </c>
      <c r="D605" s="40" t="s">
        <v>230</v>
      </c>
      <c r="E605" s="20" t="s">
        <v>149</v>
      </c>
      <c r="F605" s="2"/>
      <c r="G605" s="10">
        <f>'пр.6.1.ведом.21-22'!G286</f>
        <v>1540</v>
      </c>
      <c r="H605" s="10">
        <f>'пр.6.1.ведом.21-22'!H286</f>
        <v>1540</v>
      </c>
    </row>
    <row r="606" spans="1:8" ht="63" x14ac:dyDescent="0.25">
      <c r="A606" s="25" t="s">
        <v>1280</v>
      </c>
      <c r="B606" s="20" t="s">
        <v>942</v>
      </c>
      <c r="C606" s="40" t="s">
        <v>279</v>
      </c>
      <c r="D606" s="40" t="s">
        <v>230</v>
      </c>
      <c r="E606" s="20" t="s">
        <v>149</v>
      </c>
      <c r="F606" s="2">
        <v>903</v>
      </c>
      <c r="G606" s="10">
        <f>G605</f>
        <v>1540</v>
      </c>
      <c r="H606" s="10">
        <f>H605</f>
        <v>1540</v>
      </c>
    </row>
    <row r="607" spans="1:8" ht="15.75" x14ac:dyDescent="0.25">
      <c r="A607" s="25" t="s">
        <v>150</v>
      </c>
      <c r="B607" s="20" t="s">
        <v>942</v>
      </c>
      <c r="C607" s="40" t="s">
        <v>279</v>
      </c>
      <c r="D607" s="40" t="s">
        <v>230</v>
      </c>
      <c r="E607" s="20" t="s">
        <v>160</v>
      </c>
      <c r="F607" s="2"/>
      <c r="G607" s="10">
        <f>G608</f>
        <v>78</v>
      </c>
      <c r="H607" s="10">
        <f>H608</f>
        <v>78</v>
      </c>
    </row>
    <row r="608" spans="1:8" ht="31.5" x14ac:dyDescent="0.25">
      <c r="A608" s="25" t="s">
        <v>726</v>
      </c>
      <c r="B608" s="20" t="s">
        <v>942</v>
      </c>
      <c r="C608" s="40" t="s">
        <v>279</v>
      </c>
      <c r="D608" s="40" t="s">
        <v>230</v>
      </c>
      <c r="E608" s="20" t="s">
        <v>153</v>
      </c>
      <c r="F608" s="2"/>
      <c r="G608" s="10">
        <f>'пр.6.1.ведом.21-22'!G288</f>
        <v>78</v>
      </c>
      <c r="H608" s="10">
        <f>'пр.6.1.ведом.21-22'!H288</f>
        <v>78</v>
      </c>
    </row>
    <row r="609" spans="1:8" ht="63" x14ac:dyDescent="0.25">
      <c r="A609" s="25" t="s">
        <v>1280</v>
      </c>
      <c r="B609" s="20" t="s">
        <v>942</v>
      </c>
      <c r="C609" s="40" t="s">
        <v>279</v>
      </c>
      <c r="D609" s="40" t="s">
        <v>230</v>
      </c>
      <c r="E609" s="20" t="s">
        <v>153</v>
      </c>
      <c r="F609" s="2">
        <v>903</v>
      </c>
      <c r="G609" s="10">
        <f>G608</f>
        <v>78</v>
      </c>
      <c r="H609" s="10">
        <f>H608</f>
        <v>78</v>
      </c>
    </row>
    <row r="610" spans="1:8" ht="63" x14ac:dyDescent="0.25">
      <c r="A610" s="451" t="s">
        <v>1196</v>
      </c>
      <c r="B610" s="24" t="s">
        <v>946</v>
      </c>
      <c r="C610" s="7"/>
      <c r="D610" s="7"/>
      <c r="E610" s="24"/>
      <c r="F610" s="3"/>
      <c r="G610" s="59">
        <f>G613</f>
        <v>45</v>
      </c>
      <c r="H610" s="59">
        <f>H613</f>
        <v>45</v>
      </c>
    </row>
    <row r="611" spans="1:8" ht="15.75" x14ac:dyDescent="0.25">
      <c r="A611" s="25" t="s">
        <v>278</v>
      </c>
      <c r="B611" s="20" t="s">
        <v>946</v>
      </c>
      <c r="C611" s="40" t="s">
        <v>279</v>
      </c>
      <c r="D611" s="40"/>
      <c r="E611" s="40"/>
      <c r="F611" s="2"/>
      <c r="G611" s="10">
        <f t="shared" ref="G611:H614" si="86">G612</f>
        <v>45</v>
      </c>
      <c r="H611" s="10">
        <f t="shared" si="86"/>
        <v>45</v>
      </c>
    </row>
    <row r="612" spans="1:8" ht="31.5" x14ac:dyDescent="0.25">
      <c r="A612" s="25" t="s">
        <v>280</v>
      </c>
      <c r="B612" s="20" t="s">
        <v>946</v>
      </c>
      <c r="C612" s="40" t="s">
        <v>279</v>
      </c>
      <c r="D612" s="40" t="s">
        <v>230</v>
      </c>
      <c r="E612" s="40"/>
      <c r="F612" s="2"/>
      <c r="G612" s="10">
        <f t="shared" si="86"/>
        <v>45</v>
      </c>
      <c r="H612" s="10">
        <f t="shared" si="86"/>
        <v>45</v>
      </c>
    </row>
    <row r="613" spans="1:8" ht="31.5" x14ac:dyDescent="0.25">
      <c r="A613" s="216" t="s">
        <v>831</v>
      </c>
      <c r="B613" s="20" t="s">
        <v>945</v>
      </c>
      <c r="C613" s="40" t="s">
        <v>279</v>
      </c>
      <c r="D613" s="40" t="s">
        <v>230</v>
      </c>
      <c r="E613" s="20"/>
      <c r="F613" s="2"/>
      <c r="G613" s="10">
        <f t="shared" si="86"/>
        <v>45</v>
      </c>
      <c r="H613" s="10">
        <f t="shared" si="86"/>
        <v>45</v>
      </c>
    </row>
    <row r="614" spans="1:8" ht="31.5" x14ac:dyDescent="0.25">
      <c r="A614" s="25" t="s">
        <v>263</v>
      </c>
      <c r="B614" s="20" t="s">
        <v>945</v>
      </c>
      <c r="C614" s="40" t="s">
        <v>279</v>
      </c>
      <c r="D614" s="40" t="s">
        <v>230</v>
      </c>
      <c r="E614" s="20" t="s">
        <v>264</v>
      </c>
      <c r="F614" s="2"/>
      <c r="G614" s="10">
        <f t="shared" si="86"/>
        <v>45</v>
      </c>
      <c r="H614" s="10">
        <f t="shared" si="86"/>
        <v>45</v>
      </c>
    </row>
    <row r="615" spans="1:8" ht="15.75" x14ac:dyDescent="0.25">
      <c r="A615" s="25" t="s">
        <v>866</v>
      </c>
      <c r="B615" s="20" t="s">
        <v>945</v>
      </c>
      <c r="C615" s="40" t="s">
        <v>279</v>
      </c>
      <c r="D615" s="40" t="s">
        <v>230</v>
      </c>
      <c r="E615" s="20" t="s">
        <v>865</v>
      </c>
      <c r="F615" s="2"/>
      <c r="G615" s="10">
        <f>'пр.6.1.ведом.21-22'!G292</f>
        <v>45</v>
      </c>
      <c r="H615" s="10">
        <f>'пр.6.1.ведом.21-22'!H292</f>
        <v>45</v>
      </c>
    </row>
    <row r="616" spans="1:8" ht="63" x14ac:dyDescent="0.25">
      <c r="A616" s="25" t="s">
        <v>1280</v>
      </c>
      <c r="B616" s="20" t="s">
        <v>945</v>
      </c>
      <c r="C616" s="40" t="s">
        <v>279</v>
      </c>
      <c r="D616" s="40" t="s">
        <v>230</v>
      </c>
      <c r="E616" s="20" t="s">
        <v>865</v>
      </c>
      <c r="F616" s="2">
        <v>903</v>
      </c>
      <c r="G616" s="10">
        <f>G615</f>
        <v>45</v>
      </c>
      <c r="H616" s="10">
        <f>H615</f>
        <v>45</v>
      </c>
    </row>
    <row r="617" spans="1:8" ht="78.75" x14ac:dyDescent="0.25">
      <c r="A617" s="283" t="s">
        <v>1174</v>
      </c>
      <c r="B617" s="24" t="s">
        <v>947</v>
      </c>
      <c r="C617" s="7"/>
      <c r="D617" s="7"/>
      <c r="E617" s="24"/>
      <c r="F617" s="3"/>
      <c r="G617" s="59">
        <f>G620</f>
        <v>250.00000000000003</v>
      </c>
      <c r="H617" s="59">
        <f>H620</f>
        <v>250.00000000000003</v>
      </c>
    </row>
    <row r="618" spans="1:8" ht="15.75" x14ac:dyDescent="0.25">
      <c r="A618" s="25" t="s">
        <v>278</v>
      </c>
      <c r="B618" s="20" t="s">
        <v>947</v>
      </c>
      <c r="C618" s="40" t="s">
        <v>279</v>
      </c>
      <c r="D618" s="40"/>
      <c r="E618" s="40"/>
      <c r="F618" s="2"/>
      <c r="G618" s="10">
        <f>G619</f>
        <v>250.00000000000003</v>
      </c>
      <c r="H618" s="10">
        <f>H619</f>
        <v>250.00000000000003</v>
      </c>
    </row>
    <row r="619" spans="1:8" ht="31.5" x14ac:dyDescent="0.25">
      <c r="A619" s="25" t="s">
        <v>280</v>
      </c>
      <c r="B619" s="20" t="s">
        <v>947</v>
      </c>
      <c r="C619" s="40" t="s">
        <v>279</v>
      </c>
      <c r="D619" s="40" t="s">
        <v>230</v>
      </c>
      <c r="E619" s="40"/>
      <c r="F619" s="2"/>
      <c r="G619" s="10">
        <f>G620</f>
        <v>250.00000000000003</v>
      </c>
      <c r="H619" s="10">
        <f>H620</f>
        <v>250.00000000000003</v>
      </c>
    </row>
    <row r="620" spans="1:8" ht="36.75" customHeight="1" x14ac:dyDescent="0.25">
      <c r="A620" s="31" t="s">
        <v>861</v>
      </c>
      <c r="B620" s="20" t="s">
        <v>948</v>
      </c>
      <c r="C620" s="40" t="s">
        <v>279</v>
      </c>
      <c r="D620" s="40" t="s">
        <v>230</v>
      </c>
      <c r="E620" s="20"/>
      <c r="F620" s="2"/>
      <c r="G620" s="10">
        <f>G621+G624</f>
        <v>250.00000000000003</v>
      </c>
      <c r="H620" s="10">
        <f>H621+H624</f>
        <v>250.00000000000003</v>
      </c>
    </row>
    <row r="621" spans="1:8" ht="126" x14ac:dyDescent="0.25">
      <c r="A621" s="25" t="s">
        <v>142</v>
      </c>
      <c r="B621" s="20" t="s">
        <v>948</v>
      </c>
      <c r="C621" s="40" t="s">
        <v>279</v>
      </c>
      <c r="D621" s="40" t="s">
        <v>230</v>
      </c>
      <c r="E621" s="20" t="s">
        <v>143</v>
      </c>
      <c r="F621" s="2"/>
      <c r="G621" s="10">
        <f>G622</f>
        <v>250.00000000000003</v>
      </c>
      <c r="H621" s="10">
        <f>H622</f>
        <v>250.00000000000003</v>
      </c>
    </row>
    <row r="622" spans="1:8" ht="31.5" x14ac:dyDescent="0.25">
      <c r="A622" s="450" t="s">
        <v>357</v>
      </c>
      <c r="B622" s="20" t="s">
        <v>948</v>
      </c>
      <c r="C622" s="40" t="s">
        <v>279</v>
      </c>
      <c r="D622" s="40" t="s">
        <v>230</v>
      </c>
      <c r="E622" s="20" t="s">
        <v>224</v>
      </c>
      <c r="F622" s="2"/>
      <c r="G622" s="10">
        <f>'пр.6.1.ведом.21-22'!G296</f>
        <v>250.00000000000003</v>
      </c>
      <c r="H622" s="10">
        <f>'пр.6.1.ведом.21-22'!H296</f>
        <v>250.00000000000003</v>
      </c>
    </row>
    <row r="623" spans="1:8" ht="63" x14ac:dyDescent="0.25">
      <c r="A623" s="25" t="s">
        <v>1280</v>
      </c>
      <c r="B623" s="20" t="s">
        <v>948</v>
      </c>
      <c r="C623" s="40" t="s">
        <v>279</v>
      </c>
      <c r="D623" s="40" t="s">
        <v>230</v>
      </c>
      <c r="E623" s="20" t="s">
        <v>224</v>
      </c>
      <c r="F623" s="2">
        <v>903</v>
      </c>
      <c r="G623" s="10">
        <f>G622</f>
        <v>250.00000000000003</v>
      </c>
      <c r="H623" s="10">
        <f>H622</f>
        <v>250.00000000000003</v>
      </c>
    </row>
    <row r="624" spans="1:8" ht="47.25" hidden="1" x14ac:dyDescent="0.25">
      <c r="A624" s="25" t="s">
        <v>146</v>
      </c>
      <c r="B624" s="20" t="s">
        <v>948</v>
      </c>
      <c r="C624" s="40" t="s">
        <v>279</v>
      </c>
      <c r="D624" s="40" t="s">
        <v>230</v>
      </c>
      <c r="E624" s="20" t="s">
        <v>147</v>
      </c>
      <c r="F624" s="2"/>
      <c r="G624" s="10">
        <f>G625</f>
        <v>0</v>
      </c>
      <c r="H624" s="10">
        <f>H625</f>
        <v>0</v>
      </c>
    </row>
    <row r="625" spans="1:8" ht="63" hidden="1" x14ac:dyDescent="0.25">
      <c r="A625" s="25" t="s">
        <v>148</v>
      </c>
      <c r="B625" s="20" t="s">
        <v>948</v>
      </c>
      <c r="C625" s="40" t="s">
        <v>279</v>
      </c>
      <c r="D625" s="40" t="s">
        <v>230</v>
      </c>
      <c r="E625" s="20" t="s">
        <v>149</v>
      </c>
      <c r="F625" s="2"/>
      <c r="G625" s="10">
        <f>'пр.6.1.ведом.21-22'!G298</f>
        <v>0</v>
      </c>
      <c r="H625" s="10">
        <f>'пр.6.1.ведом.21-22'!H298</f>
        <v>0</v>
      </c>
    </row>
    <row r="626" spans="1:8" ht="63" hidden="1" x14ac:dyDescent="0.25">
      <c r="A626" s="25" t="s">
        <v>1280</v>
      </c>
      <c r="B626" s="20" t="s">
        <v>948</v>
      </c>
      <c r="C626" s="40" t="s">
        <v>279</v>
      </c>
      <c r="D626" s="40" t="s">
        <v>230</v>
      </c>
      <c r="E626" s="20" t="s">
        <v>149</v>
      </c>
      <c r="F626" s="2">
        <v>903</v>
      </c>
      <c r="G626" s="10">
        <f>G625</f>
        <v>0</v>
      </c>
      <c r="H626" s="10">
        <f>H625</f>
        <v>0</v>
      </c>
    </row>
    <row r="627" spans="1:8" ht="63" x14ac:dyDescent="0.25">
      <c r="A627" s="23" t="s">
        <v>1081</v>
      </c>
      <c r="B627" s="24" t="s">
        <v>953</v>
      </c>
      <c r="C627" s="7"/>
      <c r="D627" s="7"/>
      <c r="E627" s="24"/>
      <c r="F627" s="3"/>
      <c r="G627" s="59">
        <f>G630</f>
        <v>336</v>
      </c>
      <c r="H627" s="59">
        <f>H630</f>
        <v>336</v>
      </c>
    </row>
    <row r="628" spans="1:8" ht="15.75" x14ac:dyDescent="0.25">
      <c r="A628" s="25" t="s">
        <v>278</v>
      </c>
      <c r="B628" s="20" t="s">
        <v>953</v>
      </c>
      <c r="C628" s="40" t="s">
        <v>279</v>
      </c>
      <c r="D628" s="40"/>
      <c r="E628" s="40"/>
      <c r="F628" s="2"/>
      <c r="G628" s="10">
        <f t="shared" ref="G628:H631" si="87">G629</f>
        <v>336</v>
      </c>
      <c r="H628" s="10">
        <f t="shared" si="87"/>
        <v>336</v>
      </c>
    </row>
    <row r="629" spans="1:8" ht="31.5" x14ac:dyDescent="0.25">
      <c r="A629" s="25" t="s">
        <v>280</v>
      </c>
      <c r="B629" s="20" t="s">
        <v>953</v>
      </c>
      <c r="C629" s="40" t="s">
        <v>279</v>
      </c>
      <c r="D629" s="40" t="s">
        <v>230</v>
      </c>
      <c r="E629" s="40"/>
      <c r="F629" s="2"/>
      <c r="G629" s="10">
        <f t="shared" si="87"/>
        <v>336</v>
      </c>
      <c r="H629" s="10">
        <f t="shared" si="87"/>
        <v>336</v>
      </c>
    </row>
    <row r="630" spans="1:8" ht="63" x14ac:dyDescent="0.25">
      <c r="A630" s="25" t="s">
        <v>886</v>
      </c>
      <c r="B630" s="20" t="s">
        <v>1274</v>
      </c>
      <c r="C630" s="40" t="s">
        <v>279</v>
      </c>
      <c r="D630" s="40" t="s">
        <v>230</v>
      </c>
      <c r="E630" s="20"/>
      <c r="F630" s="2"/>
      <c r="G630" s="10">
        <f t="shared" si="87"/>
        <v>336</v>
      </c>
      <c r="H630" s="10">
        <f t="shared" si="87"/>
        <v>336</v>
      </c>
    </row>
    <row r="631" spans="1:8" ht="126" x14ac:dyDescent="0.25">
      <c r="A631" s="25" t="s">
        <v>142</v>
      </c>
      <c r="B631" s="20" t="s">
        <v>1274</v>
      </c>
      <c r="C631" s="40" t="s">
        <v>279</v>
      </c>
      <c r="D631" s="40" t="s">
        <v>230</v>
      </c>
      <c r="E631" s="20" t="s">
        <v>143</v>
      </c>
      <c r="F631" s="2"/>
      <c r="G631" s="10">
        <f t="shared" si="87"/>
        <v>336</v>
      </c>
      <c r="H631" s="10">
        <f t="shared" si="87"/>
        <v>336</v>
      </c>
    </row>
    <row r="632" spans="1:8" ht="47.25" x14ac:dyDescent="0.25">
      <c r="A632" s="25" t="s">
        <v>144</v>
      </c>
      <c r="B632" s="20" t="s">
        <v>1274</v>
      </c>
      <c r="C632" s="40" t="s">
        <v>279</v>
      </c>
      <c r="D632" s="40" t="s">
        <v>230</v>
      </c>
      <c r="E632" s="20" t="s">
        <v>224</v>
      </c>
      <c r="F632" s="2"/>
      <c r="G632" s="10">
        <f>'пр.6.1.ведом.21-22'!G302</f>
        <v>336</v>
      </c>
      <c r="H632" s="10">
        <f>'пр.6.1.ведом.21-22'!H302</f>
        <v>336</v>
      </c>
    </row>
    <row r="633" spans="1:8" ht="63" x14ac:dyDescent="0.25">
      <c r="A633" s="25" t="s">
        <v>1280</v>
      </c>
      <c r="B633" s="20" t="s">
        <v>1274</v>
      </c>
      <c r="C633" s="40" t="s">
        <v>279</v>
      </c>
      <c r="D633" s="40" t="s">
        <v>230</v>
      </c>
      <c r="E633" s="20" t="s">
        <v>224</v>
      </c>
      <c r="F633" s="2">
        <v>903</v>
      </c>
      <c r="G633" s="10">
        <f>G632</f>
        <v>336</v>
      </c>
      <c r="H633" s="10">
        <f>H632</f>
        <v>336</v>
      </c>
    </row>
    <row r="634" spans="1:8" ht="78.75" x14ac:dyDescent="0.25">
      <c r="A634" s="23" t="s">
        <v>973</v>
      </c>
      <c r="B634" s="24" t="s">
        <v>1275</v>
      </c>
      <c r="C634" s="7"/>
      <c r="D634" s="7"/>
      <c r="E634" s="24"/>
      <c r="F634" s="3"/>
      <c r="G634" s="59">
        <f>G637+G641+G645</f>
        <v>1001.6300000000001</v>
      </c>
      <c r="H634" s="59">
        <f>H637+H641+H645</f>
        <v>1001.6300000000001</v>
      </c>
    </row>
    <row r="635" spans="1:8" ht="15.75" x14ac:dyDescent="0.25">
      <c r="A635" s="25" t="s">
        <v>278</v>
      </c>
      <c r="B635" s="20" t="s">
        <v>1275</v>
      </c>
      <c r="C635" s="40" t="s">
        <v>279</v>
      </c>
      <c r="D635" s="40"/>
      <c r="E635" s="40"/>
      <c r="F635" s="2"/>
      <c r="G635" s="10">
        <f>G636</f>
        <v>1001.6300000000001</v>
      </c>
      <c r="H635" s="10">
        <f>H636</f>
        <v>1001.6300000000001</v>
      </c>
    </row>
    <row r="636" spans="1:8" ht="31.5" x14ac:dyDescent="0.25">
      <c r="A636" s="25" t="s">
        <v>280</v>
      </c>
      <c r="B636" s="20" t="s">
        <v>1275</v>
      </c>
      <c r="C636" s="40" t="s">
        <v>279</v>
      </c>
      <c r="D636" s="40" t="s">
        <v>230</v>
      </c>
      <c r="E636" s="40"/>
      <c r="F636" s="2"/>
      <c r="G636" s="10">
        <f>G637+G641+G645</f>
        <v>1001.6300000000001</v>
      </c>
      <c r="H636" s="10">
        <f>H637+H641+H645</f>
        <v>1001.6300000000001</v>
      </c>
    </row>
    <row r="637" spans="1:8" ht="94.5" x14ac:dyDescent="0.25">
      <c r="A637" s="31" t="s">
        <v>304</v>
      </c>
      <c r="B637" s="20" t="s">
        <v>1276</v>
      </c>
      <c r="C637" s="40" t="s">
        <v>279</v>
      </c>
      <c r="D637" s="40" t="s">
        <v>230</v>
      </c>
      <c r="E637" s="20"/>
      <c r="F637" s="2"/>
      <c r="G637" s="10">
        <f>G638</f>
        <v>100.8</v>
      </c>
      <c r="H637" s="10">
        <f>H638</f>
        <v>100.8</v>
      </c>
    </row>
    <row r="638" spans="1:8" ht="126" x14ac:dyDescent="0.25">
      <c r="A638" s="25" t="s">
        <v>142</v>
      </c>
      <c r="B638" s="20" t="s">
        <v>1276</v>
      </c>
      <c r="C638" s="40" t="s">
        <v>279</v>
      </c>
      <c r="D638" s="40" t="s">
        <v>230</v>
      </c>
      <c r="E638" s="20" t="s">
        <v>143</v>
      </c>
      <c r="F638" s="2"/>
      <c r="G638" s="10">
        <f>G639</f>
        <v>100.8</v>
      </c>
      <c r="H638" s="10">
        <f>H639</f>
        <v>100.8</v>
      </c>
    </row>
    <row r="639" spans="1:8" ht="31.5" x14ac:dyDescent="0.25">
      <c r="A639" s="450" t="s">
        <v>357</v>
      </c>
      <c r="B639" s="20" t="s">
        <v>1276</v>
      </c>
      <c r="C639" s="40" t="s">
        <v>279</v>
      </c>
      <c r="D639" s="40" t="s">
        <v>230</v>
      </c>
      <c r="E639" s="20" t="s">
        <v>224</v>
      </c>
      <c r="F639" s="2"/>
      <c r="G639" s="10">
        <f>'пр.6.1.ведом.21-22'!G306</f>
        <v>100.8</v>
      </c>
      <c r="H639" s="10">
        <f>'пр.6.1.ведом.21-22'!H306</f>
        <v>100.8</v>
      </c>
    </row>
    <row r="640" spans="1:8" ht="63" x14ac:dyDescent="0.25">
      <c r="A640" s="25" t="s">
        <v>1280</v>
      </c>
      <c r="B640" s="20" t="s">
        <v>1276</v>
      </c>
      <c r="C640" s="40" t="s">
        <v>279</v>
      </c>
      <c r="D640" s="40" t="s">
        <v>230</v>
      </c>
      <c r="E640" s="20" t="s">
        <v>224</v>
      </c>
      <c r="F640" s="2">
        <v>903</v>
      </c>
      <c r="G640" s="10">
        <f>G639</f>
        <v>100.8</v>
      </c>
      <c r="H640" s="10">
        <f>H639</f>
        <v>100.8</v>
      </c>
    </row>
    <row r="641" spans="1:8" ht="94.5" x14ac:dyDescent="0.25">
      <c r="A641" s="31" t="s">
        <v>306</v>
      </c>
      <c r="B641" s="20" t="s">
        <v>1277</v>
      </c>
      <c r="C641" s="40" t="s">
        <v>279</v>
      </c>
      <c r="D641" s="40" t="s">
        <v>230</v>
      </c>
      <c r="E641" s="20"/>
      <c r="F641" s="2"/>
      <c r="G641" s="10">
        <f>G642</f>
        <v>298.35000000000002</v>
      </c>
      <c r="H641" s="10">
        <f>H642</f>
        <v>298.35000000000002</v>
      </c>
    </row>
    <row r="642" spans="1:8" ht="126" x14ac:dyDescent="0.25">
      <c r="A642" s="25" t="s">
        <v>142</v>
      </c>
      <c r="B642" s="20" t="s">
        <v>1277</v>
      </c>
      <c r="C642" s="40" t="s">
        <v>279</v>
      </c>
      <c r="D642" s="40" t="s">
        <v>230</v>
      </c>
      <c r="E642" s="20" t="s">
        <v>143</v>
      </c>
      <c r="F642" s="2"/>
      <c r="G642" s="10">
        <f>G643</f>
        <v>298.35000000000002</v>
      </c>
      <c r="H642" s="10">
        <f>H643</f>
        <v>298.35000000000002</v>
      </c>
    </row>
    <row r="643" spans="1:8" ht="31.5" x14ac:dyDescent="0.25">
      <c r="A643" s="450" t="s">
        <v>357</v>
      </c>
      <c r="B643" s="20" t="s">
        <v>1277</v>
      </c>
      <c r="C643" s="40" t="s">
        <v>279</v>
      </c>
      <c r="D643" s="40" t="s">
        <v>230</v>
      </c>
      <c r="E643" s="20" t="s">
        <v>224</v>
      </c>
      <c r="F643" s="2"/>
      <c r="G643" s="10">
        <f>'пр.6.1.ведом.21-22'!G309</f>
        <v>298.35000000000002</v>
      </c>
      <c r="H643" s="10">
        <f>'пр.6.1.ведом.21-22'!H309</f>
        <v>298.35000000000002</v>
      </c>
    </row>
    <row r="644" spans="1:8" ht="63" x14ac:dyDescent="0.25">
      <c r="A644" s="25" t="s">
        <v>1280</v>
      </c>
      <c r="B644" s="20" t="s">
        <v>1277</v>
      </c>
      <c r="C644" s="40" t="s">
        <v>279</v>
      </c>
      <c r="D644" s="40" t="s">
        <v>230</v>
      </c>
      <c r="E644" s="20" t="s">
        <v>224</v>
      </c>
      <c r="F644" s="2">
        <v>903</v>
      </c>
      <c r="G644" s="10">
        <f>G643</f>
        <v>298.35000000000002</v>
      </c>
      <c r="H644" s="10">
        <f>H643</f>
        <v>298.35000000000002</v>
      </c>
    </row>
    <row r="645" spans="1:8" ht="141.75" x14ac:dyDescent="0.25">
      <c r="A645" s="31" t="s">
        <v>308</v>
      </c>
      <c r="B645" s="20" t="s">
        <v>1278</v>
      </c>
      <c r="C645" s="40" t="s">
        <v>279</v>
      </c>
      <c r="D645" s="40" t="s">
        <v>230</v>
      </c>
      <c r="E645" s="20"/>
      <c r="F645" s="2"/>
      <c r="G645" s="10">
        <f>G646</f>
        <v>602.48</v>
      </c>
      <c r="H645" s="10">
        <f>H646</f>
        <v>602.48</v>
      </c>
    </row>
    <row r="646" spans="1:8" ht="126" x14ac:dyDescent="0.25">
      <c r="A646" s="25" t="s">
        <v>142</v>
      </c>
      <c r="B646" s="20" t="s">
        <v>1278</v>
      </c>
      <c r="C646" s="40" t="s">
        <v>279</v>
      </c>
      <c r="D646" s="40" t="s">
        <v>230</v>
      </c>
      <c r="E646" s="20" t="s">
        <v>143</v>
      </c>
      <c r="F646" s="2"/>
      <c r="G646" s="10">
        <f>G647</f>
        <v>602.48</v>
      </c>
      <c r="H646" s="10">
        <f>H647</f>
        <v>602.48</v>
      </c>
    </row>
    <row r="647" spans="1:8" ht="31.5" x14ac:dyDescent="0.25">
      <c r="A647" s="450" t="s">
        <v>357</v>
      </c>
      <c r="B647" s="20" t="s">
        <v>1278</v>
      </c>
      <c r="C647" s="40" t="s">
        <v>279</v>
      </c>
      <c r="D647" s="40" t="s">
        <v>230</v>
      </c>
      <c r="E647" s="20" t="s">
        <v>224</v>
      </c>
      <c r="F647" s="2"/>
      <c r="G647" s="10">
        <f>'пр.6.1.ведом.21-22'!G312</f>
        <v>602.48</v>
      </c>
      <c r="H647" s="10">
        <f>'пр.6.1.ведом.21-22'!H312</f>
        <v>602.48</v>
      </c>
    </row>
    <row r="648" spans="1:8" ht="63" x14ac:dyDescent="0.25">
      <c r="A648" s="25" t="s">
        <v>1280</v>
      </c>
      <c r="B648" s="20" t="s">
        <v>1278</v>
      </c>
      <c r="C648" s="40" t="s">
        <v>279</v>
      </c>
      <c r="D648" s="40" t="s">
        <v>230</v>
      </c>
      <c r="E648" s="20" t="s">
        <v>224</v>
      </c>
      <c r="F648" s="2">
        <v>903</v>
      </c>
      <c r="G648" s="10">
        <f>G647</f>
        <v>602.48</v>
      </c>
      <c r="H648" s="10">
        <f>H647</f>
        <v>602.48</v>
      </c>
    </row>
    <row r="649" spans="1:8" ht="94.5" hidden="1" x14ac:dyDescent="0.25">
      <c r="A649" s="41" t="s">
        <v>820</v>
      </c>
      <c r="B649" s="7" t="s">
        <v>339</v>
      </c>
      <c r="C649" s="72"/>
      <c r="D649" s="72"/>
      <c r="E649" s="72"/>
      <c r="F649" s="72"/>
      <c r="G649" s="59">
        <f>G650</f>
        <v>0</v>
      </c>
      <c r="H649" s="59">
        <f>H650</f>
        <v>0</v>
      </c>
    </row>
    <row r="650" spans="1:8" ht="78.75" hidden="1" x14ac:dyDescent="0.25">
      <c r="A650" s="34" t="s">
        <v>1198</v>
      </c>
      <c r="B650" s="7" t="s">
        <v>1030</v>
      </c>
      <c r="C650" s="7"/>
      <c r="D650" s="7"/>
      <c r="E650" s="72"/>
      <c r="F650" s="72"/>
      <c r="G650" s="59">
        <f>G651+G657+G668+G674</f>
        <v>0</v>
      </c>
      <c r="H650" s="59">
        <f>H651+H657+H668+H674</f>
        <v>0</v>
      </c>
    </row>
    <row r="651" spans="1:8" ht="15.75" hidden="1" x14ac:dyDescent="0.25">
      <c r="A651" s="31" t="s">
        <v>405</v>
      </c>
      <c r="B651" s="40" t="s">
        <v>1030</v>
      </c>
      <c r="C651" s="40" t="s">
        <v>249</v>
      </c>
      <c r="D651" s="40"/>
      <c r="E651" s="72"/>
      <c r="F651" s="72"/>
      <c r="G651" s="10">
        <f t="shared" ref="G651:H654" si="88">G652</f>
        <v>0</v>
      </c>
      <c r="H651" s="10">
        <f t="shared" si="88"/>
        <v>0</v>
      </c>
    </row>
    <row r="652" spans="1:8" ht="47.25" hidden="1" x14ac:dyDescent="0.25">
      <c r="A652" s="31" t="s">
        <v>584</v>
      </c>
      <c r="B652" s="40" t="s">
        <v>1030</v>
      </c>
      <c r="C652" s="40" t="s">
        <v>249</v>
      </c>
      <c r="D652" s="40" t="s">
        <v>249</v>
      </c>
      <c r="E652" s="72"/>
      <c r="F652" s="72"/>
      <c r="G652" s="10">
        <f t="shared" si="88"/>
        <v>0</v>
      </c>
      <c r="H652" s="10">
        <f t="shared" si="88"/>
        <v>0</v>
      </c>
    </row>
    <row r="653" spans="1:8" ht="78.75" hidden="1" x14ac:dyDescent="0.25">
      <c r="A653" s="31" t="s">
        <v>1284</v>
      </c>
      <c r="B653" s="20" t="s">
        <v>1200</v>
      </c>
      <c r="C653" s="40" t="s">
        <v>249</v>
      </c>
      <c r="D653" s="40" t="s">
        <v>249</v>
      </c>
      <c r="E653" s="72"/>
      <c r="F653" s="72"/>
      <c r="G653" s="10">
        <f t="shared" si="88"/>
        <v>0</v>
      </c>
      <c r="H653" s="10">
        <f t="shared" si="88"/>
        <v>0</v>
      </c>
    </row>
    <row r="654" spans="1:8" ht="47.25" hidden="1" x14ac:dyDescent="0.25">
      <c r="A654" s="25" t="s">
        <v>146</v>
      </c>
      <c r="B654" s="20" t="s">
        <v>1200</v>
      </c>
      <c r="C654" s="40" t="s">
        <v>249</v>
      </c>
      <c r="D654" s="40" t="s">
        <v>249</v>
      </c>
      <c r="E654" s="2">
        <v>200</v>
      </c>
      <c r="F654" s="72"/>
      <c r="G654" s="10">
        <f t="shared" si="88"/>
        <v>0</v>
      </c>
      <c r="H654" s="10">
        <f t="shared" si="88"/>
        <v>0</v>
      </c>
    </row>
    <row r="655" spans="1:8" ht="63" hidden="1" x14ac:dyDescent="0.25">
      <c r="A655" s="25" t="s">
        <v>148</v>
      </c>
      <c r="B655" s="20" t="s">
        <v>1200</v>
      </c>
      <c r="C655" s="40" t="s">
        <v>249</v>
      </c>
      <c r="D655" s="40" t="s">
        <v>249</v>
      </c>
      <c r="E655" s="2">
        <v>240</v>
      </c>
      <c r="F655" s="72"/>
      <c r="G655" s="10">
        <f>'пр.6.1.ведом.21-22'!G1035</f>
        <v>0</v>
      </c>
      <c r="H655" s="10">
        <f>'пр.6.1.ведом.21-22'!H1035</f>
        <v>0</v>
      </c>
    </row>
    <row r="656" spans="1:8" ht="78.75" hidden="1" x14ac:dyDescent="0.25">
      <c r="A656" s="31" t="s">
        <v>1321</v>
      </c>
      <c r="B656" s="20" t="s">
        <v>1200</v>
      </c>
      <c r="C656" s="40" t="s">
        <v>249</v>
      </c>
      <c r="D656" s="40" t="s">
        <v>249</v>
      </c>
      <c r="E656" s="2">
        <v>240</v>
      </c>
      <c r="F656" s="2">
        <v>908</v>
      </c>
      <c r="G656" s="10">
        <f>G655</f>
        <v>0</v>
      </c>
      <c r="H656" s="10">
        <f>H655</f>
        <v>0</v>
      </c>
    </row>
    <row r="657" spans="1:8" ht="15.75" hidden="1" x14ac:dyDescent="0.25">
      <c r="A657" s="25" t="s">
        <v>278</v>
      </c>
      <c r="B657" s="40" t="s">
        <v>1030</v>
      </c>
      <c r="C657" s="40" t="s">
        <v>279</v>
      </c>
      <c r="D657" s="73"/>
      <c r="E657" s="73"/>
      <c r="F657" s="73"/>
      <c r="G657" s="10">
        <f>G658+G663</f>
        <v>0</v>
      </c>
      <c r="H657" s="10">
        <f>H658+H663</f>
        <v>0</v>
      </c>
    </row>
    <row r="658" spans="1:8" ht="15.75" hidden="1" x14ac:dyDescent="0.25">
      <c r="A658" s="25" t="s">
        <v>419</v>
      </c>
      <c r="B658" s="40" t="s">
        <v>1030</v>
      </c>
      <c r="C658" s="40" t="s">
        <v>279</v>
      </c>
      <c r="D658" s="40" t="s">
        <v>133</v>
      </c>
      <c r="E658" s="73"/>
      <c r="F658" s="73"/>
      <c r="G658" s="10">
        <f t="shared" ref="G658:H660" si="89">G659</f>
        <v>0</v>
      </c>
      <c r="H658" s="10">
        <f t="shared" si="89"/>
        <v>0</v>
      </c>
    </row>
    <row r="659" spans="1:8" ht="63" hidden="1" x14ac:dyDescent="0.25">
      <c r="A659" s="31" t="s">
        <v>1285</v>
      </c>
      <c r="B659" s="20" t="s">
        <v>1031</v>
      </c>
      <c r="C659" s="40" t="s">
        <v>279</v>
      </c>
      <c r="D659" s="40" t="s">
        <v>133</v>
      </c>
      <c r="E659" s="72"/>
      <c r="F659" s="72"/>
      <c r="G659" s="10">
        <f t="shared" si="89"/>
        <v>0</v>
      </c>
      <c r="H659" s="10">
        <f t="shared" si="89"/>
        <v>0</v>
      </c>
    </row>
    <row r="660" spans="1:8" ht="63" hidden="1" x14ac:dyDescent="0.25">
      <c r="A660" s="31" t="s">
        <v>287</v>
      </c>
      <c r="B660" s="20" t="s">
        <v>1031</v>
      </c>
      <c r="C660" s="40" t="s">
        <v>279</v>
      </c>
      <c r="D660" s="40" t="s">
        <v>133</v>
      </c>
      <c r="E660" s="40" t="s">
        <v>288</v>
      </c>
      <c r="F660" s="72"/>
      <c r="G660" s="10">
        <f t="shared" si="89"/>
        <v>0</v>
      </c>
      <c r="H660" s="10">
        <f t="shared" si="89"/>
        <v>0</v>
      </c>
    </row>
    <row r="661" spans="1:8" ht="31.5" hidden="1" x14ac:dyDescent="0.25">
      <c r="A661" s="31" t="s">
        <v>289</v>
      </c>
      <c r="B661" s="20" t="s">
        <v>1031</v>
      </c>
      <c r="C661" s="40" t="s">
        <v>279</v>
      </c>
      <c r="D661" s="40" t="s">
        <v>133</v>
      </c>
      <c r="E661" s="40" t="s">
        <v>290</v>
      </c>
      <c r="F661" s="72"/>
      <c r="G661" s="10">
        <f>'пр.6.1.ведом.21-22'!G596</f>
        <v>0</v>
      </c>
      <c r="H661" s="10">
        <f>'пр.6.1.ведом.21-22'!H596</f>
        <v>0</v>
      </c>
    </row>
    <row r="662" spans="1:8" ht="47.25" hidden="1" x14ac:dyDescent="0.25">
      <c r="A662" s="31" t="s">
        <v>418</v>
      </c>
      <c r="B662" s="20" t="s">
        <v>1031</v>
      </c>
      <c r="C662" s="40" t="s">
        <v>279</v>
      </c>
      <c r="D662" s="40" t="s">
        <v>133</v>
      </c>
      <c r="E662" s="40" t="s">
        <v>290</v>
      </c>
      <c r="F662" s="2">
        <v>906</v>
      </c>
      <c r="G662" s="10">
        <f>G661</f>
        <v>0</v>
      </c>
      <c r="H662" s="10">
        <f>H661</f>
        <v>0</v>
      </c>
    </row>
    <row r="663" spans="1:8" ht="15.75" hidden="1" x14ac:dyDescent="0.25">
      <c r="A663" s="29" t="s">
        <v>440</v>
      </c>
      <c r="B663" s="40" t="s">
        <v>1030</v>
      </c>
      <c r="C663" s="40" t="s">
        <v>279</v>
      </c>
      <c r="D663" s="40" t="s">
        <v>228</v>
      </c>
      <c r="E663" s="40"/>
      <c r="F663" s="73"/>
      <c r="G663" s="10">
        <f t="shared" ref="G663:H665" si="90">G664</f>
        <v>0</v>
      </c>
      <c r="H663" s="10">
        <f t="shared" si="90"/>
        <v>0</v>
      </c>
    </row>
    <row r="664" spans="1:8" ht="63" hidden="1" x14ac:dyDescent="0.25">
      <c r="A664" s="31" t="s">
        <v>1285</v>
      </c>
      <c r="B664" s="20" t="s">
        <v>1031</v>
      </c>
      <c r="C664" s="40" t="s">
        <v>279</v>
      </c>
      <c r="D664" s="40" t="s">
        <v>228</v>
      </c>
      <c r="E664" s="40"/>
      <c r="F664" s="72"/>
      <c r="G664" s="10">
        <f t="shared" si="90"/>
        <v>0</v>
      </c>
      <c r="H664" s="10">
        <f t="shared" si="90"/>
        <v>0</v>
      </c>
    </row>
    <row r="665" spans="1:8" ht="63" hidden="1" x14ac:dyDescent="0.25">
      <c r="A665" s="31" t="s">
        <v>287</v>
      </c>
      <c r="B665" s="20" t="s">
        <v>1031</v>
      </c>
      <c r="C665" s="40" t="s">
        <v>279</v>
      </c>
      <c r="D665" s="40" t="s">
        <v>228</v>
      </c>
      <c r="E665" s="40" t="s">
        <v>288</v>
      </c>
      <c r="F665" s="72"/>
      <c r="G665" s="10">
        <f t="shared" si="90"/>
        <v>0</v>
      </c>
      <c r="H665" s="10">
        <f t="shared" si="90"/>
        <v>0</v>
      </c>
    </row>
    <row r="666" spans="1:8" ht="31.5" hidden="1" x14ac:dyDescent="0.25">
      <c r="A666" s="31" t="s">
        <v>289</v>
      </c>
      <c r="B666" s="20" t="s">
        <v>1031</v>
      </c>
      <c r="C666" s="40" t="s">
        <v>279</v>
      </c>
      <c r="D666" s="40" t="s">
        <v>228</v>
      </c>
      <c r="E666" s="40" t="s">
        <v>290</v>
      </c>
      <c r="F666" s="72"/>
      <c r="G666" s="10">
        <f>'пр.6.1.ведом.21-22'!G681</f>
        <v>0</v>
      </c>
      <c r="H666" s="10">
        <f>'пр.6.1.ведом.21-22'!H681</f>
        <v>0</v>
      </c>
    </row>
    <row r="667" spans="1:8" ht="47.25" hidden="1" x14ac:dyDescent="0.25">
      <c r="A667" s="31" t="s">
        <v>418</v>
      </c>
      <c r="B667" s="20" t="s">
        <v>1031</v>
      </c>
      <c r="C667" s="40" t="s">
        <v>279</v>
      </c>
      <c r="D667" s="40" t="s">
        <v>228</v>
      </c>
      <c r="E667" s="40" t="s">
        <v>290</v>
      </c>
      <c r="F667" s="2">
        <v>906</v>
      </c>
      <c r="G667" s="10">
        <f>G666</f>
        <v>0</v>
      </c>
      <c r="H667" s="10">
        <f>H666</f>
        <v>0</v>
      </c>
    </row>
    <row r="668" spans="1:8" ht="15.75" hidden="1" x14ac:dyDescent="0.25">
      <c r="A668" s="31" t="s">
        <v>313</v>
      </c>
      <c r="B668" s="20" t="s">
        <v>1030</v>
      </c>
      <c r="C668" s="40" t="s">
        <v>314</v>
      </c>
      <c r="D668" s="40"/>
      <c r="E668" s="40"/>
      <c r="F668" s="2"/>
      <c r="G668" s="10">
        <f t="shared" ref="G668:H671" si="91">G669</f>
        <v>0</v>
      </c>
      <c r="H668" s="10">
        <f t="shared" si="91"/>
        <v>0</v>
      </c>
    </row>
    <row r="669" spans="1:8" ht="15.75" hidden="1" x14ac:dyDescent="0.25">
      <c r="A669" s="31" t="s">
        <v>315</v>
      </c>
      <c r="B669" s="20" t="s">
        <v>1030</v>
      </c>
      <c r="C669" s="40" t="s">
        <v>314</v>
      </c>
      <c r="D669" s="40" t="s">
        <v>133</v>
      </c>
      <c r="E669" s="40"/>
      <c r="F669" s="2"/>
      <c r="G669" s="10">
        <f t="shared" si="91"/>
        <v>0</v>
      </c>
      <c r="H669" s="10">
        <f t="shared" si="91"/>
        <v>0</v>
      </c>
    </row>
    <row r="670" spans="1:8" ht="78.75" hidden="1" x14ac:dyDescent="0.25">
      <c r="A670" s="31" t="s">
        <v>1284</v>
      </c>
      <c r="B670" s="20" t="s">
        <v>1200</v>
      </c>
      <c r="C670" s="40" t="s">
        <v>314</v>
      </c>
      <c r="D670" s="40" t="s">
        <v>133</v>
      </c>
      <c r="E670" s="40"/>
      <c r="F670" s="2"/>
      <c r="G670" s="10">
        <f t="shared" si="91"/>
        <v>0</v>
      </c>
      <c r="H670" s="10">
        <f t="shared" si="91"/>
        <v>0</v>
      </c>
    </row>
    <row r="671" spans="1:8" ht="47.25" hidden="1" x14ac:dyDescent="0.25">
      <c r="A671" s="25" t="s">
        <v>146</v>
      </c>
      <c r="B671" s="20" t="s">
        <v>1200</v>
      </c>
      <c r="C671" s="40" t="s">
        <v>314</v>
      </c>
      <c r="D671" s="40" t="s">
        <v>133</v>
      </c>
      <c r="E671" s="40" t="s">
        <v>147</v>
      </c>
      <c r="F671" s="2"/>
      <c r="G671" s="10">
        <f t="shared" si="91"/>
        <v>0</v>
      </c>
      <c r="H671" s="10">
        <f t="shared" si="91"/>
        <v>0</v>
      </c>
    </row>
    <row r="672" spans="1:8" ht="63" hidden="1" x14ac:dyDescent="0.25">
      <c r="A672" s="25" t="s">
        <v>148</v>
      </c>
      <c r="B672" s="20" t="s">
        <v>1200</v>
      </c>
      <c r="C672" s="40" t="s">
        <v>314</v>
      </c>
      <c r="D672" s="40" t="s">
        <v>133</v>
      </c>
      <c r="E672" s="40" t="s">
        <v>149</v>
      </c>
      <c r="F672" s="2"/>
      <c r="G672" s="10">
        <f>'пр.6.1.ведом.21-22'!G403</f>
        <v>0</v>
      </c>
      <c r="H672" s="10">
        <f>'пр.6.1.ведом.21-22'!H403</f>
        <v>0</v>
      </c>
    </row>
    <row r="673" spans="1:8" ht="63" hidden="1" x14ac:dyDescent="0.25">
      <c r="A673" s="25" t="s">
        <v>276</v>
      </c>
      <c r="B673" s="20" t="s">
        <v>1200</v>
      </c>
      <c r="C673" s="40" t="s">
        <v>314</v>
      </c>
      <c r="D673" s="40" t="s">
        <v>133</v>
      </c>
      <c r="E673" s="40" t="s">
        <v>149</v>
      </c>
      <c r="F673" s="2">
        <v>903</v>
      </c>
      <c r="G673" s="10">
        <f>G672</f>
        <v>0</v>
      </c>
      <c r="H673" s="10">
        <f>H672</f>
        <v>0</v>
      </c>
    </row>
    <row r="674" spans="1:8" ht="15.75" hidden="1" x14ac:dyDescent="0.25">
      <c r="A674" s="73" t="s">
        <v>505</v>
      </c>
      <c r="B674" s="40" t="s">
        <v>1030</v>
      </c>
      <c r="C674" s="40" t="s">
        <v>506</v>
      </c>
      <c r="D674" s="73"/>
      <c r="E674" s="73"/>
      <c r="F674" s="73"/>
      <c r="G674" s="10">
        <f t="shared" ref="G674:H675" si="92">G675</f>
        <v>0</v>
      </c>
      <c r="H674" s="10">
        <f t="shared" si="92"/>
        <v>0</v>
      </c>
    </row>
    <row r="675" spans="1:8" ht="15.75" hidden="1" x14ac:dyDescent="0.25">
      <c r="A675" s="73" t="s">
        <v>507</v>
      </c>
      <c r="B675" s="40" t="s">
        <v>1030</v>
      </c>
      <c r="C675" s="40" t="s">
        <v>506</v>
      </c>
      <c r="D675" s="40" t="s">
        <v>133</v>
      </c>
      <c r="E675" s="73"/>
      <c r="F675" s="73"/>
      <c r="G675" s="10">
        <f t="shared" si="92"/>
        <v>0</v>
      </c>
      <c r="H675" s="10">
        <f t="shared" si="92"/>
        <v>0</v>
      </c>
    </row>
    <row r="676" spans="1:8" ht="63" hidden="1" x14ac:dyDescent="0.25">
      <c r="A676" s="31" t="s">
        <v>1285</v>
      </c>
      <c r="B676" s="40" t="s">
        <v>1031</v>
      </c>
      <c r="C676" s="40" t="s">
        <v>506</v>
      </c>
      <c r="D676" s="40" t="s">
        <v>133</v>
      </c>
      <c r="E676" s="73"/>
      <c r="F676" s="73"/>
      <c r="G676" s="10">
        <f>G677</f>
        <v>0</v>
      </c>
      <c r="H676" s="10">
        <f>H677</f>
        <v>0</v>
      </c>
    </row>
    <row r="677" spans="1:8" ht="63" hidden="1" x14ac:dyDescent="0.25">
      <c r="A677" s="25" t="s">
        <v>287</v>
      </c>
      <c r="B677" s="40" t="s">
        <v>1031</v>
      </c>
      <c r="C677" s="40" t="s">
        <v>506</v>
      </c>
      <c r="D677" s="40" t="s">
        <v>133</v>
      </c>
      <c r="E677" s="40" t="s">
        <v>288</v>
      </c>
      <c r="F677" s="73"/>
      <c r="G677" s="10">
        <f>G678</f>
        <v>0</v>
      </c>
      <c r="H677" s="10">
        <f>H678</f>
        <v>0</v>
      </c>
    </row>
    <row r="678" spans="1:8" ht="31.5" hidden="1" x14ac:dyDescent="0.25">
      <c r="A678" s="25" t="s">
        <v>289</v>
      </c>
      <c r="B678" s="40" t="s">
        <v>1031</v>
      </c>
      <c r="C678" s="40" t="s">
        <v>506</v>
      </c>
      <c r="D678" s="40" t="s">
        <v>133</v>
      </c>
      <c r="E678" s="40" t="s">
        <v>290</v>
      </c>
      <c r="F678" s="73"/>
      <c r="G678" s="10">
        <v>0</v>
      </c>
      <c r="H678" s="10">
        <v>0</v>
      </c>
    </row>
    <row r="679" spans="1:8" ht="47.25" hidden="1" x14ac:dyDescent="0.25">
      <c r="A679" s="45" t="s">
        <v>495</v>
      </c>
      <c r="B679" s="40" t="s">
        <v>1031</v>
      </c>
      <c r="C679" s="40" t="s">
        <v>506</v>
      </c>
      <c r="D679" s="40" t="s">
        <v>133</v>
      </c>
      <c r="E679" s="40" t="s">
        <v>290</v>
      </c>
      <c r="F679" s="2">
        <v>907</v>
      </c>
      <c r="G679" s="10">
        <f>G678</f>
        <v>0</v>
      </c>
      <c r="H679" s="10">
        <f>H678</f>
        <v>0</v>
      </c>
    </row>
    <row r="680" spans="1:8" ht="63" x14ac:dyDescent="0.25">
      <c r="A680" s="41" t="s">
        <v>557</v>
      </c>
      <c r="B680" s="7" t="s">
        <v>558</v>
      </c>
      <c r="C680" s="2"/>
      <c r="D680" s="2"/>
      <c r="E680" s="2"/>
      <c r="F680" s="2"/>
      <c r="G680" s="59">
        <f t="shared" ref="G680:H680" si="93">G681+G703</f>
        <v>3244.5</v>
      </c>
      <c r="H680" s="59">
        <f t="shared" si="93"/>
        <v>3244.5</v>
      </c>
    </row>
    <row r="681" spans="1:8" ht="78.75" x14ac:dyDescent="0.25">
      <c r="A681" s="41" t="s">
        <v>559</v>
      </c>
      <c r="B681" s="7" t="s">
        <v>560</v>
      </c>
      <c r="C681" s="7"/>
      <c r="D681" s="7"/>
      <c r="E681" s="3"/>
      <c r="F681" s="3"/>
      <c r="G681" s="59">
        <f t="shared" ref="G681:H681" si="94">G683</f>
        <v>940</v>
      </c>
      <c r="H681" s="59">
        <f t="shared" si="94"/>
        <v>940</v>
      </c>
    </row>
    <row r="682" spans="1:8" ht="47.25" x14ac:dyDescent="0.25">
      <c r="A682" s="23" t="s">
        <v>1127</v>
      </c>
      <c r="B682" s="7" t="s">
        <v>1125</v>
      </c>
      <c r="C682" s="7"/>
      <c r="D682" s="7"/>
      <c r="E682" s="3"/>
      <c r="F682" s="3"/>
      <c r="G682" s="59">
        <f>G683</f>
        <v>940</v>
      </c>
      <c r="H682" s="59">
        <f>H683</f>
        <v>940</v>
      </c>
    </row>
    <row r="683" spans="1:8" ht="15.75" x14ac:dyDescent="0.25">
      <c r="A683" s="73" t="s">
        <v>405</v>
      </c>
      <c r="B683" s="40" t="s">
        <v>1125</v>
      </c>
      <c r="C683" s="40" t="s">
        <v>249</v>
      </c>
      <c r="D683" s="40"/>
      <c r="E683" s="2"/>
      <c r="F683" s="2"/>
      <c r="G683" s="10">
        <f t="shared" ref="G683:H683" si="95">G684</f>
        <v>940</v>
      </c>
      <c r="H683" s="10">
        <f t="shared" si="95"/>
        <v>940</v>
      </c>
    </row>
    <row r="684" spans="1:8" ht="15.75" x14ac:dyDescent="0.25">
      <c r="A684" s="73" t="s">
        <v>556</v>
      </c>
      <c r="B684" s="40" t="s">
        <v>1125</v>
      </c>
      <c r="C684" s="40" t="s">
        <v>249</v>
      </c>
      <c r="D684" s="40" t="s">
        <v>230</v>
      </c>
      <c r="E684" s="2"/>
      <c r="F684" s="2"/>
      <c r="G684" s="10">
        <f t="shared" ref="G684:H684" si="96">G685+G689+G699</f>
        <v>940</v>
      </c>
      <c r="H684" s="10">
        <f t="shared" si="96"/>
        <v>940</v>
      </c>
    </row>
    <row r="685" spans="1:8" ht="31.5" x14ac:dyDescent="0.25">
      <c r="A685" s="25" t="s">
        <v>561</v>
      </c>
      <c r="B685" s="20" t="s">
        <v>1126</v>
      </c>
      <c r="C685" s="40" t="s">
        <v>249</v>
      </c>
      <c r="D685" s="40" t="s">
        <v>230</v>
      </c>
      <c r="E685" s="2"/>
      <c r="F685" s="2"/>
      <c r="G685" s="10">
        <f t="shared" ref="G685:H686" si="97">G686</f>
        <v>90</v>
      </c>
      <c r="H685" s="10">
        <f t="shared" si="97"/>
        <v>90</v>
      </c>
    </row>
    <row r="686" spans="1:8" ht="47.25" x14ac:dyDescent="0.25">
      <c r="A686" s="25" t="s">
        <v>146</v>
      </c>
      <c r="B686" s="20" t="s">
        <v>1126</v>
      </c>
      <c r="C686" s="40" t="s">
        <v>249</v>
      </c>
      <c r="D686" s="40" t="s">
        <v>230</v>
      </c>
      <c r="E686" s="2">
        <v>200</v>
      </c>
      <c r="F686" s="2"/>
      <c r="G686" s="10">
        <f t="shared" si="97"/>
        <v>90</v>
      </c>
      <c r="H686" s="10">
        <f t="shared" si="97"/>
        <v>90</v>
      </c>
    </row>
    <row r="687" spans="1:8" ht="63" x14ac:dyDescent="0.25">
      <c r="A687" s="25" t="s">
        <v>148</v>
      </c>
      <c r="B687" s="20" t="s">
        <v>1126</v>
      </c>
      <c r="C687" s="40" t="s">
        <v>249</v>
      </c>
      <c r="D687" s="40" t="s">
        <v>230</v>
      </c>
      <c r="E687" s="2">
        <v>240</v>
      </c>
      <c r="F687" s="2"/>
      <c r="G687" s="10">
        <f>'пр.6.1.ведом.21-22'!G963</f>
        <v>90</v>
      </c>
      <c r="H687" s="10">
        <f>'пр.6.1.ведом.21-22'!H963</f>
        <v>90</v>
      </c>
    </row>
    <row r="688" spans="1:8" ht="63" x14ac:dyDescent="0.25">
      <c r="A688" s="45" t="s">
        <v>639</v>
      </c>
      <c r="B688" s="20" t="s">
        <v>1126</v>
      </c>
      <c r="C688" s="40" t="s">
        <v>249</v>
      </c>
      <c r="D688" s="40" t="s">
        <v>230</v>
      </c>
      <c r="E688" s="2">
        <v>240</v>
      </c>
      <c r="F688" s="2">
        <v>908</v>
      </c>
      <c r="G688" s="10">
        <f>G687</f>
        <v>90</v>
      </c>
      <c r="H688" s="10">
        <f>H687</f>
        <v>90</v>
      </c>
    </row>
    <row r="689" spans="1:8" ht="31.5" x14ac:dyDescent="0.25">
      <c r="A689" s="25" t="s">
        <v>563</v>
      </c>
      <c r="B689" s="20" t="s">
        <v>1128</v>
      </c>
      <c r="C689" s="40" t="s">
        <v>249</v>
      </c>
      <c r="D689" s="40" t="s">
        <v>230</v>
      </c>
      <c r="E689" s="2"/>
      <c r="F689" s="2"/>
      <c r="G689" s="10">
        <f>G690+G693+G696</f>
        <v>650</v>
      </c>
      <c r="H689" s="10">
        <f>H690+H693+H696</f>
        <v>650</v>
      </c>
    </row>
    <row r="690" spans="1:8" ht="47.25" x14ac:dyDescent="0.25">
      <c r="A690" s="25" t="s">
        <v>146</v>
      </c>
      <c r="B690" s="20" t="s">
        <v>1128</v>
      </c>
      <c r="C690" s="40" t="s">
        <v>249</v>
      </c>
      <c r="D690" s="40" t="s">
        <v>230</v>
      </c>
      <c r="E690" s="2">
        <v>200</v>
      </c>
      <c r="F690" s="2"/>
      <c r="G690" s="10">
        <f t="shared" ref="G690:H690" si="98">G691</f>
        <v>650</v>
      </c>
      <c r="H690" s="10">
        <f t="shared" si="98"/>
        <v>650</v>
      </c>
    </row>
    <row r="691" spans="1:8" ht="63" x14ac:dyDescent="0.25">
      <c r="A691" s="25" t="s">
        <v>148</v>
      </c>
      <c r="B691" s="20" t="s">
        <v>1128</v>
      </c>
      <c r="C691" s="40" t="s">
        <v>249</v>
      </c>
      <c r="D691" s="40" t="s">
        <v>230</v>
      </c>
      <c r="E691" s="2">
        <v>240</v>
      </c>
      <c r="F691" s="2"/>
      <c r="G691" s="10">
        <f>'пр.6.1.ведом.21-22'!G966</f>
        <v>650</v>
      </c>
      <c r="H691" s="10">
        <f>'пр.6.1.ведом.21-22'!H966</f>
        <v>650</v>
      </c>
    </row>
    <row r="692" spans="1:8" ht="63" x14ac:dyDescent="0.25">
      <c r="A692" s="45" t="s">
        <v>639</v>
      </c>
      <c r="B692" s="20" t="s">
        <v>1128</v>
      </c>
      <c r="C692" s="40" t="s">
        <v>249</v>
      </c>
      <c r="D692" s="40" t="s">
        <v>230</v>
      </c>
      <c r="E692" s="2">
        <v>240</v>
      </c>
      <c r="F692" s="2">
        <v>908</v>
      </c>
      <c r="G692" s="10">
        <f>G691</f>
        <v>650</v>
      </c>
      <c r="H692" s="10">
        <f>H691</f>
        <v>650</v>
      </c>
    </row>
    <row r="693" spans="1:8" ht="15.75" hidden="1" x14ac:dyDescent="0.25">
      <c r="A693" s="25" t="s">
        <v>150</v>
      </c>
      <c r="B693" s="20" t="s">
        <v>1128</v>
      </c>
      <c r="C693" s="40" t="s">
        <v>249</v>
      </c>
      <c r="D693" s="40" t="s">
        <v>230</v>
      </c>
      <c r="E693" s="2">
        <v>800</v>
      </c>
      <c r="F693" s="2"/>
      <c r="G693" s="10">
        <f>G694</f>
        <v>0</v>
      </c>
      <c r="H693" s="10">
        <f>H694</f>
        <v>0</v>
      </c>
    </row>
    <row r="694" spans="1:8" ht="63" hidden="1" x14ac:dyDescent="0.25">
      <c r="A694" s="25" t="s">
        <v>883</v>
      </c>
      <c r="B694" s="20" t="s">
        <v>1128</v>
      </c>
      <c r="C694" s="40" t="s">
        <v>249</v>
      </c>
      <c r="D694" s="40" t="s">
        <v>230</v>
      </c>
      <c r="E694" s="2">
        <v>830</v>
      </c>
      <c r="F694" s="2"/>
      <c r="G694" s="10">
        <f>'пр.6.1.ведом.21-22'!G968</f>
        <v>0</v>
      </c>
      <c r="H694" s="10">
        <f>'пр.6.1.ведом.21-22'!H968</f>
        <v>0</v>
      </c>
    </row>
    <row r="695" spans="1:8" ht="63" hidden="1" x14ac:dyDescent="0.25">
      <c r="A695" s="45" t="s">
        <v>639</v>
      </c>
      <c r="B695" s="20" t="s">
        <v>1128</v>
      </c>
      <c r="C695" s="40" t="s">
        <v>249</v>
      </c>
      <c r="D695" s="40" t="s">
        <v>230</v>
      </c>
      <c r="E695" s="2">
        <v>830</v>
      </c>
      <c r="F695" s="2">
        <v>908</v>
      </c>
      <c r="G695" s="10">
        <f>G694</f>
        <v>0</v>
      </c>
      <c r="H695" s="10">
        <f>H694</f>
        <v>0</v>
      </c>
    </row>
    <row r="696" spans="1:8" ht="15.75" hidden="1" x14ac:dyDescent="0.25">
      <c r="A696" s="25" t="s">
        <v>150</v>
      </c>
      <c r="B696" s="20" t="s">
        <v>1128</v>
      </c>
      <c r="C696" s="40" t="s">
        <v>249</v>
      </c>
      <c r="D696" s="40" t="s">
        <v>230</v>
      </c>
      <c r="E696" s="2">
        <v>800</v>
      </c>
      <c r="F696" s="2"/>
      <c r="G696" s="10">
        <f>G697</f>
        <v>0</v>
      </c>
      <c r="H696" s="10">
        <f>H697</f>
        <v>0</v>
      </c>
    </row>
    <row r="697" spans="1:8" ht="31.5" hidden="1" x14ac:dyDescent="0.25">
      <c r="A697" s="25" t="s">
        <v>1281</v>
      </c>
      <c r="B697" s="20" t="s">
        <v>1128</v>
      </c>
      <c r="C697" s="40" t="s">
        <v>249</v>
      </c>
      <c r="D697" s="40" t="s">
        <v>230</v>
      </c>
      <c r="E697" s="2">
        <v>850</v>
      </c>
      <c r="F697" s="2"/>
      <c r="G697" s="10">
        <f>'пр.6.1.ведом.21-22'!G969</f>
        <v>0</v>
      </c>
      <c r="H697" s="10">
        <f>'пр.6.1.ведом.21-22'!H969</f>
        <v>0</v>
      </c>
    </row>
    <row r="698" spans="1:8" ht="63" hidden="1" x14ac:dyDescent="0.25">
      <c r="A698" s="45" t="s">
        <v>639</v>
      </c>
      <c r="B698" s="20" t="s">
        <v>1128</v>
      </c>
      <c r="C698" s="40" t="s">
        <v>249</v>
      </c>
      <c r="D698" s="40" t="s">
        <v>230</v>
      </c>
      <c r="E698" s="2">
        <v>850</v>
      </c>
      <c r="F698" s="2">
        <v>908</v>
      </c>
      <c r="G698" s="10">
        <f>G697</f>
        <v>0</v>
      </c>
      <c r="H698" s="10">
        <f>H697</f>
        <v>0</v>
      </c>
    </row>
    <row r="699" spans="1:8" ht="31.5" x14ac:dyDescent="0.25">
      <c r="A699" s="25" t="s">
        <v>565</v>
      </c>
      <c r="B699" s="20" t="s">
        <v>1129</v>
      </c>
      <c r="C699" s="40" t="s">
        <v>249</v>
      </c>
      <c r="D699" s="40" t="s">
        <v>230</v>
      </c>
      <c r="E699" s="2"/>
      <c r="F699" s="2"/>
      <c r="G699" s="10">
        <f t="shared" ref="G699:H699" si="99">G700</f>
        <v>200</v>
      </c>
      <c r="H699" s="10">
        <f t="shared" si="99"/>
        <v>200</v>
      </c>
    </row>
    <row r="700" spans="1:8" ht="47.25" x14ac:dyDescent="0.25">
      <c r="A700" s="25" t="s">
        <v>146</v>
      </c>
      <c r="B700" s="20" t="s">
        <v>1129</v>
      </c>
      <c r="C700" s="40" t="s">
        <v>249</v>
      </c>
      <c r="D700" s="40" t="s">
        <v>230</v>
      </c>
      <c r="E700" s="2">
        <v>200</v>
      </c>
      <c r="F700" s="2"/>
      <c r="G700" s="10">
        <f>G701</f>
        <v>200</v>
      </c>
      <c r="H700" s="10">
        <f>H701</f>
        <v>200</v>
      </c>
    </row>
    <row r="701" spans="1:8" ht="63" x14ac:dyDescent="0.25">
      <c r="A701" s="25" t="s">
        <v>148</v>
      </c>
      <c r="B701" s="20" t="s">
        <v>1129</v>
      </c>
      <c r="C701" s="40" t="s">
        <v>249</v>
      </c>
      <c r="D701" s="40" t="s">
        <v>230</v>
      </c>
      <c r="E701" s="2">
        <v>240</v>
      </c>
      <c r="F701" s="2"/>
      <c r="G701" s="10">
        <f>'пр.6.1.ведом.21-22'!G972</f>
        <v>200</v>
      </c>
      <c r="H701" s="10">
        <f>'пр.6.1.ведом.21-22'!H972</f>
        <v>200</v>
      </c>
    </row>
    <row r="702" spans="1:8" ht="63" x14ac:dyDescent="0.25">
      <c r="A702" s="45" t="s">
        <v>639</v>
      </c>
      <c r="B702" s="20" t="s">
        <v>1129</v>
      </c>
      <c r="C702" s="40" t="s">
        <v>249</v>
      </c>
      <c r="D702" s="40" t="s">
        <v>230</v>
      </c>
      <c r="E702" s="2">
        <v>240</v>
      </c>
      <c r="F702" s="2">
        <v>908</v>
      </c>
      <c r="G702" s="10">
        <f>G701</f>
        <v>200</v>
      </c>
      <c r="H702" s="10">
        <f>H701</f>
        <v>200</v>
      </c>
    </row>
    <row r="703" spans="1:8" ht="78.75" x14ac:dyDescent="0.25">
      <c r="A703" s="23" t="s">
        <v>567</v>
      </c>
      <c r="B703" s="7" t="s">
        <v>568</v>
      </c>
      <c r="C703" s="7"/>
      <c r="D703" s="7"/>
      <c r="E703" s="3"/>
      <c r="F703" s="3"/>
      <c r="G703" s="59">
        <f>G705+G726</f>
        <v>2304.5</v>
      </c>
      <c r="H703" s="59">
        <f>H705+H726</f>
        <v>2304.5</v>
      </c>
    </row>
    <row r="704" spans="1:8" ht="47.25" x14ac:dyDescent="0.25">
      <c r="A704" s="23" t="s">
        <v>1145</v>
      </c>
      <c r="B704" s="7" t="s">
        <v>1130</v>
      </c>
      <c r="C704" s="7"/>
      <c r="D704" s="7"/>
      <c r="E704" s="3"/>
      <c r="F704" s="3"/>
      <c r="G704" s="59">
        <f>G705</f>
        <v>390</v>
      </c>
      <c r="H704" s="59">
        <f>H705</f>
        <v>390</v>
      </c>
    </row>
    <row r="705" spans="1:8" ht="15.75" x14ac:dyDescent="0.25">
      <c r="A705" s="73" t="s">
        <v>405</v>
      </c>
      <c r="B705" s="40" t="s">
        <v>1130</v>
      </c>
      <c r="C705" s="40" t="s">
        <v>249</v>
      </c>
      <c r="D705" s="40"/>
      <c r="E705" s="2"/>
      <c r="F705" s="2"/>
      <c r="G705" s="10">
        <f t="shared" ref="G705:H705" si="100">G706</f>
        <v>390</v>
      </c>
      <c r="H705" s="10">
        <f t="shared" si="100"/>
        <v>390</v>
      </c>
    </row>
    <row r="706" spans="1:8" ht="15.75" x14ac:dyDescent="0.25">
      <c r="A706" s="73" t="s">
        <v>556</v>
      </c>
      <c r="B706" s="40" t="s">
        <v>1130</v>
      </c>
      <c r="C706" s="40" t="s">
        <v>249</v>
      </c>
      <c r="D706" s="40" t="s">
        <v>230</v>
      </c>
      <c r="E706" s="2"/>
      <c r="F706" s="2"/>
      <c r="G706" s="10">
        <f>G722+G707+G711+G718</f>
        <v>390</v>
      </c>
      <c r="H706" s="10">
        <f>H722+H707+H711+H718</f>
        <v>390</v>
      </c>
    </row>
    <row r="707" spans="1:8" ht="15.75" x14ac:dyDescent="0.25">
      <c r="A707" s="25" t="s">
        <v>570</v>
      </c>
      <c r="B707" s="20" t="s">
        <v>1132</v>
      </c>
      <c r="C707" s="40" t="s">
        <v>249</v>
      </c>
      <c r="D707" s="40" t="s">
        <v>230</v>
      </c>
      <c r="E707" s="2"/>
      <c r="F707" s="2"/>
      <c r="G707" s="10">
        <f t="shared" ref="G707:H708" si="101">G708</f>
        <v>4</v>
      </c>
      <c r="H707" s="10">
        <f t="shared" si="101"/>
        <v>4</v>
      </c>
    </row>
    <row r="708" spans="1:8" ht="47.25" x14ac:dyDescent="0.25">
      <c r="A708" s="25" t="s">
        <v>146</v>
      </c>
      <c r="B708" s="20" t="s">
        <v>1132</v>
      </c>
      <c r="C708" s="40" t="s">
        <v>249</v>
      </c>
      <c r="D708" s="40" t="s">
        <v>230</v>
      </c>
      <c r="E708" s="2">
        <v>200</v>
      </c>
      <c r="F708" s="2"/>
      <c r="G708" s="10">
        <f t="shared" si="101"/>
        <v>4</v>
      </c>
      <c r="H708" s="10">
        <f t="shared" si="101"/>
        <v>4</v>
      </c>
    </row>
    <row r="709" spans="1:8" ht="63" x14ac:dyDescent="0.25">
      <c r="A709" s="25" t="s">
        <v>148</v>
      </c>
      <c r="B709" s="20" t="s">
        <v>1132</v>
      </c>
      <c r="C709" s="40" t="s">
        <v>249</v>
      </c>
      <c r="D709" s="40" t="s">
        <v>230</v>
      </c>
      <c r="E709" s="2">
        <v>240</v>
      </c>
      <c r="F709" s="2"/>
      <c r="G709" s="10">
        <f>'пр.6.1.ведом.21-22'!G977</f>
        <v>4</v>
      </c>
      <c r="H709" s="10">
        <f>'пр.6.1.ведом.21-22'!H977</f>
        <v>4</v>
      </c>
    </row>
    <row r="710" spans="1:8" ht="63" x14ac:dyDescent="0.25">
      <c r="A710" s="45" t="s">
        <v>639</v>
      </c>
      <c r="B710" s="20" t="s">
        <v>1132</v>
      </c>
      <c r="C710" s="40" t="s">
        <v>249</v>
      </c>
      <c r="D710" s="40" t="s">
        <v>230</v>
      </c>
      <c r="E710" s="2">
        <v>240</v>
      </c>
      <c r="F710" s="2">
        <v>908</v>
      </c>
      <c r="G710" s="10">
        <f>G709</f>
        <v>4</v>
      </c>
      <c r="H710" s="10">
        <f>H709</f>
        <v>4</v>
      </c>
    </row>
    <row r="711" spans="1:8" ht="63" x14ac:dyDescent="0.25">
      <c r="A711" s="45" t="s">
        <v>572</v>
      </c>
      <c r="B711" s="20" t="s">
        <v>1133</v>
      </c>
      <c r="C711" s="40" t="s">
        <v>249</v>
      </c>
      <c r="D711" s="40" t="s">
        <v>230</v>
      </c>
      <c r="E711" s="2"/>
      <c r="F711" s="2"/>
      <c r="G711" s="10">
        <f>G712+G715</f>
        <v>375</v>
      </c>
      <c r="H711" s="10">
        <f>H712+H715</f>
        <v>375</v>
      </c>
    </row>
    <row r="712" spans="1:8" ht="47.25" x14ac:dyDescent="0.25">
      <c r="A712" s="25" t="s">
        <v>146</v>
      </c>
      <c r="B712" s="20" t="s">
        <v>1133</v>
      </c>
      <c r="C712" s="40" t="s">
        <v>249</v>
      </c>
      <c r="D712" s="40" t="s">
        <v>230</v>
      </c>
      <c r="E712" s="2">
        <v>200</v>
      </c>
      <c r="F712" s="2"/>
      <c r="G712" s="10">
        <f t="shared" ref="G712:H712" si="102">G713</f>
        <v>300</v>
      </c>
      <c r="H712" s="10">
        <f t="shared" si="102"/>
        <v>300</v>
      </c>
    </row>
    <row r="713" spans="1:8" ht="63" x14ac:dyDescent="0.25">
      <c r="A713" s="25" t="s">
        <v>148</v>
      </c>
      <c r="B713" s="20" t="s">
        <v>1133</v>
      </c>
      <c r="C713" s="40" t="s">
        <v>249</v>
      </c>
      <c r="D713" s="40" t="s">
        <v>230</v>
      </c>
      <c r="E713" s="2">
        <v>240</v>
      </c>
      <c r="F713" s="2"/>
      <c r="G713" s="10">
        <f>'пр.6.1.ведом.21-22'!G980</f>
        <v>300</v>
      </c>
      <c r="H713" s="10">
        <f>'пр.6.1.ведом.21-22'!H980</f>
        <v>300</v>
      </c>
    </row>
    <row r="714" spans="1:8" ht="63" x14ac:dyDescent="0.25">
      <c r="A714" s="45" t="s">
        <v>639</v>
      </c>
      <c r="B714" s="20" t="s">
        <v>1133</v>
      </c>
      <c r="C714" s="40" t="s">
        <v>249</v>
      </c>
      <c r="D714" s="40" t="s">
        <v>230</v>
      </c>
      <c r="E714" s="2">
        <v>240</v>
      </c>
      <c r="F714" s="2">
        <v>908</v>
      </c>
      <c r="G714" s="10">
        <f>G713</f>
        <v>300</v>
      </c>
      <c r="H714" s="10">
        <f>H713</f>
        <v>300</v>
      </c>
    </row>
    <row r="715" spans="1:8" ht="15.75" x14ac:dyDescent="0.25">
      <c r="A715" s="29" t="s">
        <v>150</v>
      </c>
      <c r="B715" s="20" t="s">
        <v>1133</v>
      </c>
      <c r="C715" s="40" t="s">
        <v>249</v>
      </c>
      <c r="D715" s="40" t="s">
        <v>230</v>
      </c>
      <c r="E715" s="2">
        <v>800</v>
      </c>
      <c r="F715" s="2"/>
      <c r="G715" s="10">
        <f>G716</f>
        <v>75</v>
      </c>
      <c r="H715" s="10">
        <f>H716</f>
        <v>75</v>
      </c>
    </row>
    <row r="716" spans="1:8" s="229" customFormat="1" ht="31.5" x14ac:dyDescent="0.25">
      <c r="A716" s="25" t="s">
        <v>726</v>
      </c>
      <c r="B716" s="20" t="s">
        <v>1133</v>
      </c>
      <c r="C716" s="40" t="s">
        <v>249</v>
      </c>
      <c r="D716" s="40" t="s">
        <v>230</v>
      </c>
      <c r="E716" s="2">
        <v>850</v>
      </c>
      <c r="F716" s="2"/>
      <c r="G716" s="10">
        <f>'пр.6.1.ведом.21-22'!G982</f>
        <v>75</v>
      </c>
      <c r="H716" s="10">
        <f>'пр.6.1.ведом.21-22'!H982</f>
        <v>75</v>
      </c>
    </row>
    <row r="717" spans="1:8" s="229" customFormat="1" ht="63" x14ac:dyDescent="0.25">
      <c r="A717" s="45" t="s">
        <v>639</v>
      </c>
      <c r="B717" s="20" t="s">
        <v>1133</v>
      </c>
      <c r="C717" s="40" t="s">
        <v>249</v>
      </c>
      <c r="D717" s="40" t="s">
        <v>230</v>
      </c>
      <c r="E717" s="2">
        <v>850</v>
      </c>
      <c r="F717" s="2">
        <v>908</v>
      </c>
      <c r="G717" s="10">
        <f>G716</f>
        <v>75</v>
      </c>
      <c r="H717" s="10">
        <f>H716</f>
        <v>75</v>
      </c>
    </row>
    <row r="718" spans="1:8" s="229" customFormat="1" ht="31.5" hidden="1" x14ac:dyDescent="0.25">
      <c r="A718" s="45" t="s">
        <v>574</v>
      </c>
      <c r="B718" s="20" t="s">
        <v>1134</v>
      </c>
      <c r="C718" s="40" t="s">
        <v>249</v>
      </c>
      <c r="D718" s="40" t="s">
        <v>230</v>
      </c>
      <c r="E718" s="2"/>
      <c r="F718" s="2"/>
      <c r="G718" s="10">
        <f t="shared" ref="G718:H719" si="103">G719</f>
        <v>0</v>
      </c>
      <c r="H718" s="10">
        <f t="shared" si="103"/>
        <v>0</v>
      </c>
    </row>
    <row r="719" spans="1:8" s="229" customFormat="1" ht="47.25" hidden="1" x14ac:dyDescent="0.25">
      <c r="A719" s="25" t="s">
        <v>146</v>
      </c>
      <c r="B719" s="20" t="s">
        <v>1134</v>
      </c>
      <c r="C719" s="40" t="s">
        <v>249</v>
      </c>
      <c r="D719" s="40" t="s">
        <v>230</v>
      </c>
      <c r="E719" s="2">
        <v>200</v>
      </c>
      <c r="F719" s="2"/>
      <c r="G719" s="10">
        <f t="shared" si="103"/>
        <v>0</v>
      </c>
      <c r="H719" s="10">
        <f t="shared" si="103"/>
        <v>0</v>
      </c>
    </row>
    <row r="720" spans="1:8" ht="63" hidden="1" x14ac:dyDescent="0.25">
      <c r="A720" s="25" t="s">
        <v>148</v>
      </c>
      <c r="B720" s="20" t="s">
        <v>1134</v>
      </c>
      <c r="C720" s="40" t="s">
        <v>249</v>
      </c>
      <c r="D720" s="40" t="s">
        <v>230</v>
      </c>
      <c r="E720" s="2">
        <v>240</v>
      </c>
      <c r="F720" s="2"/>
      <c r="G720" s="10">
        <f>'пр.6.1.ведом.21-22'!G985</f>
        <v>0</v>
      </c>
      <c r="H720" s="10">
        <f>'пр.6.1.ведом.21-22'!H985</f>
        <v>0</v>
      </c>
    </row>
    <row r="721" spans="1:8" ht="63" hidden="1" x14ac:dyDescent="0.25">
      <c r="A721" s="45" t="s">
        <v>639</v>
      </c>
      <c r="B721" s="20" t="s">
        <v>1134</v>
      </c>
      <c r="C721" s="40" t="s">
        <v>249</v>
      </c>
      <c r="D721" s="40" t="s">
        <v>230</v>
      </c>
      <c r="E721" s="2">
        <v>850</v>
      </c>
      <c r="F721" s="2">
        <v>908</v>
      </c>
      <c r="G721" s="10">
        <f>G720</f>
        <v>0</v>
      </c>
      <c r="H721" s="10">
        <f>H720</f>
        <v>0</v>
      </c>
    </row>
    <row r="722" spans="1:8" ht="47.25" x14ac:dyDescent="0.25">
      <c r="A722" s="296" t="s">
        <v>1301</v>
      </c>
      <c r="B722" s="20" t="s">
        <v>1302</v>
      </c>
      <c r="C722" s="40" t="s">
        <v>249</v>
      </c>
      <c r="D722" s="40" t="s">
        <v>230</v>
      </c>
      <c r="E722" s="2"/>
      <c r="F722" s="2"/>
      <c r="G722" s="10">
        <f>G723</f>
        <v>11</v>
      </c>
      <c r="H722" s="10">
        <f>H723</f>
        <v>11</v>
      </c>
    </row>
    <row r="723" spans="1:8" ht="47.25" x14ac:dyDescent="0.25">
      <c r="A723" s="25" t="s">
        <v>146</v>
      </c>
      <c r="B723" s="20" t="s">
        <v>1302</v>
      </c>
      <c r="C723" s="40" t="s">
        <v>249</v>
      </c>
      <c r="D723" s="40" t="s">
        <v>230</v>
      </c>
      <c r="E723" s="2">
        <v>200</v>
      </c>
      <c r="F723" s="2"/>
      <c r="G723" s="10">
        <f>G724</f>
        <v>11</v>
      </c>
      <c r="H723" s="10">
        <f>H724</f>
        <v>11</v>
      </c>
    </row>
    <row r="724" spans="1:8" ht="63" x14ac:dyDescent="0.25">
      <c r="A724" s="25" t="s">
        <v>148</v>
      </c>
      <c r="B724" s="20" t="s">
        <v>1302</v>
      </c>
      <c r="C724" s="40" t="s">
        <v>249</v>
      </c>
      <c r="D724" s="40" t="s">
        <v>230</v>
      </c>
      <c r="E724" s="2">
        <v>240</v>
      </c>
      <c r="F724" s="2"/>
      <c r="G724" s="10">
        <f>'пр.6.1.ведом.21-22'!G988</f>
        <v>11</v>
      </c>
      <c r="H724" s="10">
        <f>'пр.6.1.ведом.21-22'!H988</f>
        <v>11</v>
      </c>
    </row>
    <row r="725" spans="1:8" ht="63" x14ac:dyDescent="0.25">
      <c r="A725" s="45" t="s">
        <v>639</v>
      </c>
      <c r="B725" s="20" t="s">
        <v>1302</v>
      </c>
      <c r="C725" s="40" t="s">
        <v>249</v>
      </c>
      <c r="D725" s="40" t="s">
        <v>230</v>
      </c>
      <c r="E725" s="2">
        <v>240</v>
      </c>
      <c r="F725" s="2">
        <v>908</v>
      </c>
      <c r="G725" s="10">
        <f>G724</f>
        <v>11</v>
      </c>
      <c r="H725" s="10">
        <f>H724</f>
        <v>11</v>
      </c>
    </row>
    <row r="726" spans="1:8" ht="47.25" x14ac:dyDescent="0.25">
      <c r="A726" s="23" t="s">
        <v>952</v>
      </c>
      <c r="B726" s="24" t="s">
        <v>1135</v>
      </c>
      <c r="C726" s="7"/>
      <c r="D726" s="7"/>
      <c r="E726" s="3"/>
      <c r="F726" s="3"/>
      <c r="G726" s="59">
        <f>G727</f>
        <v>1914.5</v>
      </c>
      <c r="H726" s="59">
        <f>H727</f>
        <v>1914.5</v>
      </c>
    </row>
    <row r="727" spans="1:8" ht="15.75" x14ac:dyDescent="0.25">
      <c r="A727" s="73" t="s">
        <v>405</v>
      </c>
      <c r="B727" s="40" t="s">
        <v>1135</v>
      </c>
      <c r="C727" s="40" t="s">
        <v>249</v>
      </c>
      <c r="D727" s="40"/>
      <c r="E727" s="2"/>
      <c r="F727" s="2"/>
      <c r="G727" s="10">
        <f t="shared" ref="G727:H727" si="104">G728</f>
        <v>1914.5</v>
      </c>
      <c r="H727" s="10">
        <f t="shared" si="104"/>
        <v>1914.5</v>
      </c>
    </row>
    <row r="728" spans="1:8" ht="15.75" x14ac:dyDescent="0.25">
      <c r="A728" s="73" t="s">
        <v>556</v>
      </c>
      <c r="B728" s="40" t="s">
        <v>1135</v>
      </c>
      <c r="C728" s="40" t="s">
        <v>249</v>
      </c>
      <c r="D728" s="40" t="s">
        <v>230</v>
      </c>
      <c r="E728" s="2"/>
      <c r="F728" s="2"/>
      <c r="G728" s="10">
        <f>G729+G733</f>
        <v>1914.5</v>
      </c>
      <c r="H728" s="10">
        <f>H729+H733</f>
        <v>1914.5</v>
      </c>
    </row>
    <row r="729" spans="1:8" ht="63" hidden="1" x14ac:dyDescent="0.25">
      <c r="A729" s="25" t="s">
        <v>706</v>
      </c>
      <c r="B729" s="20" t="s">
        <v>1136</v>
      </c>
      <c r="C729" s="40" t="s">
        <v>249</v>
      </c>
      <c r="D729" s="40" t="s">
        <v>230</v>
      </c>
      <c r="E729" s="2"/>
      <c r="F729" s="2"/>
      <c r="G729" s="10">
        <f>G730</f>
        <v>0</v>
      </c>
      <c r="H729" s="10">
        <f>H730</f>
        <v>0</v>
      </c>
    </row>
    <row r="730" spans="1:8" ht="47.25" hidden="1" x14ac:dyDescent="0.25">
      <c r="A730" s="25" t="s">
        <v>146</v>
      </c>
      <c r="B730" s="20" t="s">
        <v>1136</v>
      </c>
      <c r="C730" s="40" t="s">
        <v>249</v>
      </c>
      <c r="D730" s="40" t="s">
        <v>230</v>
      </c>
      <c r="E730" s="20" t="s">
        <v>147</v>
      </c>
      <c r="F730" s="2"/>
      <c r="G730" s="10">
        <f>G731</f>
        <v>0</v>
      </c>
      <c r="H730" s="10">
        <f>H731</f>
        <v>0</v>
      </c>
    </row>
    <row r="731" spans="1:8" ht="63" hidden="1" x14ac:dyDescent="0.25">
      <c r="A731" s="25" t="s">
        <v>148</v>
      </c>
      <c r="B731" s="20" t="s">
        <v>1136</v>
      </c>
      <c r="C731" s="40" t="s">
        <v>249</v>
      </c>
      <c r="D731" s="40" t="s">
        <v>230</v>
      </c>
      <c r="E731" s="20" t="s">
        <v>149</v>
      </c>
      <c r="F731" s="2"/>
      <c r="G731" s="10">
        <f>'пр.6.1.ведом.21-22'!G992</f>
        <v>0</v>
      </c>
      <c r="H731" s="10">
        <f>'пр.6.1.ведом.21-22'!H992</f>
        <v>0</v>
      </c>
    </row>
    <row r="732" spans="1:8" ht="63" hidden="1" x14ac:dyDescent="0.25">
      <c r="A732" s="45" t="s">
        <v>639</v>
      </c>
      <c r="B732" s="20" t="s">
        <v>1136</v>
      </c>
      <c r="C732" s="40" t="s">
        <v>249</v>
      </c>
      <c r="D732" s="40" t="s">
        <v>230</v>
      </c>
      <c r="E732" s="20" t="s">
        <v>149</v>
      </c>
      <c r="F732" s="2">
        <v>908</v>
      </c>
      <c r="G732" s="10">
        <f>G731</f>
        <v>0</v>
      </c>
      <c r="H732" s="10">
        <f>H731</f>
        <v>0</v>
      </c>
    </row>
    <row r="733" spans="1:8" ht="78.75" x14ac:dyDescent="0.25">
      <c r="A733" s="25" t="s">
        <v>1260</v>
      </c>
      <c r="B733" s="20" t="s">
        <v>1261</v>
      </c>
      <c r="C733" s="40" t="s">
        <v>249</v>
      </c>
      <c r="D733" s="40" t="s">
        <v>230</v>
      </c>
      <c r="E733" s="20"/>
      <c r="F733" s="2"/>
      <c r="G733" s="10">
        <f>G734</f>
        <v>1914.5</v>
      </c>
      <c r="H733" s="10">
        <f>H734</f>
        <v>1914.5</v>
      </c>
    </row>
    <row r="734" spans="1:8" ht="47.25" x14ac:dyDescent="0.25">
      <c r="A734" s="25" t="s">
        <v>146</v>
      </c>
      <c r="B734" s="20" t="s">
        <v>1261</v>
      </c>
      <c r="C734" s="40" t="s">
        <v>249</v>
      </c>
      <c r="D734" s="40" t="s">
        <v>230</v>
      </c>
      <c r="E734" s="20" t="s">
        <v>147</v>
      </c>
      <c r="F734" s="2"/>
      <c r="G734" s="10">
        <f>G735</f>
        <v>1914.5</v>
      </c>
      <c r="H734" s="10">
        <f>H735</f>
        <v>1914.5</v>
      </c>
    </row>
    <row r="735" spans="1:8" ht="63" x14ac:dyDescent="0.25">
      <c r="A735" s="25" t="s">
        <v>148</v>
      </c>
      <c r="B735" s="20" t="s">
        <v>1261</v>
      </c>
      <c r="C735" s="40" t="s">
        <v>249</v>
      </c>
      <c r="D735" s="40" t="s">
        <v>230</v>
      </c>
      <c r="E735" s="20" t="s">
        <v>149</v>
      </c>
      <c r="F735" s="2"/>
      <c r="G735" s="10">
        <f>'пр.6.1.ведом.21-22'!G995</f>
        <v>1914.5</v>
      </c>
      <c r="H735" s="10">
        <f>'пр.6.1.ведом.21-22'!H995</f>
        <v>1914.5</v>
      </c>
    </row>
    <row r="736" spans="1:8" ht="63" x14ac:dyDescent="0.25">
      <c r="A736" s="45" t="s">
        <v>639</v>
      </c>
      <c r="B736" s="20" t="s">
        <v>1261</v>
      </c>
      <c r="C736" s="40" t="s">
        <v>249</v>
      </c>
      <c r="D736" s="40" t="s">
        <v>230</v>
      </c>
      <c r="E736" s="20" t="s">
        <v>149</v>
      </c>
      <c r="F736" s="2">
        <v>908</v>
      </c>
      <c r="G736" s="10">
        <f>G735</f>
        <v>1914.5</v>
      </c>
      <c r="H736" s="10">
        <f>H735</f>
        <v>1914.5</v>
      </c>
    </row>
    <row r="737" spans="1:8" ht="78.75" x14ac:dyDescent="0.25">
      <c r="A737" s="34" t="s">
        <v>196</v>
      </c>
      <c r="B737" s="214" t="s">
        <v>197</v>
      </c>
      <c r="C737" s="7"/>
      <c r="D737" s="7"/>
      <c r="E737" s="7"/>
      <c r="F737" s="3"/>
      <c r="G737" s="59">
        <f>G738+G749</f>
        <v>306</v>
      </c>
      <c r="H737" s="59">
        <f>H738+H749</f>
        <v>306</v>
      </c>
    </row>
    <row r="738" spans="1:8" ht="47.25" x14ac:dyDescent="0.25">
      <c r="A738" s="34" t="s">
        <v>1165</v>
      </c>
      <c r="B738" s="214" t="s">
        <v>925</v>
      </c>
      <c r="C738" s="7"/>
      <c r="D738" s="7"/>
      <c r="E738" s="7"/>
      <c r="F738" s="3"/>
      <c r="G738" s="59">
        <f>G739</f>
        <v>256</v>
      </c>
      <c r="H738" s="59">
        <f>H739</f>
        <v>256</v>
      </c>
    </row>
    <row r="739" spans="1:8" ht="15.75" x14ac:dyDescent="0.25">
      <c r="A739" s="29" t="s">
        <v>247</v>
      </c>
      <c r="B739" s="5" t="s">
        <v>925</v>
      </c>
      <c r="C739" s="40" t="s">
        <v>165</v>
      </c>
      <c r="D739" s="40"/>
      <c r="E739" s="40"/>
      <c r="F739" s="2"/>
      <c r="G739" s="10">
        <f t="shared" ref="G739:H742" si="105">G740</f>
        <v>256</v>
      </c>
      <c r="H739" s="10">
        <f t="shared" si="105"/>
        <v>256</v>
      </c>
    </row>
    <row r="740" spans="1:8" ht="15.75" x14ac:dyDescent="0.25">
      <c r="A740" s="29" t="s">
        <v>248</v>
      </c>
      <c r="B740" s="30" t="s">
        <v>925</v>
      </c>
      <c r="C740" s="40" t="s">
        <v>165</v>
      </c>
      <c r="D740" s="40" t="s">
        <v>249</v>
      </c>
      <c r="E740" s="40"/>
      <c r="F740" s="2"/>
      <c r="G740" s="10">
        <f>G741+G745</f>
        <v>256</v>
      </c>
      <c r="H740" s="10">
        <f>H741+H745</f>
        <v>256</v>
      </c>
    </row>
    <row r="741" spans="1:8" ht="31.5" x14ac:dyDescent="0.25">
      <c r="A741" s="25" t="s">
        <v>926</v>
      </c>
      <c r="B741" s="20" t="s">
        <v>970</v>
      </c>
      <c r="C741" s="40" t="s">
        <v>165</v>
      </c>
      <c r="D741" s="40" t="s">
        <v>249</v>
      </c>
      <c r="E741" s="40"/>
      <c r="F741" s="2"/>
      <c r="G741" s="10">
        <f t="shared" si="105"/>
        <v>1</v>
      </c>
      <c r="H741" s="10">
        <f t="shared" si="105"/>
        <v>1</v>
      </c>
    </row>
    <row r="742" spans="1:8" ht="15.75" x14ac:dyDescent="0.25">
      <c r="A742" s="29" t="s">
        <v>150</v>
      </c>
      <c r="B742" s="20" t="s">
        <v>970</v>
      </c>
      <c r="C742" s="40" t="s">
        <v>165</v>
      </c>
      <c r="D742" s="40" t="s">
        <v>249</v>
      </c>
      <c r="E742" s="40" t="s">
        <v>160</v>
      </c>
      <c r="F742" s="2"/>
      <c r="G742" s="10">
        <f t="shared" si="105"/>
        <v>1</v>
      </c>
      <c r="H742" s="10">
        <f t="shared" si="105"/>
        <v>1</v>
      </c>
    </row>
    <row r="743" spans="1:8" ht="78.75" x14ac:dyDescent="0.25">
      <c r="A743" s="29" t="s">
        <v>199</v>
      </c>
      <c r="B743" s="20" t="s">
        <v>970</v>
      </c>
      <c r="C743" s="40" t="s">
        <v>165</v>
      </c>
      <c r="D743" s="40" t="s">
        <v>249</v>
      </c>
      <c r="E743" s="40" t="s">
        <v>175</v>
      </c>
      <c r="F743" s="2"/>
      <c r="G743" s="10">
        <f>'пр.6.1.ведом.21-22'!G166</f>
        <v>1</v>
      </c>
      <c r="H743" s="10">
        <f>'пр.6.1.ведом.21-22'!H166</f>
        <v>1</v>
      </c>
    </row>
    <row r="744" spans="1:8" ht="31.5" x14ac:dyDescent="0.25">
      <c r="A744" s="29" t="s">
        <v>163</v>
      </c>
      <c r="B744" s="20" t="s">
        <v>970</v>
      </c>
      <c r="C744" s="40" t="s">
        <v>165</v>
      </c>
      <c r="D744" s="40" t="s">
        <v>249</v>
      </c>
      <c r="E744" s="40" t="s">
        <v>175</v>
      </c>
      <c r="F744" s="2">
        <v>902</v>
      </c>
      <c r="G744" s="10">
        <f>G743</f>
        <v>1</v>
      </c>
      <c r="H744" s="10">
        <f>H743</f>
        <v>1</v>
      </c>
    </row>
    <row r="745" spans="1:8" ht="47.25" x14ac:dyDescent="0.25">
      <c r="A745" s="25" t="s">
        <v>250</v>
      </c>
      <c r="B745" s="20" t="s">
        <v>929</v>
      </c>
      <c r="C745" s="40" t="s">
        <v>165</v>
      </c>
      <c r="D745" s="40" t="s">
        <v>249</v>
      </c>
      <c r="E745" s="40"/>
      <c r="F745" s="2"/>
      <c r="G745" s="10">
        <f>G746</f>
        <v>255</v>
      </c>
      <c r="H745" s="10">
        <f>H746</f>
        <v>255</v>
      </c>
    </row>
    <row r="746" spans="1:8" ht="15.75" x14ac:dyDescent="0.25">
      <c r="A746" s="25" t="s">
        <v>150</v>
      </c>
      <c r="B746" s="20" t="s">
        <v>929</v>
      </c>
      <c r="C746" s="40" t="s">
        <v>165</v>
      </c>
      <c r="D746" s="40" t="s">
        <v>249</v>
      </c>
      <c r="E746" s="40" t="s">
        <v>160</v>
      </c>
      <c r="F746" s="2"/>
      <c r="G746" s="10">
        <f>G747</f>
        <v>255</v>
      </c>
      <c r="H746" s="10">
        <f>H747</f>
        <v>255</v>
      </c>
    </row>
    <row r="747" spans="1:8" ht="78.75" x14ac:dyDescent="0.25">
      <c r="A747" s="25" t="s">
        <v>199</v>
      </c>
      <c r="B747" s="20" t="s">
        <v>929</v>
      </c>
      <c r="C747" s="40" t="s">
        <v>165</v>
      </c>
      <c r="D747" s="40" t="s">
        <v>249</v>
      </c>
      <c r="E747" s="40" t="s">
        <v>175</v>
      </c>
      <c r="F747" s="2"/>
      <c r="G747" s="10">
        <f>'пр.6.1.ведом.21-22'!G169</f>
        <v>255</v>
      </c>
      <c r="H747" s="10">
        <f>'пр.6.1.ведом.21-22'!H169</f>
        <v>255</v>
      </c>
    </row>
    <row r="748" spans="1:8" ht="31.5" x14ac:dyDescent="0.25">
      <c r="A748" s="29" t="s">
        <v>163</v>
      </c>
      <c r="B748" s="20" t="s">
        <v>929</v>
      </c>
      <c r="C748" s="40" t="s">
        <v>165</v>
      </c>
      <c r="D748" s="40" t="s">
        <v>249</v>
      </c>
      <c r="E748" s="40" t="s">
        <v>175</v>
      </c>
      <c r="F748" s="2">
        <v>902</v>
      </c>
      <c r="G748" s="10">
        <f>G747</f>
        <v>255</v>
      </c>
      <c r="H748" s="10">
        <f>H747</f>
        <v>255</v>
      </c>
    </row>
    <row r="749" spans="1:8" ht="63" x14ac:dyDescent="0.25">
      <c r="A749" s="452" t="s">
        <v>1166</v>
      </c>
      <c r="B749" s="24" t="s">
        <v>928</v>
      </c>
      <c r="C749" s="40"/>
      <c r="D749" s="40"/>
      <c r="E749" s="40"/>
      <c r="F749" s="2"/>
      <c r="G749" s="10">
        <f t="shared" ref="G749:H753" si="106">G750</f>
        <v>50</v>
      </c>
      <c r="H749" s="10">
        <f t="shared" si="106"/>
        <v>50</v>
      </c>
    </row>
    <row r="750" spans="1:8" ht="15.75" x14ac:dyDescent="0.25">
      <c r="A750" s="29" t="s">
        <v>247</v>
      </c>
      <c r="B750" s="5" t="s">
        <v>925</v>
      </c>
      <c r="C750" s="40" t="s">
        <v>165</v>
      </c>
      <c r="D750" s="40"/>
      <c r="E750" s="40"/>
      <c r="F750" s="2"/>
      <c r="G750" s="10">
        <f t="shared" si="106"/>
        <v>50</v>
      </c>
      <c r="H750" s="10">
        <f t="shared" si="106"/>
        <v>50</v>
      </c>
    </row>
    <row r="751" spans="1:8" ht="15.75" x14ac:dyDescent="0.25">
      <c r="A751" s="29" t="s">
        <v>248</v>
      </c>
      <c r="B751" s="30" t="s">
        <v>925</v>
      </c>
      <c r="C751" s="40" t="s">
        <v>165</v>
      </c>
      <c r="D751" s="40" t="s">
        <v>249</v>
      </c>
      <c r="E751" s="40"/>
      <c r="F751" s="2"/>
      <c r="G751" s="10">
        <f t="shared" si="106"/>
        <v>50</v>
      </c>
      <c r="H751" s="10">
        <f t="shared" si="106"/>
        <v>50</v>
      </c>
    </row>
    <row r="752" spans="1:8" ht="15.75" x14ac:dyDescent="0.25">
      <c r="A752" s="25" t="s">
        <v>927</v>
      </c>
      <c r="B752" s="5" t="s">
        <v>971</v>
      </c>
      <c r="C752" s="40" t="s">
        <v>165</v>
      </c>
      <c r="D752" s="40" t="s">
        <v>249</v>
      </c>
      <c r="E752" s="40"/>
      <c r="F752" s="2"/>
      <c r="G752" s="10">
        <f t="shared" si="106"/>
        <v>50</v>
      </c>
      <c r="H752" s="10">
        <f t="shared" si="106"/>
        <v>50</v>
      </c>
    </row>
    <row r="753" spans="1:8" ht="15.75" x14ac:dyDescent="0.25">
      <c r="A753" s="29" t="s">
        <v>150</v>
      </c>
      <c r="B753" s="5" t="s">
        <v>971</v>
      </c>
      <c r="C753" s="40" t="s">
        <v>165</v>
      </c>
      <c r="D753" s="40" t="s">
        <v>249</v>
      </c>
      <c r="E753" s="40" t="s">
        <v>160</v>
      </c>
      <c r="F753" s="2"/>
      <c r="G753" s="10">
        <f t="shared" si="106"/>
        <v>50</v>
      </c>
      <c r="H753" s="10">
        <f t="shared" si="106"/>
        <v>50</v>
      </c>
    </row>
    <row r="754" spans="1:8" ht="78.75" x14ac:dyDescent="0.25">
      <c r="A754" s="29" t="s">
        <v>199</v>
      </c>
      <c r="B754" s="5" t="s">
        <v>971</v>
      </c>
      <c r="C754" s="40" t="s">
        <v>165</v>
      </c>
      <c r="D754" s="40" t="s">
        <v>249</v>
      </c>
      <c r="E754" s="40" t="s">
        <v>175</v>
      </c>
      <c r="F754" s="2"/>
      <c r="G754" s="10">
        <f>'пр.6.1.ведом.21-22'!G173</f>
        <v>50</v>
      </c>
      <c r="H754" s="10">
        <f>'пр.6.1.ведом.21-22'!H173</f>
        <v>50</v>
      </c>
    </row>
    <row r="755" spans="1:8" ht="31.5" x14ac:dyDescent="0.25">
      <c r="A755" s="29" t="s">
        <v>163</v>
      </c>
      <c r="B755" s="20" t="s">
        <v>929</v>
      </c>
      <c r="C755" s="40" t="s">
        <v>165</v>
      </c>
      <c r="D755" s="40" t="s">
        <v>249</v>
      </c>
      <c r="E755" s="40" t="s">
        <v>175</v>
      </c>
      <c r="F755" s="2">
        <v>902</v>
      </c>
      <c r="G755" s="10">
        <f>G754</f>
        <v>50</v>
      </c>
      <c r="H755" s="10">
        <f>H754</f>
        <v>50</v>
      </c>
    </row>
    <row r="756" spans="1:8" ht="78.75" x14ac:dyDescent="0.25">
      <c r="A756" s="41" t="s">
        <v>1184</v>
      </c>
      <c r="B756" s="7" t="s">
        <v>533</v>
      </c>
      <c r="C756" s="7"/>
      <c r="D756" s="7"/>
      <c r="E756" s="72"/>
      <c r="F756" s="3"/>
      <c r="G756" s="59">
        <f>G757+G764+G771+G778+G785+G792+G799</f>
        <v>700</v>
      </c>
      <c r="H756" s="59">
        <f>H757+H764+H771+H778+H785+H792+H799</f>
        <v>700</v>
      </c>
    </row>
    <row r="757" spans="1:8" ht="31.5" x14ac:dyDescent="0.25">
      <c r="A757" s="23" t="s">
        <v>1104</v>
      </c>
      <c r="B757" s="24" t="s">
        <v>1106</v>
      </c>
      <c r="C757" s="40"/>
      <c r="D757" s="40"/>
      <c r="E757" s="40"/>
      <c r="F757" s="2"/>
      <c r="G757" s="59">
        <f>G758</f>
        <v>700</v>
      </c>
      <c r="H757" s="59">
        <f>H758</f>
        <v>700</v>
      </c>
    </row>
    <row r="758" spans="1:8" ht="15.75" x14ac:dyDescent="0.25">
      <c r="A758" s="29" t="s">
        <v>405</v>
      </c>
      <c r="B758" s="40" t="s">
        <v>1106</v>
      </c>
      <c r="C758" s="40" t="s">
        <v>249</v>
      </c>
      <c r="D758" s="40"/>
      <c r="E758" s="73"/>
      <c r="F758" s="2"/>
      <c r="G758" s="10">
        <f t="shared" ref="G758:H758" si="107">G759</f>
        <v>700</v>
      </c>
      <c r="H758" s="10">
        <f t="shared" si="107"/>
        <v>700</v>
      </c>
    </row>
    <row r="759" spans="1:8" ht="15.75" x14ac:dyDescent="0.25">
      <c r="A759" s="29" t="s">
        <v>532</v>
      </c>
      <c r="B759" s="40" t="s">
        <v>1106</v>
      </c>
      <c r="C759" s="40" t="s">
        <v>249</v>
      </c>
      <c r="D759" s="40" t="s">
        <v>228</v>
      </c>
      <c r="E759" s="73"/>
      <c r="F759" s="2"/>
      <c r="G759" s="10">
        <f>G760</f>
        <v>700</v>
      </c>
      <c r="H759" s="10">
        <f>H760</f>
        <v>700</v>
      </c>
    </row>
    <row r="760" spans="1:8" ht="15.75" x14ac:dyDescent="0.25">
      <c r="A760" s="45" t="s">
        <v>536</v>
      </c>
      <c r="B760" s="20" t="s">
        <v>1107</v>
      </c>
      <c r="C760" s="40" t="s">
        <v>249</v>
      </c>
      <c r="D760" s="40" t="s">
        <v>228</v>
      </c>
      <c r="E760" s="40"/>
      <c r="F760" s="2"/>
      <c r="G760" s="10">
        <f t="shared" ref="G760:H761" si="108">G761</f>
        <v>700</v>
      </c>
      <c r="H760" s="10">
        <f t="shared" si="108"/>
        <v>700</v>
      </c>
    </row>
    <row r="761" spans="1:8" ht="47.25" x14ac:dyDescent="0.25">
      <c r="A761" s="31" t="s">
        <v>146</v>
      </c>
      <c r="B761" s="20" t="s">
        <v>1107</v>
      </c>
      <c r="C761" s="40" t="s">
        <v>249</v>
      </c>
      <c r="D761" s="40" t="s">
        <v>228</v>
      </c>
      <c r="E761" s="40" t="s">
        <v>147</v>
      </c>
      <c r="F761" s="2"/>
      <c r="G761" s="10">
        <f t="shared" si="108"/>
        <v>700</v>
      </c>
      <c r="H761" s="10">
        <f t="shared" si="108"/>
        <v>700</v>
      </c>
    </row>
    <row r="762" spans="1:8" ht="63" x14ac:dyDescent="0.25">
      <c r="A762" s="31" t="s">
        <v>148</v>
      </c>
      <c r="B762" s="20" t="s">
        <v>1107</v>
      </c>
      <c r="C762" s="40" t="s">
        <v>249</v>
      </c>
      <c r="D762" s="40" t="s">
        <v>228</v>
      </c>
      <c r="E762" s="40" t="s">
        <v>149</v>
      </c>
      <c r="F762" s="2"/>
      <c r="G762" s="10">
        <f>'пр.6.1.ведом.21-22'!G922</f>
        <v>700</v>
      </c>
      <c r="H762" s="10">
        <f>'пр.6.1.ведом.21-22'!H922</f>
        <v>700</v>
      </c>
    </row>
    <row r="763" spans="1:8" ht="63" x14ac:dyDescent="0.25">
      <c r="A763" s="45" t="s">
        <v>639</v>
      </c>
      <c r="B763" s="20" t="s">
        <v>1107</v>
      </c>
      <c r="C763" s="40" t="s">
        <v>249</v>
      </c>
      <c r="D763" s="40" t="s">
        <v>228</v>
      </c>
      <c r="E763" s="40" t="s">
        <v>149</v>
      </c>
      <c r="F763" s="2">
        <v>908</v>
      </c>
      <c r="G763" s="6">
        <f>G762</f>
        <v>700</v>
      </c>
      <c r="H763" s="6">
        <f>H762</f>
        <v>700</v>
      </c>
    </row>
    <row r="764" spans="1:8" ht="31.5" hidden="1" x14ac:dyDescent="0.25">
      <c r="A764" s="34" t="s">
        <v>1108</v>
      </c>
      <c r="B764" s="24" t="s">
        <v>1109</v>
      </c>
      <c r="C764" s="40"/>
      <c r="D764" s="40"/>
      <c r="E764" s="40"/>
      <c r="F764" s="2"/>
      <c r="G764" s="59">
        <f>G765</f>
        <v>0</v>
      </c>
      <c r="H764" s="59">
        <f>H765</f>
        <v>0</v>
      </c>
    </row>
    <row r="765" spans="1:8" ht="15.75" hidden="1" x14ac:dyDescent="0.25">
      <c r="A765" s="29" t="s">
        <v>405</v>
      </c>
      <c r="B765" s="40" t="s">
        <v>1109</v>
      </c>
      <c r="C765" s="40" t="s">
        <v>249</v>
      </c>
      <c r="D765" s="40"/>
      <c r="E765" s="73"/>
      <c r="F765" s="2"/>
      <c r="G765" s="10">
        <f t="shared" ref="G765:H765" si="109">G766</f>
        <v>0</v>
      </c>
      <c r="H765" s="10">
        <f t="shared" si="109"/>
        <v>0</v>
      </c>
    </row>
    <row r="766" spans="1:8" ht="15.75" hidden="1" x14ac:dyDescent="0.25">
      <c r="A766" s="29" t="s">
        <v>532</v>
      </c>
      <c r="B766" s="40" t="s">
        <v>1109</v>
      </c>
      <c r="C766" s="40" t="s">
        <v>249</v>
      </c>
      <c r="D766" s="40" t="s">
        <v>228</v>
      </c>
      <c r="E766" s="73"/>
      <c r="F766" s="2"/>
      <c r="G766" s="10">
        <f>G767</f>
        <v>0</v>
      </c>
      <c r="H766" s="10">
        <f>H767</f>
        <v>0</v>
      </c>
    </row>
    <row r="767" spans="1:8" ht="15.75" hidden="1" x14ac:dyDescent="0.25">
      <c r="A767" s="45" t="s">
        <v>538</v>
      </c>
      <c r="B767" s="20" t="s">
        <v>1112</v>
      </c>
      <c r="C767" s="40" t="s">
        <v>249</v>
      </c>
      <c r="D767" s="40" t="s">
        <v>228</v>
      </c>
      <c r="E767" s="40"/>
      <c r="F767" s="2"/>
      <c r="G767" s="10">
        <f>G768</f>
        <v>0</v>
      </c>
      <c r="H767" s="10">
        <f>H768</f>
        <v>0</v>
      </c>
    </row>
    <row r="768" spans="1:8" ht="47.25" hidden="1" x14ac:dyDescent="0.25">
      <c r="A768" s="31" t="s">
        <v>146</v>
      </c>
      <c r="B768" s="20" t="s">
        <v>1112</v>
      </c>
      <c r="C768" s="40" t="s">
        <v>249</v>
      </c>
      <c r="D768" s="40" t="s">
        <v>228</v>
      </c>
      <c r="E768" s="40" t="s">
        <v>147</v>
      </c>
      <c r="F768" s="2"/>
      <c r="G768" s="10">
        <f t="shared" ref="G768:H768" si="110">G769</f>
        <v>0</v>
      </c>
      <c r="H768" s="10">
        <f t="shared" si="110"/>
        <v>0</v>
      </c>
    </row>
    <row r="769" spans="1:8" ht="63" hidden="1" x14ac:dyDescent="0.25">
      <c r="A769" s="31" t="s">
        <v>148</v>
      </c>
      <c r="B769" s="20" t="s">
        <v>1112</v>
      </c>
      <c r="C769" s="40" t="s">
        <v>249</v>
      </c>
      <c r="D769" s="40" t="s">
        <v>228</v>
      </c>
      <c r="E769" s="40" t="s">
        <v>149</v>
      </c>
      <c r="F769" s="2"/>
      <c r="G769" s="10">
        <f>'пр.6.1.ведом.21-22'!G926</f>
        <v>0</v>
      </c>
      <c r="H769" s="10">
        <f>'пр.6.1.ведом.21-22'!H926</f>
        <v>0</v>
      </c>
    </row>
    <row r="770" spans="1:8" ht="63" hidden="1" x14ac:dyDescent="0.25">
      <c r="A770" s="45" t="s">
        <v>639</v>
      </c>
      <c r="B770" s="20" t="s">
        <v>1112</v>
      </c>
      <c r="C770" s="40" t="s">
        <v>249</v>
      </c>
      <c r="D770" s="40" t="s">
        <v>228</v>
      </c>
      <c r="E770" s="40" t="s">
        <v>149</v>
      </c>
      <c r="F770" s="2">
        <v>908</v>
      </c>
      <c r="G770" s="6">
        <f>G769</f>
        <v>0</v>
      </c>
      <c r="H770" s="6">
        <f>H769</f>
        <v>0</v>
      </c>
    </row>
    <row r="771" spans="1:8" ht="47.25" hidden="1" x14ac:dyDescent="0.25">
      <c r="A771" s="58" t="s">
        <v>1110</v>
      </c>
      <c r="B771" s="24" t="s">
        <v>1111</v>
      </c>
      <c r="C771" s="40"/>
      <c r="D771" s="40"/>
      <c r="E771" s="40"/>
      <c r="F771" s="2"/>
      <c r="G771" s="59">
        <f>G772</f>
        <v>0</v>
      </c>
      <c r="H771" s="59">
        <f>H772</f>
        <v>0</v>
      </c>
    </row>
    <row r="772" spans="1:8" ht="15.75" hidden="1" x14ac:dyDescent="0.25">
      <c r="A772" s="29" t="s">
        <v>405</v>
      </c>
      <c r="B772" s="40" t="s">
        <v>1111</v>
      </c>
      <c r="C772" s="40" t="s">
        <v>249</v>
      </c>
      <c r="D772" s="40"/>
      <c r="E772" s="73"/>
      <c r="F772" s="2"/>
      <c r="G772" s="10">
        <f t="shared" ref="G772:H772" si="111">G773</f>
        <v>0</v>
      </c>
      <c r="H772" s="10">
        <f t="shared" si="111"/>
        <v>0</v>
      </c>
    </row>
    <row r="773" spans="1:8" ht="15.75" hidden="1" x14ac:dyDescent="0.25">
      <c r="A773" s="29" t="s">
        <v>532</v>
      </c>
      <c r="B773" s="40" t="s">
        <v>1111</v>
      </c>
      <c r="C773" s="40" t="s">
        <v>249</v>
      </c>
      <c r="D773" s="40" t="s">
        <v>228</v>
      </c>
      <c r="E773" s="73"/>
      <c r="F773" s="2"/>
      <c r="G773" s="10">
        <f>G774</f>
        <v>0</v>
      </c>
      <c r="H773" s="10">
        <f>H774</f>
        <v>0</v>
      </c>
    </row>
    <row r="774" spans="1:8" ht="15.75" hidden="1" x14ac:dyDescent="0.25">
      <c r="A774" s="45" t="s">
        <v>540</v>
      </c>
      <c r="B774" s="20" t="s">
        <v>1113</v>
      </c>
      <c r="C774" s="40" t="s">
        <v>249</v>
      </c>
      <c r="D774" s="40" t="s">
        <v>228</v>
      </c>
      <c r="E774" s="40"/>
      <c r="F774" s="2"/>
      <c r="G774" s="10">
        <f>G775</f>
        <v>0</v>
      </c>
      <c r="H774" s="10">
        <f>H775</f>
        <v>0</v>
      </c>
    </row>
    <row r="775" spans="1:8" ht="47.25" hidden="1" x14ac:dyDescent="0.25">
      <c r="A775" s="31" t="s">
        <v>146</v>
      </c>
      <c r="B775" s="20" t="s">
        <v>1113</v>
      </c>
      <c r="C775" s="40" t="s">
        <v>249</v>
      </c>
      <c r="D775" s="40" t="s">
        <v>228</v>
      </c>
      <c r="E775" s="40" t="s">
        <v>147</v>
      </c>
      <c r="F775" s="2"/>
      <c r="G775" s="10">
        <f t="shared" ref="G775:H775" si="112">G776</f>
        <v>0</v>
      </c>
      <c r="H775" s="10">
        <f t="shared" si="112"/>
        <v>0</v>
      </c>
    </row>
    <row r="776" spans="1:8" ht="63" hidden="1" x14ac:dyDescent="0.25">
      <c r="A776" s="31" t="s">
        <v>148</v>
      </c>
      <c r="B776" s="20" t="s">
        <v>1113</v>
      </c>
      <c r="C776" s="40" t="s">
        <v>249</v>
      </c>
      <c r="D776" s="40" t="s">
        <v>228</v>
      </c>
      <c r="E776" s="40" t="s">
        <v>149</v>
      </c>
      <c r="F776" s="2"/>
      <c r="G776" s="10">
        <f>'пр.6.1.ведом.21-22'!G930</f>
        <v>0</v>
      </c>
      <c r="H776" s="10">
        <f>'пр.6.1.ведом.21-22'!H930</f>
        <v>0</v>
      </c>
    </row>
    <row r="777" spans="1:8" ht="63" hidden="1" x14ac:dyDescent="0.25">
      <c r="A777" s="45" t="s">
        <v>639</v>
      </c>
      <c r="B777" s="20" t="s">
        <v>1113</v>
      </c>
      <c r="C777" s="40" t="s">
        <v>249</v>
      </c>
      <c r="D777" s="40" t="s">
        <v>228</v>
      </c>
      <c r="E777" s="40" t="s">
        <v>149</v>
      </c>
      <c r="F777" s="2">
        <v>908</v>
      </c>
      <c r="G777" s="6">
        <f>G776</f>
        <v>0</v>
      </c>
      <c r="H777" s="6">
        <f>H776</f>
        <v>0</v>
      </c>
    </row>
    <row r="778" spans="1:8" ht="47.25" hidden="1" x14ac:dyDescent="0.25">
      <c r="A778" s="58" t="s">
        <v>1114</v>
      </c>
      <c r="B778" s="24" t="s">
        <v>1115</v>
      </c>
      <c r="C778" s="40"/>
      <c r="D778" s="40"/>
      <c r="E778" s="40"/>
      <c r="F778" s="2"/>
      <c r="G778" s="59">
        <f t="shared" ref="G778:H780" si="113">G779</f>
        <v>0</v>
      </c>
      <c r="H778" s="59">
        <f t="shared" si="113"/>
        <v>0</v>
      </c>
    </row>
    <row r="779" spans="1:8" ht="15.75" hidden="1" x14ac:dyDescent="0.25">
      <c r="A779" s="29" t="s">
        <v>405</v>
      </c>
      <c r="B779" s="40" t="s">
        <v>1115</v>
      </c>
      <c r="C779" s="40" t="s">
        <v>249</v>
      </c>
      <c r="D779" s="40"/>
      <c r="E779" s="73"/>
      <c r="F779" s="2"/>
      <c r="G779" s="10">
        <f t="shared" si="113"/>
        <v>0</v>
      </c>
      <c r="H779" s="10">
        <f t="shared" si="113"/>
        <v>0</v>
      </c>
    </row>
    <row r="780" spans="1:8" ht="15.75" hidden="1" x14ac:dyDescent="0.25">
      <c r="A780" s="29" t="s">
        <v>532</v>
      </c>
      <c r="B780" s="40" t="s">
        <v>1115</v>
      </c>
      <c r="C780" s="40" t="s">
        <v>249</v>
      </c>
      <c r="D780" s="40" t="s">
        <v>228</v>
      </c>
      <c r="E780" s="73"/>
      <c r="F780" s="2"/>
      <c r="G780" s="10">
        <f t="shared" si="113"/>
        <v>0</v>
      </c>
      <c r="H780" s="10">
        <f t="shared" si="113"/>
        <v>0</v>
      </c>
    </row>
    <row r="781" spans="1:8" ht="31.5" hidden="1" x14ac:dyDescent="0.25">
      <c r="A781" s="45" t="s">
        <v>542</v>
      </c>
      <c r="B781" s="20" t="s">
        <v>1116</v>
      </c>
      <c r="C781" s="40" t="s">
        <v>249</v>
      </c>
      <c r="D781" s="40" t="s">
        <v>228</v>
      </c>
      <c r="E781" s="40"/>
      <c r="F781" s="2"/>
      <c r="G781" s="10">
        <f t="shared" ref="G781:H782" si="114">G782</f>
        <v>0</v>
      </c>
      <c r="H781" s="10">
        <f t="shared" si="114"/>
        <v>0</v>
      </c>
    </row>
    <row r="782" spans="1:8" ht="47.25" hidden="1" x14ac:dyDescent="0.25">
      <c r="A782" s="31" t="s">
        <v>146</v>
      </c>
      <c r="B782" s="20" t="s">
        <v>1116</v>
      </c>
      <c r="C782" s="40" t="s">
        <v>249</v>
      </c>
      <c r="D782" s="40" t="s">
        <v>228</v>
      </c>
      <c r="E782" s="40" t="s">
        <v>147</v>
      </c>
      <c r="F782" s="2"/>
      <c r="G782" s="10">
        <f t="shared" si="114"/>
        <v>0</v>
      </c>
      <c r="H782" s="10">
        <f t="shared" si="114"/>
        <v>0</v>
      </c>
    </row>
    <row r="783" spans="1:8" ht="63" hidden="1" x14ac:dyDescent="0.25">
      <c r="A783" s="31" t="s">
        <v>148</v>
      </c>
      <c r="B783" s="20" t="s">
        <v>1116</v>
      </c>
      <c r="C783" s="40" t="s">
        <v>249</v>
      </c>
      <c r="D783" s="40" t="s">
        <v>228</v>
      </c>
      <c r="E783" s="40" t="s">
        <v>149</v>
      </c>
      <c r="F783" s="2"/>
      <c r="G783" s="10">
        <f>'пр.6.1.ведом.21-22'!G934</f>
        <v>0</v>
      </c>
      <c r="H783" s="10">
        <f>'пр.6.1.ведом.21-22'!H934</f>
        <v>0</v>
      </c>
    </row>
    <row r="784" spans="1:8" ht="63" hidden="1" x14ac:dyDescent="0.25">
      <c r="A784" s="45" t="s">
        <v>639</v>
      </c>
      <c r="B784" s="20" t="s">
        <v>1116</v>
      </c>
      <c r="C784" s="40" t="s">
        <v>249</v>
      </c>
      <c r="D784" s="40" t="s">
        <v>228</v>
      </c>
      <c r="E784" s="40" t="s">
        <v>149</v>
      </c>
      <c r="F784" s="2">
        <v>908</v>
      </c>
      <c r="G784" s="6">
        <f>G783</f>
        <v>0</v>
      </c>
      <c r="H784" s="6">
        <f>H783</f>
        <v>0</v>
      </c>
    </row>
    <row r="785" spans="1:8" ht="47.25" hidden="1" x14ac:dyDescent="0.25">
      <c r="A785" s="34" t="s">
        <v>1178</v>
      </c>
      <c r="B785" s="24" t="s">
        <v>1179</v>
      </c>
      <c r="C785" s="40"/>
      <c r="D785" s="40"/>
      <c r="E785" s="40"/>
      <c r="F785" s="2"/>
      <c r="G785" s="59">
        <f>G786</f>
        <v>0</v>
      </c>
      <c r="H785" s="59">
        <f>H786</f>
        <v>0</v>
      </c>
    </row>
    <row r="786" spans="1:8" ht="15.75" hidden="1" x14ac:dyDescent="0.25">
      <c r="A786" s="29" t="s">
        <v>405</v>
      </c>
      <c r="B786" s="40" t="s">
        <v>533</v>
      </c>
      <c r="C786" s="40" t="s">
        <v>249</v>
      </c>
      <c r="D786" s="40"/>
      <c r="E786" s="73"/>
      <c r="F786" s="2"/>
      <c r="G786" s="10">
        <f t="shared" ref="G786:H786" si="115">G787</f>
        <v>0</v>
      </c>
      <c r="H786" s="10">
        <f t="shared" si="115"/>
        <v>0</v>
      </c>
    </row>
    <row r="787" spans="1:8" ht="15.75" hidden="1" x14ac:dyDescent="0.25">
      <c r="A787" s="29" t="s">
        <v>532</v>
      </c>
      <c r="B787" s="40" t="s">
        <v>533</v>
      </c>
      <c r="C787" s="40" t="s">
        <v>249</v>
      </c>
      <c r="D787" s="40" t="s">
        <v>228</v>
      </c>
      <c r="E787" s="73"/>
      <c r="F787" s="2"/>
      <c r="G787" s="10">
        <f>G788</f>
        <v>0</v>
      </c>
      <c r="H787" s="10">
        <f>H788</f>
        <v>0</v>
      </c>
    </row>
    <row r="788" spans="1:8" ht="15.75" hidden="1" x14ac:dyDescent="0.25">
      <c r="A788" s="45" t="s">
        <v>544</v>
      </c>
      <c r="B788" s="20" t="s">
        <v>1182</v>
      </c>
      <c r="C788" s="40" t="s">
        <v>249</v>
      </c>
      <c r="D788" s="40" t="s">
        <v>228</v>
      </c>
      <c r="E788" s="40"/>
      <c r="F788" s="2"/>
      <c r="G788" s="10">
        <f t="shared" ref="G788:H789" si="116">G789</f>
        <v>0</v>
      </c>
      <c r="H788" s="10">
        <f t="shared" si="116"/>
        <v>0</v>
      </c>
    </row>
    <row r="789" spans="1:8" ht="47.25" hidden="1" x14ac:dyDescent="0.25">
      <c r="A789" s="31" t="s">
        <v>146</v>
      </c>
      <c r="B789" s="20" t="s">
        <v>1182</v>
      </c>
      <c r="C789" s="40" t="s">
        <v>249</v>
      </c>
      <c r="D789" s="40" t="s">
        <v>228</v>
      </c>
      <c r="E789" s="40" t="s">
        <v>147</v>
      </c>
      <c r="F789" s="2"/>
      <c r="G789" s="10">
        <f t="shared" si="116"/>
        <v>0</v>
      </c>
      <c r="H789" s="10">
        <f t="shared" si="116"/>
        <v>0</v>
      </c>
    </row>
    <row r="790" spans="1:8" ht="63" hidden="1" x14ac:dyDescent="0.25">
      <c r="A790" s="31" t="s">
        <v>148</v>
      </c>
      <c r="B790" s="20" t="s">
        <v>1182</v>
      </c>
      <c r="C790" s="40" t="s">
        <v>249</v>
      </c>
      <c r="D790" s="40" t="s">
        <v>228</v>
      </c>
      <c r="E790" s="40" t="s">
        <v>149</v>
      </c>
      <c r="F790" s="2"/>
      <c r="G790" s="10">
        <f>'пр.6.1.ведом.21-22'!G938</f>
        <v>0</v>
      </c>
      <c r="H790" s="10">
        <f>'пр.6.1.ведом.21-22'!H938</f>
        <v>0</v>
      </c>
    </row>
    <row r="791" spans="1:8" ht="63" hidden="1" x14ac:dyDescent="0.25">
      <c r="A791" s="45" t="s">
        <v>639</v>
      </c>
      <c r="B791" s="20" t="s">
        <v>1182</v>
      </c>
      <c r="C791" s="40" t="s">
        <v>249</v>
      </c>
      <c r="D791" s="40" t="s">
        <v>228</v>
      </c>
      <c r="E791" s="40" t="s">
        <v>149</v>
      </c>
      <c r="F791" s="2">
        <v>908</v>
      </c>
      <c r="G791" s="6">
        <f>G790</f>
        <v>0</v>
      </c>
      <c r="H791" s="6">
        <f>H790</f>
        <v>0</v>
      </c>
    </row>
    <row r="792" spans="1:8" ht="63" hidden="1" x14ac:dyDescent="0.25">
      <c r="A792" s="282" t="s">
        <v>1180</v>
      </c>
      <c r="B792" s="24" t="s">
        <v>1181</v>
      </c>
      <c r="C792" s="40"/>
      <c r="D792" s="40"/>
      <c r="E792" s="40"/>
      <c r="F792" s="2"/>
      <c r="G792" s="59">
        <f>G793</f>
        <v>0</v>
      </c>
      <c r="H792" s="59">
        <f>H793</f>
        <v>0</v>
      </c>
    </row>
    <row r="793" spans="1:8" ht="15.75" hidden="1" x14ac:dyDescent="0.25">
      <c r="A793" s="29" t="s">
        <v>405</v>
      </c>
      <c r="B793" s="40" t="s">
        <v>533</v>
      </c>
      <c r="C793" s="40" t="s">
        <v>249</v>
      </c>
      <c r="D793" s="40"/>
      <c r="E793" s="73"/>
      <c r="F793" s="2"/>
      <c r="G793" s="10">
        <f t="shared" ref="G793:H793" si="117">G794</f>
        <v>0</v>
      </c>
      <c r="H793" s="10">
        <f t="shared" si="117"/>
        <v>0</v>
      </c>
    </row>
    <row r="794" spans="1:8" ht="15.75" hidden="1" x14ac:dyDescent="0.25">
      <c r="A794" s="29" t="s">
        <v>532</v>
      </c>
      <c r="B794" s="40" t="s">
        <v>533</v>
      </c>
      <c r="C794" s="40" t="s">
        <v>249</v>
      </c>
      <c r="D794" s="40" t="s">
        <v>228</v>
      </c>
      <c r="E794" s="73"/>
      <c r="F794" s="2"/>
      <c r="G794" s="10">
        <f>G795</f>
        <v>0</v>
      </c>
      <c r="H794" s="10">
        <f>H795</f>
        <v>0</v>
      </c>
    </row>
    <row r="795" spans="1:8" ht="47.25" hidden="1" x14ac:dyDescent="0.25">
      <c r="A795" s="180" t="s">
        <v>546</v>
      </c>
      <c r="B795" s="20" t="s">
        <v>1183</v>
      </c>
      <c r="C795" s="40" t="s">
        <v>249</v>
      </c>
      <c r="D795" s="40" t="s">
        <v>228</v>
      </c>
      <c r="E795" s="40"/>
      <c r="F795" s="2"/>
      <c r="G795" s="10">
        <f t="shared" ref="G795:H796" si="118">G796</f>
        <v>0</v>
      </c>
      <c r="H795" s="10">
        <f t="shared" si="118"/>
        <v>0</v>
      </c>
    </row>
    <row r="796" spans="1:8" ht="47.25" hidden="1" x14ac:dyDescent="0.25">
      <c r="A796" s="31" t="s">
        <v>146</v>
      </c>
      <c r="B796" s="20" t="s">
        <v>1183</v>
      </c>
      <c r="C796" s="40" t="s">
        <v>249</v>
      </c>
      <c r="D796" s="40" t="s">
        <v>228</v>
      </c>
      <c r="E796" s="40" t="s">
        <v>147</v>
      </c>
      <c r="F796" s="2"/>
      <c r="G796" s="10">
        <f t="shared" si="118"/>
        <v>0</v>
      </c>
      <c r="H796" s="10">
        <f t="shared" si="118"/>
        <v>0</v>
      </c>
    </row>
    <row r="797" spans="1:8" ht="63" hidden="1" x14ac:dyDescent="0.25">
      <c r="A797" s="31" t="s">
        <v>148</v>
      </c>
      <c r="B797" s="20" t="s">
        <v>1183</v>
      </c>
      <c r="C797" s="40" t="s">
        <v>249</v>
      </c>
      <c r="D797" s="40" t="s">
        <v>228</v>
      </c>
      <c r="E797" s="40" t="s">
        <v>149</v>
      </c>
      <c r="F797" s="2"/>
      <c r="G797" s="10">
        <f>'пр.6.1.ведом.21-22'!G942</f>
        <v>0</v>
      </c>
      <c r="H797" s="10">
        <f>'пр.6.1.ведом.21-22'!H942</f>
        <v>0</v>
      </c>
    </row>
    <row r="798" spans="1:8" ht="63" hidden="1" x14ac:dyDescent="0.25">
      <c r="A798" s="45" t="s">
        <v>639</v>
      </c>
      <c r="B798" s="20" t="s">
        <v>1183</v>
      </c>
      <c r="C798" s="40" t="s">
        <v>249</v>
      </c>
      <c r="D798" s="40" t="s">
        <v>228</v>
      </c>
      <c r="E798" s="40" t="s">
        <v>149</v>
      </c>
      <c r="F798" s="2">
        <v>908</v>
      </c>
      <c r="G798" s="6">
        <f>G797</f>
        <v>0</v>
      </c>
      <c r="H798" s="6">
        <f>H797</f>
        <v>0</v>
      </c>
    </row>
    <row r="799" spans="1:8" ht="47.25" hidden="1" x14ac:dyDescent="0.25">
      <c r="A799" s="282" t="s">
        <v>1118</v>
      </c>
      <c r="B799" s="24" t="s">
        <v>1119</v>
      </c>
      <c r="C799" s="40"/>
      <c r="D799" s="40"/>
      <c r="E799" s="40"/>
      <c r="F799" s="2"/>
      <c r="G799" s="59">
        <f t="shared" ref="G799:H801" si="119">G800</f>
        <v>0</v>
      </c>
      <c r="H799" s="59">
        <f t="shared" si="119"/>
        <v>0</v>
      </c>
    </row>
    <row r="800" spans="1:8" ht="15.75" hidden="1" x14ac:dyDescent="0.25">
      <c r="A800" s="29" t="s">
        <v>405</v>
      </c>
      <c r="B800" s="40" t="s">
        <v>533</v>
      </c>
      <c r="C800" s="40" t="s">
        <v>249</v>
      </c>
      <c r="D800" s="40"/>
      <c r="E800" s="73"/>
      <c r="F800" s="2"/>
      <c r="G800" s="10">
        <f t="shared" si="119"/>
        <v>0</v>
      </c>
      <c r="H800" s="10">
        <f t="shared" si="119"/>
        <v>0</v>
      </c>
    </row>
    <row r="801" spans="1:8" ht="15.75" hidden="1" x14ac:dyDescent="0.25">
      <c r="A801" s="29" t="s">
        <v>532</v>
      </c>
      <c r="B801" s="40" t="s">
        <v>533</v>
      </c>
      <c r="C801" s="40" t="s">
        <v>249</v>
      </c>
      <c r="D801" s="40" t="s">
        <v>228</v>
      </c>
      <c r="E801" s="73"/>
      <c r="F801" s="2"/>
      <c r="G801" s="10">
        <f t="shared" si="119"/>
        <v>0</v>
      </c>
      <c r="H801" s="10">
        <f t="shared" si="119"/>
        <v>0</v>
      </c>
    </row>
    <row r="802" spans="1:8" ht="31.5" hidden="1" x14ac:dyDescent="0.25">
      <c r="A802" s="180" t="s">
        <v>548</v>
      </c>
      <c r="B802" s="20" t="s">
        <v>1117</v>
      </c>
      <c r="C802" s="40" t="s">
        <v>249</v>
      </c>
      <c r="D802" s="40" t="s">
        <v>228</v>
      </c>
      <c r="E802" s="40"/>
      <c r="F802" s="2"/>
      <c r="G802" s="10">
        <f t="shared" ref="G802:H803" si="120">G803</f>
        <v>0</v>
      </c>
      <c r="H802" s="10">
        <f t="shared" si="120"/>
        <v>0</v>
      </c>
    </row>
    <row r="803" spans="1:8" ht="47.25" hidden="1" x14ac:dyDescent="0.3">
      <c r="A803" s="25" t="s">
        <v>146</v>
      </c>
      <c r="B803" s="20" t="s">
        <v>1117</v>
      </c>
      <c r="C803" s="40" t="s">
        <v>249</v>
      </c>
      <c r="D803" s="40" t="s">
        <v>228</v>
      </c>
      <c r="E803" s="2">
        <v>200</v>
      </c>
      <c r="F803" s="77"/>
      <c r="G803" s="6">
        <f t="shared" si="120"/>
        <v>0</v>
      </c>
      <c r="H803" s="6">
        <f t="shared" si="120"/>
        <v>0</v>
      </c>
    </row>
    <row r="804" spans="1:8" ht="63" hidden="1" x14ac:dyDescent="0.3">
      <c r="A804" s="25" t="s">
        <v>148</v>
      </c>
      <c r="B804" s="20" t="s">
        <v>1117</v>
      </c>
      <c r="C804" s="40" t="s">
        <v>249</v>
      </c>
      <c r="D804" s="40" t="s">
        <v>228</v>
      </c>
      <c r="E804" s="2">
        <v>240</v>
      </c>
      <c r="F804" s="77"/>
      <c r="G804" s="6">
        <f>'пр.6.1.ведом.21-22'!G946</f>
        <v>0</v>
      </c>
      <c r="H804" s="6">
        <f>'пр.6.1.ведом.21-22'!H946</f>
        <v>0</v>
      </c>
    </row>
    <row r="805" spans="1:8" ht="63" hidden="1" x14ac:dyDescent="0.25">
      <c r="A805" s="45" t="s">
        <v>639</v>
      </c>
      <c r="B805" s="20" t="s">
        <v>1117</v>
      </c>
      <c r="C805" s="40" t="s">
        <v>249</v>
      </c>
      <c r="D805" s="40" t="s">
        <v>228</v>
      </c>
      <c r="E805" s="2">
        <v>240</v>
      </c>
      <c r="F805" s="2">
        <v>908</v>
      </c>
      <c r="G805" s="6">
        <f>G804</f>
        <v>0</v>
      </c>
      <c r="H805" s="6">
        <f>H804</f>
        <v>0</v>
      </c>
    </row>
    <row r="806" spans="1:8" ht="63" x14ac:dyDescent="0.25">
      <c r="A806" s="23" t="s">
        <v>349</v>
      </c>
      <c r="B806" s="24" t="s">
        <v>350</v>
      </c>
      <c r="C806" s="7"/>
      <c r="D806" s="7"/>
      <c r="E806" s="3"/>
      <c r="F806" s="3"/>
      <c r="G806" s="4">
        <f t="shared" ref="G806:H808" si="121">G807</f>
        <v>175</v>
      </c>
      <c r="H806" s="4">
        <f t="shared" si="121"/>
        <v>175</v>
      </c>
    </row>
    <row r="807" spans="1:8" ht="63" x14ac:dyDescent="0.25">
      <c r="A807" s="23" t="s">
        <v>1236</v>
      </c>
      <c r="B807" s="24" t="s">
        <v>1237</v>
      </c>
      <c r="C807" s="7"/>
      <c r="D807" s="7"/>
      <c r="E807" s="3"/>
      <c r="F807" s="3"/>
      <c r="G807" s="4">
        <f t="shared" si="121"/>
        <v>175</v>
      </c>
      <c r="H807" s="4">
        <f t="shared" si="121"/>
        <v>175</v>
      </c>
    </row>
    <row r="808" spans="1:8" ht="15.75" x14ac:dyDescent="0.25">
      <c r="A808" s="29" t="s">
        <v>132</v>
      </c>
      <c r="B808" s="20" t="s">
        <v>1237</v>
      </c>
      <c r="C808" s="40" t="s">
        <v>133</v>
      </c>
      <c r="D808" s="40"/>
      <c r="E808" s="2"/>
      <c r="F808" s="2"/>
      <c r="G808" s="6">
        <f t="shared" si="121"/>
        <v>175</v>
      </c>
      <c r="H808" s="6">
        <f t="shared" si="121"/>
        <v>175</v>
      </c>
    </row>
    <row r="809" spans="1:8" ht="31.5" x14ac:dyDescent="0.25">
      <c r="A809" s="29" t="s">
        <v>154</v>
      </c>
      <c r="B809" s="20" t="s">
        <v>1237</v>
      </c>
      <c r="C809" s="40" t="s">
        <v>133</v>
      </c>
      <c r="D809" s="40" t="s">
        <v>155</v>
      </c>
      <c r="E809" s="2"/>
      <c r="F809" s="2"/>
      <c r="G809" s="6">
        <f>G810+G817+G821+G825+G829+G833+G837</f>
        <v>175</v>
      </c>
      <c r="H809" s="6">
        <f>H810+H817+H821+H825+H829+H833+H837</f>
        <v>175</v>
      </c>
    </row>
    <row r="810" spans="1:8" ht="47.25" x14ac:dyDescent="0.25">
      <c r="A810" s="25" t="s">
        <v>351</v>
      </c>
      <c r="B810" s="20" t="s">
        <v>1238</v>
      </c>
      <c r="C810" s="40" t="s">
        <v>133</v>
      </c>
      <c r="D810" s="40" t="s">
        <v>155</v>
      </c>
      <c r="E810" s="2"/>
      <c r="F810" s="2"/>
      <c r="G810" s="6">
        <f>G811+G814</f>
        <v>120</v>
      </c>
      <c r="H810" s="6">
        <f>H811+H814</f>
        <v>120</v>
      </c>
    </row>
    <row r="811" spans="1:8" ht="47.25" x14ac:dyDescent="0.25">
      <c r="A811" s="25" t="s">
        <v>146</v>
      </c>
      <c r="B811" s="20" t="s">
        <v>1238</v>
      </c>
      <c r="C811" s="40" t="s">
        <v>133</v>
      </c>
      <c r="D811" s="40" t="s">
        <v>155</v>
      </c>
      <c r="E811" s="2">
        <v>200</v>
      </c>
      <c r="F811" s="2"/>
      <c r="G811" s="6">
        <f t="shared" ref="G811:H811" si="122">G812</f>
        <v>50</v>
      </c>
      <c r="H811" s="6">
        <f t="shared" si="122"/>
        <v>50</v>
      </c>
    </row>
    <row r="812" spans="1:8" ht="63" x14ac:dyDescent="0.25">
      <c r="A812" s="25" t="s">
        <v>148</v>
      </c>
      <c r="B812" s="20" t="s">
        <v>1238</v>
      </c>
      <c r="C812" s="40" t="s">
        <v>133</v>
      </c>
      <c r="D812" s="40" t="s">
        <v>155</v>
      </c>
      <c r="E812" s="2">
        <v>240</v>
      </c>
      <c r="F812" s="2"/>
      <c r="G812" s="6">
        <f>'пр.6.1.ведом.21-22'!G536</f>
        <v>50</v>
      </c>
      <c r="H812" s="6">
        <f>'пр.6.1.ведом.21-22'!H536</f>
        <v>50</v>
      </c>
    </row>
    <row r="813" spans="1:8" ht="47.25" x14ac:dyDescent="0.25">
      <c r="A813" s="45" t="s">
        <v>418</v>
      </c>
      <c r="B813" s="20" t="s">
        <v>1238</v>
      </c>
      <c r="C813" s="40" t="s">
        <v>133</v>
      </c>
      <c r="D813" s="40" t="s">
        <v>155</v>
      </c>
      <c r="E813" s="2">
        <v>240</v>
      </c>
      <c r="F813" s="2">
        <v>906</v>
      </c>
      <c r="G813" s="6">
        <f>G812</f>
        <v>50</v>
      </c>
      <c r="H813" s="6">
        <f>H812</f>
        <v>50</v>
      </c>
    </row>
    <row r="814" spans="1:8" ht="47.25" x14ac:dyDescent="0.25">
      <c r="A814" s="25" t="s">
        <v>146</v>
      </c>
      <c r="B814" s="20" t="s">
        <v>1238</v>
      </c>
      <c r="C814" s="40" t="s">
        <v>133</v>
      </c>
      <c r="D814" s="40" t="s">
        <v>155</v>
      </c>
      <c r="E814" s="2">
        <v>200</v>
      </c>
      <c r="F814" s="2"/>
      <c r="G814" s="6">
        <f t="shared" ref="G814:H814" si="123">G815</f>
        <v>70</v>
      </c>
      <c r="H814" s="6">
        <f t="shared" si="123"/>
        <v>70</v>
      </c>
    </row>
    <row r="815" spans="1:8" ht="63" x14ac:dyDescent="0.25">
      <c r="A815" s="25" t="s">
        <v>148</v>
      </c>
      <c r="B815" s="20" t="s">
        <v>1238</v>
      </c>
      <c r="C815" s="40" t="s">
        <v>133</v>
      </c>
      <c r="D815" s="40" t="s">
        <v>155</v>
      </c>
      <c r="E815" s="2">
        <v>240</v>
      </c>
      <c r="F815" s="2"/>
      <c r="G815" s="6">
        <f>'пр.6.1.ведом.21-22'!G762</f>
        <v>70</v>
      </c>
      <c r="H815" s="6">
        <f>'пр.6.1.ведом.21-22'!H762</f>
        <v>70</v>
      </c>
    </row>
    <row r="816" spans="1:8" ht="47.25" x14ac:dyDescent="0.25">
      <c r="A816" s="45" t="s">
        <v>495</v>
      </c>
      <c r="B816" s="20" t="s">
        <v>1238</v>
      </c>
      <c r="C816" s="40" t="s">
        <v>133</v>
      </c>
      <c r="D816" s="40" t="s">
        <v>155</v>
      </c>
      <c r="E816" s="2">
        <v>240</v>
      </c>
      <c r="F816" s="2">
        <v>907</v>
      </c>
      <c r="G816" s="6">
        <f>G815</f>
        <v>70</v>
      </c>
      <c r="H816" s="6">
        <f>H815</f>
        <v>70</v>
      </c>
    </row>
    <row r="817" spans="1:8" ht="47.25" hidden="1" x14ac:dyDescent="0.25">
      <c r="A817" s="25" t="s">
        <v>351</v>
      </c>
      <c r="B817" s="20" t="s">
        <v>1243</v>
      </c>
      <c r="C817" s="40" t="s">
        <v>133</v>
      </c>
      <c r="D817" s="40" t="s">
        <v>155</v>
      </c>
      <c r="E817" s="2"/>
      <c r="F817" s="2"/>
      <c r="G817" s="6">
        <f>G818</f>
        <v>0</v>
      </c>
      <c r="H817" s="6">
        <f>H818</f>
        <v>0</v>
      </c>
    </row>
    <row r="818" spans="1:8" ht="47.25" hidden="1" x14ac:dyDescent="0.25">
      <c r="A818" s="25" t="s">
        <v>146</v>
      </c>
      <c r="B818" s="20" t="s">
        <v>1243</v>
      </c>
      <c r="C818" s="40" t="s">
        <v>133</v>
      </c>
      <c r="D818" s="40" t="s">
        <v>155</v>
      </c>
      <c r="E818" s="2">
        <v>200</v>
      </c>
      <c r="F818" s="2"/>
      <c r="G818" s="6">
        <f t="shared" ref="G818:H818" si="124">G819</f>
        <v>0</v>
      </c>
      <c r="H818" s="6">
        <f t="shared" si="124"/>
        <v>0</v>
      </c>
    </row>
    <row r="819" spans="1:8" ht="63" hidden="1" x14ac:dyDescent="0.25">
      <c r="A819" s="25" t="s">
        <v>148</v>
      </c>
      <c r="B819" s="20" t="s">
        <v>1243</v>
      </c>
      <c r="C819" s="40" t="s">
        <v>133</v>
      </c>
      <c r="D819" s="40" t="s">
        <v>155</v>
      </c>
      <c r="E819" s="2">
        <v>240</v>
      </c>
      <c r="F819" s="2"/>
      <c r="G819" s="6">
        <v>0</v>
      </c>
      <c r="H819" s="6">
        <v>0</v>
      </c>
    </row>
    <row r="820" spans="1:8" ht="47.25" hidden="1" x14ac:dyDescent="0.25">
      <c r="A820" s="45" t="s">
        <v>418</v>
      </c>
      <c r="B820" s="20" t="s">
        <v>1243</v>
      </c>
      <c r="C820" s="40" t="s">
        <v>133</v>
      </c>
      <c r="D820" s="40" t="s">
        <v>155</v>
      </c>
      <c r="E820" s="2">
        <v>240</v>
      </c>
      <c r="F820" s="2">
        <v>906</v>
      </c>
      <c r="G820" s="6">
        <f>G819</f>
        <v>0</v>
      </c>
      <c r="H820" s="6">
        <f>H819</f>
        <v>0</v>
      </c>
    </row>
    <row r="821" spans="1:8" ht="31.5" x14ac:dyDescent="0.25">
      <c r="A821" s="25" t="s">
        <v>353</v>
      </c>
      <c r="B821" s="20" t="s">
        <v>1239</v>
      </c>
      <c r="C821" s="40" t="s">
        <v>133</v>
      </c>
      <c r="D821" s="40" t="s">
        <v>155</v>
      </c>
      <c r="E821" s="2"/>
      <c r="F821" s="2"/>
      <c r="G821" s="6">
        <f t="shared" ref="G821:H822" si="125">G822</f>
        <v>25</v>
      </c>
      <c r="H821" s="6">
        <f t="shared" si="125"/>
        <v>25</v>
      </c>
    </row>
    <row r="822" spans="1:8" ht="47.25" x14ac:dyDescent="0.25">
      <c r="A822" s="25" t="s">
        <v>146</v>
      </c>
      <c r="B822" s="20" t="s">
        <v>1239</v>
      </c>
      <c r="C822" s="40" t="s">
        <v>133</v>
      </c>
      <c r="D822" s="40" t="s">
        <v>155</v>
      </c>
      <c r="E822" s="2">
        <v>200</v>
      </c>
      <c r="F822" s="2"/>
      <c r="G822" s="6">
        <f t="shared" si="125"/>
        <v>25</v>
      </c>
      <c r="H822" s="6">
        <f t="shared" si="125"/>
        <v>25</v>
      </c>
    </row>
    <row r="823" spans="1:8" ht="63" x14ac:dyDescent="0.25">
      <c r="A823" s="25" t="s">
        <v>148</v>
      </c>
      <c r="B823" s="20" t="s">
        <v>1239</v>
      </c>
      <c r="C823" s="40" t="s">
        <v>133</v>
      </c>
      <c r="D823" s="40" t="s">
        <v>155</v>
      </c>
      <c r="E823" s="2">
        <v>240</v>
      </c>
      <c r="F823" s="2"/>
      <c r="G823" s="6">
        <f>'пр.6.1.ведом.21-22'!G233</f>
        <v>25</v>
      </c>
      <c r="H823" s="6">
        <f>'пр.6.1.ведом.21-22'!H233</f>
        <v>25</v>
      </c>
    </row>
    <row r="824" spans="1:8" ht="63" x14ac:dyDescent="0.25">
      <c r="A824" s="45" t="s">
        <v>276</v>
      </c>
      <c r="B824" s="20" t="s">
        <v>1239</v>
      </c>
      <c r="C824" s="40" t="s">
        <v>133</v>
      </c>
      <c r="D824" s="40" t="s">
        <v>155</v>
      </c>
      <c r="E824" s="2">
        <v>240</v>
      </c>
      <c r="F824" s="2">
        <v>903</v>
      </c>
      <c r="G824" s="6">
        <f>G823</f>
        <v>25</v>
      </c>
      <c r="H824" s="6">
        <f>H823</f>
        <v>25</v>
      </c>
    </row>
    <row r="825" spans="1:8" ht="63" x14ac:dyDescent="0.25">
      <c r="A825" s="31" t="s">
        <v>793</v>
      </c>
      <c r="B825" s="20" t="s">
        <v>1240</v>
      </c>
      <c r="C825" s="40" t="s">
        <v>133</v>
      </c>
      <c r="D825" s="40" t="s">
        <v>155</v>
      </c>
      <c r="E825" s="2"/>
      <c r="F825" s="2"/>
      <c r="G825" s="6">
        <f t="shared" ref="G825:H826" si="126">G826</f>
        <v>10</v>
      </c>
      <c r="H825" s="6">
        <f t="shared" si="126"/>
        <v>10</v>
      </c>
    </row>
    <row r="826" spans="1:8" ht="47.25" x14ac:dyDescent="0.25">
      <c r="A826" s="25" t="s">
        <v>146</v>
      </c>
      <c r="B826" s="20" t="s">
        <v>1240</v>
      </c>
      <c r="C826" s="20" t="s">
        <v>133</v>
      </c>
      <c r="D826" s="20" t="s">
        <v>155</v>
      </c>
      <c r="E826" s="20" t="s">
        <v>147</v>
      </c>
      <c r="F826" s="184"/>
      <c r="G826" s="6">
        <f t="shared" si="126"/>
        <v>10</v>
      </c>
      <c r="H826" s="6">
        <f t="shared" si="126"/>
        <v>10</v>
      </c>
    </row>
    <row r="827" spans="1:8" ht="63" x14ac:dyDescent="0.25">
      <c r="A827" s="25" t="s">
        <v>148</v>
      </c>
      <c r="B827" s="20" t="s">
        <v>1240</v>
      </c>
      <c r="C827" s="20" t="s">
        <v>133</v>
      </c>
      <c r="D827" s="20" t="s">
        <v>155</v>
      </c>
      <c r="E827" s="20" t="s">
        <v>149</v>
      </c>
      <c r="F827" s="184"/>
      <c r="G827" s="6">
        <f>'пр.6.1.ведом.21-22'!G236</f>
        <v>10</v>
      </c>
      <c r="H827" s="6">
        <f>'пр.6.1.ведом.21-22'!H236</f>
        <v>10</v>
      </c>
    </row>
    <row r="828" spans="1:8" ht="63" x14ac:dyDescent="0.25">
      <c r="A828" s="45" t="s">
        <v>276</v>
      </c>
      <c r="B828" s="20" t="s">
        <v>1240</v>
      </c>
      <c r="C828" s="40" t="s">
        <v>133</v>
      </c>
      <c r="D828" s="40" t="s">
        <v>155</v>
      </c>
      <c r="E828" s="2">
        <v>240</v>
      </c>
      <c r="F828" s="2">
        <v>903</v>
      </c>
      <c r="G828" s="6">
        <f>G827</f>
        <v>10</v>
      </c>
      <c r="H828" s="6">
        <f>H827</f>
        <v>10</v>
      </c>
    </row>
    <row r="829" spans="1:8" ht="47.25" hidden="1" x14ac:dyDescent="0.25">
      <c r="A829" s="25" t="s">
        <v>695</v>
      </c>
      <c r="B829" s="20" t="s">
        <v>1241</v>
      </c>
      <c r="C829" s="40" t="s">
        <v>133</v>
      </c>
      <c r="D829" s="40" t="s">
        <v>155</v>
      </c>
      <c r="E829" s="2"/>
      <c r="F829" s="184"/>
      <c r="G829" s="6">
        <f t="shared" ref="G829:H830" si="127">G830</f>
        <v>0</v>
      </c>
      <c r="H829" s="6">
        <f t="shared" si="127"/>
        <v>0</v>
      </c>
    </row>
    <row r="830" spans="1:8" ht="47.25" hidden="1" x14ac:dyDescent="0.25">
      <c r="A830" s="25" t="s">
        <v>146</v>
      </c>
      <c r="B830" s="20" t="s">
        <v>1241</v>
      </c>
      <c r="C830" s="40" t="s">
        <v>133</v>
      </c>
      <c r="D830" s="40" t="s">
        <v>155</v>
      </c>
      <c r="E830" s="2">
        <v>200</v>
      </c>
      <c r="F830" s="184"/>
      <c r="G830" s="6">
        <f t="shared" si="127"/>
        <v>0</v>
      </c>
      <c r="H830" s="6">
        <f t="shared" si="127"/>
        <v>0</v>
      </c>
    </row>
    <row r="831" spans="1:8" ht="63" hidden="1" x14ac:dyDescent="0.25">
      <c r="A831" s="25" t="s">
        <v>148</v>
      </c>
      <c r="B831" s="20" t="s">
        <v>1241</v>
      </c>
      <c r="C831" s="40" t="s">
        <v>133</v>
      </c>
      <c r="D831" s="40" t="s">
        <v>155</v>
      </c>
      <c r="E831" s="2">
        <v>240</v>
      </c>
      <c r="F831" s="184"/>
      <c r="G831" s="6">
        <f>'пр.6.1.ведом.21-22'!G239</f>
        <v>0</v>
      </c>
      <c r="H831" s="6">
        <f>'пр.6.1.ведом.21-22'!H239</f>
        <v>0</v>
      </c>
    </row>
    <row r="832" spans="1:8" ht="63" hidden="1" x14ac:dyDescent="0.25">
      <c r="A832" s="45" t="s">
        <v>276</v>
      </c>
      <c r="B832" s="20" t="s">
        <v>1241</v>
      </c>
      <c r="C832" s="40" t="s">
        <v>133</v>
      </c>
      <c r="D832" s="40" t="s">
        <v>155</v>
      </c>
      <c r="E832" s="2">
        <v>240</v>
      </c>
      <c r="F832" s="2">
        <v>903</v>
      </c>
      <c r="G832" s="6">
        <f>G831</f>
        <v>0</v>
      </c>
      <c r="H832" s="6">
        <f>H831</f>
        <v>0</v>
      </c>
    </row>
    <row r="833" spans="1:8" ht="31.5" hidden="1" x14ac:dyDescent="0.25">
      <c r="A833" s="31" t="s">
        <v>795</v>
      </c>
      <c r="B833" s="20" t="s">
        <v>1271</v>
      </c>
      <c r="C833" s="40" t="s">
        <v>133</v>
      </c>
      <c r="D833" s="40" t="s">
        <v>155</v>
      </c>
      <c r="E833" s="2"/>
      <c r="F833" s="2"/>
      <c r="G833" s="6">
        <f t="shared" ref="G833:H834" si="128">G834</f>
        <v>0</v>
      </c>
      <c r="H833" s="6">
        <f t="shared" si="128"/>
        <v>0</v>
      </c>
    </row>
    <row r="834" spans="1:8" ht="47.25" hidden="1" x14ac:dyDescent="0.25">
      <c r="A834" s="25" t="s">
        <v>146</v>
      </c>
      <c r="B834" s="20" t="s">
        <v>1271</v>
      </c>
      <c r="C834" s="40" t="s">
        <v>133</v>
      </c>
      <c r="D834" s="40" t="s">
        <v>155</v>
      </c>
      <c r="E834" s="2">
        <v>200</v>
      </c>
      <c r="F834" s="2"/>
      <c r="G834" s="6">
        <f t="shared" si="128"/>
        <v>0</v>
      </c>
      <c r="H834" s="6">
        <f t="shared" si="128"/>
        <v>0</v>
      </c>
    </row>
    <row r="835" spans="1:8" ht="63" hidden="1" x14ac:dyDescent="0.25">
      <c r="A835" s="25" t="s">
        <v>148</v>
      </c>
      <c r="B835" s="20" t="s">
        <v>1271</v>
      </c>
      <c r="C835" s="40" t="s">
        <v>133</v>
      </c>
      <c r="D835" s="40" t="s">
        <v>155</v>
      </c>
      <c r="E835" s="2">
        <v>240</v>
      </c>
      <c r="F835" s="2"/>
      <c r="G835" s="6">
        <f>'пр.6.1.ведом.21-22'!G539</f>
        <v>0</v>
      </c>
      <c r="H835" s="6">
        <f>'пр.6.1.ведом.21-22'!H539</f>
        <v>0</v>
      </c>
    </row>
    <row r="836" spans="1:8" ht="47.25" hidden="1" x14ac:dyDescent="0.25">
      <c r="A836" s="45" t="s">
        <v>418</v>
      </c>
      <c r="B836" s="20" t="s">
        <v>1271</v>
      </c>
      <c r="C836" s="40" t="s">
        <v>133</v>
      </c>
      <c r="D836" s="40" t="s">
        <v>155</v>
      </c>
      <c r="E836" s="2">
        <v>240</v>
      </c>
      <c r="F836" s="2">
        <v>906</v>
      </c>
      <c r="G836" s="6">
        <f>G835</f>
        <v>0</v>
      </c>
      <c r="H836" s="6">
        <f>H835</f>
        <v>0</v>
      </c>
    </row>
    <row r="837" spans="1:8" ht="47.25" x14ac:dyDescent="0.25">
      <c r="A837" s="31" t="s">
        <v>794</v>
      </c>
      <c r="B837" s="20" t="s">
        <v>1242</v>
      </c>
      <c r="C837" s="20" t="s">
        <v>133</v>
      </c>
      <c r="D837" s="20" t="s">
        <v>155</v>
      </c>
      <c r="E837" s="20"/>
      <c r="F837" s="184"/>
      <c r="G837" s="6">
        <f t="shared" ref="G837:H838" si="129">G838</f>
        <v>20</v>
      </c>
      <c r="H837" s="6">
        <f t="shared" si="129"/>
        <v>20</v>
      </c>
    </row>
    <row r="838" spans="1:8" ht="47.25" x14ac:dyDescent="0.25">
      <c r="A838" s="25" t="s">
        <v>146</v>
      </c>
      <c r="B838" s="20" t="s">
        <v>1242</v>
      </c>
      <c r="C838" s="20" t="s">
        <v>133</v>
      </c>
      <c r="D838" s="20" t="s">
        <v>155</v>
      </c>
      <c r="E838" s="20" t="s">
        <v>147</v>
      </c>
      <c r="F838" s="184"/>
      <c r="G838" s="6">
        <f t="shared" si="129"/>
        <v>20</v>
      </c>
      <c r="H838" s="6">
        <f t="shared" si="129"/>
        <v>20</v>
      </c>
    </row>
    <row r="839" spans="1:8" ht="63" x14ac:dyDescent="0.25">
      <c r="A839" s="25" t="s">
        <v>148</v>
      </c>
      <c r="B839" s="20" t="s">
        <v>1242</v>
      </c>
      <c r="C839" s="20" t="s">
        <v>133</v>
      </c>
      <c r="D839" s="20" t="s">
        <v>155</v>
      </c>
      <c r="E839" s="20" t="s">
        <v>149</v>
      </c>
      <c r="F839" s="184"/>
      <c r="G839" s="6">
        <f>'пр.6.1.ведом.21-22'!G242</f>
        <v>20</v>
      </c>
      <c r="H839" s="6">
        <f>'пр.6.1.ведом.21-22'!H242</f>
        <v>20</v>
      </c>
    </row>
    <row r="840" spans="1:8" ht="63" x14ac:dyDescent="0.25">
      <c r="A840" s="45" t="s">
        <v>276</v>
      </c>
      <c r="B840" s="20" t="s">
        <v>1242</v>
      </c>
      <c r="C840" s="20" t="s">
        <v>133</v>
      </c>
      <c r="D840" s="20" t="s">
        <v>155</v>
      </c>
      <c r="E840" s="20" t="s">
        <v>149</v>
      </c>
      <c r="F840" s="2">
        <v>903</v>
      </c>
      <c r="G840" s="6">
        <f>G839</f>
        <v>20</v>
      </c>
      <c r="H840" s="6">
        <f>H839</f>
        <v>20</v>
      </c>
    </row>
    <row r="841" spans="1:8" ht="78.75" x14ac:dyDescent="0.25">
      <c r="A841" s="41" t="s">
        <v>1185</v>
      </c>
      <c r="B841" s="24" t="s">
        <v>727</v>
      </c>
      <c r="C841" s="7"/>
      <c r="D841" s="7"/>
      <c r="E841" s="3"/>
      <c r="F841" s="3"/>
      <c r="G841" s="4">
        <f>G842+G853+G892</f>
        <v>3147.6</v>
      </c>
      <c r="H841" s="4">
        <f>H842+H853+H892</f>
        <v>3147.6</v>
      </c>
    </row>
    <row r="842" spans="1:8" ht="78.75" x14ac:dyDescent="0.25">
      <c r="A842" s="273" t="s">
        <v>894</v>
      </c>
      <c r="B842" s="24" t="s">
        <v>900</v>
      </c>
      <c r="C842" s="7"/>
      <c r="D842" s="7"/>
      <c r="E842" s="3"/>
      <c r="F842" s="3"/>
      <c r="G842" s="4">
        <f>G843</f>
        <v>30</v>
      </c>
      <c r="H842" s="4">
        <f>H843</f>
        <v>30</v>
      </c>
    </row>
    <row r="843" spans="1:8" ht="15.75" x14ac:dyDescent="0.25">
      <c r="A843" s="29" t="s">
        <v>132</v>
      </c>
      <c r="B843" s="20" t="s">
        <v>900</v>
      </c>
      <c r="C843" s="40" t="s">
        <v>133</v>
      </c>
      <c r="D843" s="40"/>
      <c r="E843" s="2"/>
      <c r="F843" s="2"/>
      <c r="G843" s="6">
        <f t="shared" ref="G843:H843" si="130">G844</f>
        <v>30</v>
      </c>
      <c r="H843" s="6">
        <f t="shared" si="130"/>
        <v>30</v>
      </c>
    </row>
    <row r="844" spans="1:8" ht="31.5" x14ac:dyDescent="0.25">
      <c r="A844" s="29" t="s">
        <v>154</v>
      </c>
      <c r="B844" s="20" t="s">
        <v>900</v>
      </c>
      <c r="C844" s="40" t="s">
        <v>133</v>
      </c>
      <c r="D844" s="40" t="s">
        <v>155</v>
      </c>
      <c r="E844" s="2"/>
      <c r="F844" s="2"/>
      <c r="G844" s="6">
        <f>G845+G849</f>
        <v>30</v>
      </c>
      <c r="H844" s="6">
        <f>H845+H849</f>
        <v>30</v>
      </c>
    </row>
    <row r="845" spans="1:8" ht="63" x14ac:dyDescent="0.25">
      <c r="A845" s="101" t="s">
        <v>798</v>
      </c>
      <c r="B845" s="20" t="s">
        <v>895</v>
      </c>
      <c r="C845" s="40" t="s">
        <v>133</v>
      </c>
      <c r="D845" s="40" t="s">
        <v>155</v>
      </c>
      <c r="E845" s="2"/>
      <c r="F845" s="2"/>
      <c r="G845" s="6">
        <f t="shared" ref="G845:H846" si="131">G846</f>
        <v>25</v>
      </c>
      <c r="H845" s="6">
        <f t="shared" si="131"/>
        <v>25</v>
      </c>
    </row>
    <row r="846" spans="1:8" ht="47.25" x14ac:dyDescent="0.25">
      <c r="A846" s="25" t="s">
        <v>146</v>
      </c>
      <c r="B846" s="20" t="s">
        <v>895</v>
      </c>
      <c r="C846" s="40" t="s">
        <v>133</v>
      </c>
      <c r="D846" s="40" t="s">
        <v>155</v>
      </c>
      <c r="E846" s="2">
        <v>200</v>
      </c>
      <c r="F846" s="2"/>
      <c r="G846" s="6">
        <f t="shared" si="131"/>
        <v>25</v>
      </c>
      <c r="H846" s="6">
        <f t="shared" si="131"/>
        <v>25</v>
      </c>
    </row>
    <row r="847" spans="1:8" ht="63" x14ac:dyDescent="0.25">
      <c r="A847" s="25" t="s">
        <v>148</v>
      </c>
      <c r="B847" s="20" t="s">
        <v>895</v>
      </c>
      <c r="C847" s="40" t="s">
        <v>133</v>
      </c>
      <c r="D847" s="40" t="s">
        <v>155</v>
      </c>
      <c r="E847" s="2">
        <v>240</v>
      </c>
      <c r="F847" s="2"/>
      <c r="G847" s="6">
        <f>'пр.6.1.ведом.21-22'!G119</f>
        <v>25</v>
      </c>
      <c r="H847" s="6">
        <f>'пр.6.1.ведом.21-22'!H119</f>
        <v>25</v>
      </c>
    </row>
    <row r="848" spans="1:8" ht="31.5" x14ac:dyDescent="0.25">
      <c r="A848" s="29" t="s">
        <v>163</v>
      </c>
      <c r="B848" s="20" t="s">
        <v>895</v>
      </c>
      <c r="C848" s="40" t="s">
        <v>133</v>
      </c>
      <c r="D848" s="40" t="s">
        <v>155</v>
      </c>
      <c r="E848" s="2">
        <v>240</v>
      </c>
      <c r="F848" s="2">
        <v>902</v>
      </c>
      <c r="G848" s="6">
        <f>G847</f>
        <v>25</v>
      </c>
      <c r="H848" s="6">
        <f>H847</f>
        <v>25</v>
      </c>
    </row>
    <row r="849" spans="1:8" ht="63" x14ac:dyDescent="0.25">
      <c r="A849" s="101" t="s">
        <v>798</v>
      </c>
      <c r="B849" s="20" t="s">
        <v>895</v>
      </c>
      <c r="C849" s="40" t="s">
        <v>133</v>
      </c>
      <c r="D849" s="40" t="s">
        <v>155</v>
      </c>
      <c r="E849" s="2"/>
      <c r="F849" s="2"/>
      <c r="G849" s="6">
        <f>G850</f>
        <v>5</v>
      </c>
      <c r="H849" s="6">
        <f>H850</f>
        <v>5</v>
      </c>
    </row>
    <row r="850" spans="1:8" ht="47.25" x14ac:dyDescent="0.25">
      <c r="A850" s="25" t="s">
        <v>146</v>
      </c>
      <c r="B850" s="20" t="s">
        <v>895</v>
      </c>
      <c r="C850" s="40" t="s">
        <v>133</v>
      </c>
      <c r="D850" s="40" t="s">
        <v>155</v>
      </c>
      <c r="E850" s="2">
        <v>200</v>
      </c>
      <c r="F850" s="2"/>
      <c r="G850" s="6">
        <f>G851</f>
        <v>5</v>
      </c>
      <c r="H850" s="6">
        <f>H851</f>
        <v>5</v>
      </c>
    </row>
    <row r="851" spans="1:8" ht="63" x14ac:dyDescent="0.25">
      <c r="A851" s="25" t="s">
        <v>148</v>
      </c>
      <c r="B851" s="20" t="s">
        <v>895</v>
      </c>
      <c r="C851" s="40" t="s">
        <v>133</v>
      </c>
      <c r="D851" s="40" t="s">
        <v>155</v>
      </c>
      <c r="E851" s="2">
        <v>240</v>
      </c>
      <c r="F851" s="2"/>
      <c r="G851" s="6">
        <f>'пр.6.1.ведом.21-22'!G247</f>
        <v>5</v>
      </c>
      <c r="H851" s="6">
        <f>'пр.6.1.ведом.21-22'!H247</f>
        <v>5</v>
      </c>
    </row>
    <row r="852" spans="1:8" ht="63" x14ac:dyDescent="0.25">
      <c r="A852" s="25" t="s">
        <v>276</v>
      </c>
      <c r="B852" s="20" t="s">
        <v>895</v>
      </c>
      <c r="C852" s="40" t="s">
        <v>133</v>
      </c>
      <c r="D852" s="40" t="s">
        <v>155</v>
      </c>
      <c r="E852" s="2">
        <v>240</v>
      </c>
      <c r="F852" s="2">
        <v>903</v>
      </c>
      <c r="G852" s="6">
        <f>G851</f>
        <v>5</v>
      </c>
      <c r="H852" s="6">
        <f>H851</f>
        <v>5</v>
      </c>
    </row>
    <row r="853" spans="1:8" ht="78.75" x14ac:dyDescent="0.25">
      <c r="A853" s="41" t="s">
        <v>951</v>
      </c>
      <c r="B853" s="24" t="s">
        <v>949</v>
      </c>
      <c r="C853" s="40"/>
      <c r="D853" s="40"/>
      <c r="E853" s="2"/>
      <c r="F853" s="2"/>
      <c r="G853" s="4">
        <f>G854+G874+G880+G886</f>
        <v>3102.6</v>
      </c>
      <c r="H853" s="4">
        <f>H854+H874+H880+H886</f>
        <v>3102.6</v>
      </c>
    </row>
    <row r="854" spans="1:8" ht="15.75" x14ac:dyDescent="0.25">
      <c r="A854" s="29" t="s">
        <v>278</v>
      </c>
      <c r="B854" s="20" t="s">
        <v>949</v>
      </c>
      <c r="C854" s="40" t="s">
        <v>279</v>
      </c>
      <c r="D854" s="40"/>
      <c r="E854" s="2"/>
      <c r="F854" s="2"/>
      <c r="G854" s="6">
        <f>G855+G861+G865</f>
        <v>1709.3</v>
      </c>
      <c r="H854" s="6">
        <f>H855+H861+H865</f>
        <v>1709.3</v>
      </c>
    </row>
    <row r="855" spans="1:8" ht="15.75" x14ac:dyDescent="0.25">
      <c r="A855" s="29" t="s">
        <v>419</v>
      </c>
      <c r="B855" s="20" t="s">
        <v>949</v>
      </c>
      <c r="C855" s="40" t="s">
        <v>279</v>
      </c>
      <c r="D855" s="40" t="s">
        <v>133</v>
      </c>
      <c r="E855" s="2"/>
      <c r="F855" s="2"/>
      <c r="G855" s="6">
        <f t="shared" ref="G855:H857" si="132">G856</f>
        <v>464.3</v>
      </c>
      <c r="H855" s="6">
        <f t="shared" si="132"/>
        <v>464.3</v>
      </c>
    </row>
    <row r="856" spans="1:8" ht="63" x14ac:dyDescent="0.25">
      <c r="A856" s="45" t="s">
        <v>802</v>
      </c>
      <c r="B856" s="20" t="s">
        <v>1032</v>
      </c>
      <c r="C856" s="40" t="s">
        <v>279</v>
      </c>
      <c r="D856" s="40" t="s">
        <v>133</v>
      </c>
      <c r="E856" s="2"/>
      <c r="F856" s="2"/>
      <c r="G856" s="6">
        <f t="shared" si="132"/>
        <v>464.3</v>
      </c>
      <c r="H856" s="6">
        <f t="shared" si="132"/>
        <v>464.3</v>
      </c>
    </row>
    <row r="857" spans="1:8" ht="63" x14ac:dyDescent="0.25">
      <c r="A857" s="29" t="s">
        <v>287</v>
      </c>
      <c r="B857" s="20" t="s">
        <v>1032</v>
      </c>
      <c r="C857" s="40" t="s">
        <v>279</v>
      </c>
      <c r="D857" s="40" t="s">
        <v>133</v>
      </c>
      <c r="E857" s="2">
        <v>600</v>
      </c>
      <c r="F857" s="2"/>
      <c r="G857" s="6">
        <f t="shared" si="132"/>
        <v>464.3</v>
      </c>
      <c r="H857" s="6">
        <f t="shared" si="132"/>
        <v>464.3</v>
      </c>
    </row>
    <row r="858" spans="1:8" ht="31.5" x14ac:dyDescent="0.25">
      <c r="A858" s="195" t="s">
        <v>289</v>
      </c>
      <c r="B858" s="20" t="s">
        <v>1032</v>
      </c>
      <c r="C858" s="40" t="s">
        <v>279</v>
      </c>
      <c r="D858" s="40" t="s">
        <v>133</v>
      </c>
      <c r="E858" s="2">
        <v>610</v>
      </c>
      <c r="F858" s="2"/>
      <c r="G858" s="6">
        <f>'пр.6.1.ведом.21-22'!G608</f>
        <v>464.3</v>
      </c>
      <c r="H858" s="6">
        <f>'пр.6.1.ведом.21-22'!H608</f>
        <v>464.3</v>
      </c>
    </row>
    <row r="859" spans="1:8" ht="47.25" x14ac:dyDescent="0.25">
      <c r="A859" s="45" t="s">
        <v>418</v>
      </c>
      <c r="B859" s="20" t="s">
        <v>1032</v>
      </c>
      <c r="C859" s="40" t="s">
        <v>279</v>
      </c>
      <c r="D859" s="40" t="s">
        <v>133</v>
      </c>
      <c r="E859" s="2">
        <v>610</v>
      </c>
      <c r="F859" s="2">
        <v>906</v>
      </c>
      <c r="G859" s="6">
        <f>G858</f>
        <v>464.3</v>
      </c>
      <c r="H859" s="6">
        <f>H858</f>
        <v>464.3</v>
      </c>
    </row>
    <row r="860" spans="1:8" ht="15.75" x14ac:dyDescent="0.25">
      <c r="A860" s="45" t="s">
        <v>440</v>
      </c>
      <c r="B860" s="20" t="s">
        <v>949</v>
      </c>
      <c r="C860" s="40" t="s">
        <v>279</v>
      </c>
      <c r="D860" s="40" t="s">
        <v>228</v>
      </c>
      <c r="E860" s="2"/>
      <c r="F860" s="2"/>
      <c r="G860" s="6">
        <f t="shared" ref="G860:H862" si="133">G861</f>
        <v>723.3</v>
      </c>
      <c r="H860" s="6">
        <f t="shared" si="133"/>
        <v>723.3</v>
      </c>
    </row>
    <row r="861" spans="1:8" ht="63" x14ac:dyDescent="0.25">
      <c r="A861" s="45" t="s">
        <v>802</v>
      </c>
      <c r="B861" s="20" t="s">
        <v>1032</v>
      </c>
      <c r="C861" s="40" t="s">
        <v>279</v>
      </c>
      <c r="D861" s="40" t="s">
        <v>228</v>
      </c>
      <c r="E861" s="2"/>
      <c r="F861" s="2"/>
      <c r="G861" s="6">
        <f t="shared" si="133"/>
        <v>723.3</v>
      </c>
      <c r="H861" s="6">
        <f t="shared" si="133"/>
        <v>723.3</v>
      </c>
    </row>
    <row r="862" spans="1:8" ht="63" x14ac:dyDescent="0.25">
      <c r="A862" s="29" t="s">
        <v>287</v>
      </c>
      <c r="B862" s="20" t="s">
        <v>1032</v>
      </c>
      <c r="C862" s="40" t="s">
        <v>279</v>
      </c>
      <c r="D862" s="40" t="s">
        <v>228</v>
      </c>
      <c r="E862" s="2">
        <v>600</v>
      </c>
      <c r="F862" s="2"/>
      <c r="G862" s="6">
        <f t="shared" si="133"/>
        <v>723.3</v>
      </c>
      <c r="H862" s="6">
        <f t="shared" si="133"/>
        <v>723.3</v>
      </c>
    </row>
    <row r="863" spans="1:8" ht="31.5" x14ac:dyDescent="0.25">
      <c r="A863" s="195" t="s">
        <v>289</v>
      </c>
      <c r="B863" s="20" t="s">
        <v>1032</v>
      </c>
      <c r="C863" s="40" t="s">
        <v>279</v>
      </c>
      <c r="D863" s="40" t="s">
        <v>228</v>
      </c>
      <c r="E863" s="2">
        <v>610</v>
      </c>
      <c r="F863" s="2"/>
      <c r="G863" s="6">
        <f>'пр.6.1.ведом.21-22'!G686</f>
        <v>723.3</v>
      </c>
      <c r="H863" s="6">
        <f>'пр.6.1.ведом.21-22'!H686</f>
        <v>723.3</v>
      </c>
    </row>
    <row r="864" spans="1:8" ht="47.25" x14ac:dyDescent="0.25">
      <c r="A864" s="45" t="s">
        <v>418</v>
      </c>
      <c r="B864" s="20" t="s">
        <v>1032</v>
      </c>
      <c r="C864" s="40" t="s">
        <v>279</v>
      </c>
      <c r="D864" s="40" t="s">
        <v>228</v>
      </c>
      <c r="E864" s="2">
        <v>610</v>
      </c>
      <c r="F864" s="2">
        <v>906</v>
      </c>
      <c r="G864" s="6">
        <f>G863</f>
        <v>723.3</v>
      </c>
      <c r="H864" s="6">
        <f>H863</f>
        <v>723.3</v>
      </c>
    </row>
    <row r="865" spans="1:8" ht="31.5" x14ac:dyDescent="0.25">
      <c r="A865" s="45" t="s">
        <v>280</v>
      </c>
      <c r="B865" s="20" t="s">
        <v>949</v>
      </c>
      <c r="C865" s="40" t="s">
        <v>279</v>
      </c>
      <c r="D865" s="40" t="s">
        <v>230</v>
      </c>
      <c r="E865" s="2"/>
      <c r="F865" s="2"/>
      <c r="G865" s="6">
        <f>G866+G870</f>
        <v>521.70000000000005</v>
      </c>
      <c r="H865" s="6">
        <f>H866+H870</f>
        <v>521.70000000000005</v>
      </c>
    </row>
    <row r="866" spans="1:8" ht="63" x14ac:dyDescent="0.25">
      <c r="A866" s="45" t="s">
        <v>802</v>
      </c>
      <c r="B866" s="20" t="s">
        <v>1032</v>
      </c>
      <c r="C866" s="40" t="s">
        <v>279</v>
      </c>
      <c r="D866" s="40" t="s">
        <v>230</v>
      </c>
      <c r="E866" s="2"/>
      <c r="F866" s="2"/>
      <c r="G866" s="6">
        <f>G867</f>
        <v>300.7</v>
      </c>
      <c r="H866" s="6">
        <f>H867</f>
        <v>300.7</v>
      </c>
    </row>
    <row r="867" spans="1:8" ht="63" x14ac:dyDescent="0.25">
      <c r="A867" s="29" t="s">
        <v>287</v>
      </c>
      <c r="B867" s="20" t="s">
        <v>1032</v>
      </c>
      <c r="C867" s="40" t="s">
        <v>279</v>
      </c>
      <c r="D867" s="40" t="s">
        <v>230</v>
      </c>
      <c r="E867" s="2">
        <v>600</v>
      </c>
      <c r="F867" s="2"/>
      <c r="G867" s="6">
        <f>G868</f>
        <v>300.7</v>
      </c>
      <c r="H867" s="6">
        <f>H868</f>
        <v>300.7</v>
      </c>
    </row>
    <row r="868" spans="1:8" ht="31.5" x14ac:dyDescent="0.25">
      <c r="A868" s="195" t="s">
        <v>289</v>
      </c>
      <c r="B868" s="20" t="s">
        <v>1032</v>
      </c>
      <c r="C868" s="40" t="s">
        <v>279</v>
      </c>
      <c r="D868" s="40" t="s">
        <v>230</v>
      </c>
      <c r="E868" s="2">
        <v>610</v>
      </c>
      <c r="F868" s="2"/>
      <c r="G868" s="6">
        <f>'пр.6.1.ведом.21-22'!G717</f>
        <v>300.7</v>
      </c>
      <c r="H868" s="6">
        <f>'пр.6.1.ведом.21-22'!H717</f>
        <v>300.7</v>
      </c>
    </row>
    <row r="869" spans="1:8" ht="47.25" x14ac:dyDescent="0.25">
      <c r="A869" s="45" t="s">
        <v>418</v>
      </c>
      <c r="B869" s="20" t="s">
        <v>1032</v>
      </c>
      <c r="C869" s="40" t="s">
        <v>279</v>
      </c>
      <c r="D869" s="40" t="s">
        <v>230</v>
      </c>
      <c r="E869" s="2">
        <v>610</v>
      </c>
      <c r="F869" s="2">
        <v>906</v>
      </c>
      <c r="G869" s="6">
        <f>G868</f>
        <v>300.7</v>
      </c>
      <c r="H869" s="6">
        <f>H868</f>
        <v>300.7</v>
      </c>
    </row>
    <row r="870" spans="1:8" ht="63" x14ac:dyDescent="0.25">
      <c r="A870" s="101" t="s">
        <v>1163</v>
      </c>
      <c r="B870" s="20" t="s">
        <v>950</v>
      </c>
      <c r="C870" s="40" t="s">
        <v>279</v>
      </c>
      <c r="D870" s="40" t="s">
        <v>230</v>
      </c>
      <c r="E870" s="2"/>
      <c r="F870" s="2"/>
      <c r="G870" s="6">
        <f>G871</f>
        <v>221</v>
      </c>
      <c r="H870" s="6">
        <f>H871</f>
        <v>221</v>
      </c>
    </row>
    <row r="871" spans="1:8" ht="47.25" x14ac:dyDescent="0.25">
      <c r="A871" s="25" t="s">
        <v>146</v>
      </c>
      <c r="B871" s="20" t="s">
        <v>950</v>
      </c>
      <c r="C871" s="40" t="s">
        <v>279</v>
      </c>
      <c r="D871" s="40" t="s">
        <v>230</v>
      </c>
      <c r="E871" s="2">
        <v>200</v>
      </c>
      <c r="F871" s="2"/>
      <c r="G871" s="6">
        <f>G872</f>
        <v>221</v>
      </c>
      <c r="H871" s="6">
        <f>H872</f>
        <v>221</v>
      </c>
    </row>
    <row r="872" spans="1:8" ht="63" x14ac:dyDescent="0.25">
      <c r="A872" s="25" t="s">
        <v>148</v>
      </c>
      <c r="B872" s="20" t="s">
        <v>950</v>
      </c>
      <c r="C872" s="40" t="s">
        <v>279</v>
      </c>
      <c r="D872" s="40" t="s">
        <v>230</v>
      </c>
      <c r="E872" s="2">
        <v>240</v>
      </c>
      <c r="F872" s="2"/>
      <c r="G872" s="6">
        <f>'Пр.6 ведом.20'!G311</f>
        <v>221</v>
      </c>
      <c r="H872" s="6">
        <f>'Пр.6 ведом.20'!H311</f>
        <v>221</v>
      </c>
    </row>
    <row r="873" spans="1:8" ht="63" x14ac:dyDescent="0.25">
      <c r="A873" s="25" t="s">
        <v>276</v>
      </c>
      <c r="B873" s="20" t="s">
        <v>950</v>
      </c>
      <c r="C873" s="40" t="s">
        <v>279</v>
      </c>
      <c r="D873" s="40" t="s">
        <v>230</v>
      </c>
      <c r="E873" s="2">
        <v>240</v>
      </c>
      <c r="F873" s="2">
        <v>903</v>
      </c>
      <c r="G873" s="6">
        <f>'пр.6.1.ведом.21-22'!G317</f>
        <v>221</v>
      </c>
      <c r="H873" s="6">
        <f>'пр.6.1.ведом.21-22'!H317</f>
        <v>221</v>
      </c>
    </row>
    <row r="874" spans="1:8" ht="15.75" x14ac:dyDescent="0.25">
      <c r="A874" s="25" t="s">
        <v>313</v>
      </c>
      <c r="B874" s="20" t="s">
        <v>949</v>
      </c>
      <c r="C874" s="40" t="s">
        <v>314</v>
      </c>
      <c r="D874" s="40"/>
      <c r="E874" s="2"/>
      <c r="F874" s="2"/>
      <c r="G874" s="6">
        <f t="shared" ref="G874:H877" si="134">G875</f>
        <v>793.2</v>
      </c>
      <c r="H874" s="6">
        <f t="shared" si="134"/>
        <v>793.2</v>
      </c>
    </row>
    <row r="875" spans="1:8" ht="15.75" x14ac:dyDescent="0.25">
      <c r="A875" s="25" t="s">
        <v>315</v>
      </c>
      <c r="B875" s="20" t="s">
        <v>949</v>
      </c>
      <c r="C875" s="40" t="s">
        <v>314</v>
      </c>
      <c r="D875" s="40" t="s">
        <v>133</v>
      </c>
      <c r="E875" s="2"/>
      <c r="F875" s="2"/>
      <c r="G875" s="6">
        <f t="shared" si="134"/>
        <v>793.2</v>
      </c>
      <c r="H875" s="6">
        <f t="shared" si="134"/>
        <v>793.2</v>
      </c>
    </row>
    <row r="876" spans="1:8" ht="55.5" customHeight="1" x14ac:dyDescent="0.25">
      <c r="A876" s="453" t="s">
        <v>800</v>
      </c>
      <c r="B876" s="20" t="s">
        <v>950</v>
      </c>
      <c r="C876" s="40" t="s">
        <v>314</v>
      </c>
      <c r="D876" s="40" t="s">
        <v>133</v>
      </c>
      <c r="E876" s="2"/>
      <c r="F876" s="2"/>
      <c r="G876" s="6">
        <f t="shared" si="134"/>
        <v>793.2</v>
      </c>
      <c r="H876" s="6">
        <f t="shared" si="134"/>
        <v>793.2</v>
      </c>
    </row>
    <row r="877" spans="1:8" ht="47.25" x14ac:dyDescent="0.25">
      <c r="A877" s="25" t="s">
        <v>146</v>
      </c>
      <c r="B877" s="20" t="s">
        <v>950</v>
      </c>
      <c r="C877" s="40" t="s">
        <v>314</v>
      </c>
      <c r="D877" s="40" t="s">
        <v>133</v>
      </c>
      <c r="E877" s="2">
        <v>200</v>
      </c>
      <c r="F877" s="2"/>
      <c r="G877" s="6">
        <f t="shared" si="134"/>
        <v>793.2</v>
      </c>
      <c r="H877" s="6">
        <f t="shared" si="134"/>
        <v>793.2</v>
      </c>
    </row>
    <row r="878" spans="1:8" ht="63" x14ac:dyDescent="0.25">
      <c r="A878" s="25" t="s">
        <v>148</v>
      </c>
      <c r="B878" s="20" t="s">
        <v>950</v>
      </c>
      <c r="C878" s="40" t="s">
        <v>314</v>
      </c>
      <c r="D878" s="40" t="s">
        <v>133</v>
      </c>
      <c r="E878" s="2">
        <v>240</v>
      </c>
      <c r="F878" s="2"/>
      <c r="G878" s="6">
        <f>'пр.6.1.ведом.21-22'!G408</f>
        <v>793.2</v>
      </c>
      <c r="H878" s="6">
        <f>'пр.6.1.ведом.21-22'!H408</f>
        <v>793.2</v>
      </c>
    </row>
    <row r="879" spans="1:8" ht="63" x14ac:dyDescent="0.25">
      <c r="A879" s="25" t="s">
        <v>276</v>
      </c>
      <c r="B879" s="20" t="s">
        <v>950</v>
      </c>
      <c r="C879" s="40" t="s">
        <v>314</v>
      </c>
      <c r="D879" s="40" t="s">
        <v>133</v>
      </c>
      <c r="E879" s="2">
        <v>240</v>
      </c>
      <c r="F879" s="2">
        <v>903</v>
      </c>
      <c r="G879" s="6">
        <f>G878</f>
        <v>793.2</v>
      </c>
      <c r="H879" s="6">
        <f>H878</f>
        <v>793.2</v>
      </c>
    </row>
    <row r="880" spans="1:8" ht="15.75" x14ac:dyDescent="0.25">
      <c r="A880" s="25" t="s">
        <v>505</v>
      </c>
      <c r="B880" s="20" t="s">
        <v>949</v>
      </c>
      <c r="C880" s="40" t="s">
        <v>506</v>
      </c>
      <c r="D880" s="40"/>
      <c r="E880" s="2"/>
      <c r="F880" s="2"/>
      <c r="G880" s="6">
        <f t="shared" ref="G880:H883" si="135">G881</f>
        <v>540.1</v>
      </c>
      <c r="H880" s="6">
        <f t="shared" si="135"/>
        <v>540.1</v>
      </c>
    </row>
    <row r="881" spans="1:8" ht="15.75" x14ac:dyDescent="0.25">
      <c r="A881" s="25" t="s">
        <v>1282</v>
      </c>
      <c r="B881" s="20" t="s">
        <v>949</v>
      </c>
      <c r="C881" s="40" t="s">
        <v>506</v>
      </c>
      <c r="D881" s="40" t="s">
        <v>133</v>
      </c>
      <c r="E881" s="2"/>
      <c r="F881" s="2"/>
      <c r="G881" s="6">
        <f t="shared" si="135"/>
        <v>540.1</v>
      </c>
      <c r="H881" s="6">
        <f t="shared" si="135"/>
        <v>540.1</v>
      </c>
    </row>
    <row r="882" spans="1:8" ht="63" x14ac:dyDescent="0.25">
      <c r="A882" s="45" t="s">
        <v>802</v>
      </c>
      <c r="B882" s="20" t="s">
        <v>1032</v>
      </c>
      <c r="C882" s="40" t="s">
        <v>506</v>
      </c>
      <c r="D882" s="40" t="s">
        <v>133</v>
      </c>
      <c r="E882" s="2"/>
      <c r="F882" s="2"/>
      <c r="G882" s="6">
        <f t="shared" si="135"/>
        <v>540.1</v>
      </c>
      <c r="H882" s="6">
        <f t="shared" si="135"/>
        <v>540.1</v>
      </c>
    </row>
    <row r="883" spans="1:8" ht="63" x14ac:dyDescent="0.25">
      <c r="A883" s="29" t="s">
        <v>287</v>
      </c>
      <c r="B883" s="20" t="s">
        <v>1032</v>
      </c>
      <c r="C883" s="40" t="s">
        <v>506</v>
      </c>
      <c r="D883" s="40" t="s">
        <v>133</v>
      </c>
      <c r="E883" s="2">
        <v>600</v>
      </c>
      <c r="F883" s="2"/>
      <c r="G883" s="6">
        <f t="shared" si="135"/>
        <v>540.1</v>
      </c>
      <c r="H883" s="6">
        <f t="shared" si="135"/>
        <v>540.1</v>
      </c>
    </row>
    <row r="884" spans="1:8" ht="31.5" x14ac:dyDescent="0.25">
      <c r="A884" s="195" t="s">
        <v>289</v>
      </c>
      <c r="B884" s="20" t="s">
        <v>1032</v>
      </c>
      <c r="C884" s="40" t="s">
        <v>506</v>
      </c>
      <c r="D884" s="40" t="s">
        <v>133</v>
      </c>
      <c r="E884" s="2">
        <v>610</v>
      </c>
      <c r="F884" s="2"/>
      <c r="G884" s="6">
        <f>'пр.6.1.ведом.21-22'!G802</f>
        <v>540.1</v>
      </c>
      <c r="H884" s="6">
        <f>'пр.6.1.ведом.21-22'!H802</f>
        <v>540.1</v>
      </c>
    </row>
    <row r="885" spans="1:8" ht="47.25" x14ac:dyDescent="0.25">
      <c r="A885" s="45" t="s">
        <v>495</v>
      </c>
      <c r="B885" s="20" t="s">
        <v>1032</v>
      </c>
      <c r="C885" s="40" t="s">
        <v>506</v>
      </c>
      <c r="D885" s="40" t="s">
        <v>133</v>
      </c>
      <c r="E885" s="2">
        <v>610</v>
      </c>
      <c r="F885" s="2">
        <v>907</v>
      </c>
      <c r="G885" s="6">
        <f>G884</f>
        <v>540.1</v>
      </c>
      <c r="H885" s="6">
        <f>H884</f>
        <v>540.1</v>
      </c>
    </row>
    <row r="886" spans="1:8" ht="15.75" x14ac:dyDescent="0.25">
      <c r="A886" s="29" t="s">
        <v>597</v>
      </c>
      <c r="B886" s="20" t="s">
        <v>949</v>
      </c>
      <c r="C886" s="40" t="s">
        <v>253</v>
      </c>
      <c r="D886" s="40"/>
      <c r="E886" s="2"/>
      <c r="F886" s="2"/>
      <c r="G886" s="6">
        <f t="shared" ref="G886:H889" si="136">G887</f>
        <v>60</v>
      </c>
      <c r="H886" s="6">
        <f t="shared" si="136"/>
        <v>60</v>
      </c>
    </row>
    <row r="887" spans="1:8" ht="31.5" x14ac:dyDescent="0.25">
      <c r="A887" s="29" t="s">
        <v>598</v>
      </c>
      <c r="B887" s="20" t="s">
        <v>949</v>
      </c>
      <c r="C887" s="40" t="s">
        <v>253</v>
      </c>
      <c r="D887" s="40" t="s">
        <v>228</v>
      </c>
      <c r="E887" s="2"/>
      <c r="F887" s="2"/>
      <c r="G887" s="6">
        <f t="shared" si="136"/>
        <v>60</v>
      </c>
      <c r="H887" s="6">
        <f t="shared" si="136"/>
        <v>60</v>
      </c>
    </row>
    <row r="888" spans="1:8" ht="63" x14ac:dyDescent="0.25">
      <c r="A888" s="45" t="s">
        <v>800</v>
      </c>
      <c r="B888" s="20" t="s">
        <v>950</v>
      </c>
      <c r="C888" s="40" t="s">
        <v>253</v>
      </c>
      <c r="D888" s="40" t="s">
        <v>228</v>
      </c>
      <c r="E888" s="2"/>
      <c r="F888" s="2"/>
      <c r="G888" s="6">
        <f t="shared" si="136"/>
        <v>60</v>
      </c>
      <c r="H888" s="6">
        <f t="shared" si="136"/>
        <v>60</v>
      </c>
    </row>
    <row r="889" spans="1:8" ht="47.25" x14ac:dyDescent="0.25">
      <c r="A889" s="25" t="s">
        <v>146</v>
      </c>
      <c r="B889" s="20" t="s">
        <v>950</v>
      </c>
      <c r="C889" s="40" t="s">
        <v>253</v>
      </c>
      <c r="D889" s="40" t="s">
        <v>228</v>
      </c>
      <c r="E889" s="2">
        <v>200</v>
      </c>
      <c r="F889" s="2"/>
      <c r="G889" s="6">
        <f t="shared" si="136"/>
        <v>60</v>
      </c>
      <c r="H889" s="6">
        <f t="shared" si="136"/>
        <v>60</v>
      </c>
    </row>
    <row r="890" spans="1:8" ht="63" x14ac:dyDescent="0.25">
      <c r="A890" s="25" t="s">
        <v>148</v>
      </c>
      <c r="B890" s="20" t="s">
        <v>950</v>
      </c>
      <c r="C890" s="40" t="s">
        <v>253</v>
      </c>
      <c r="D890" s="40" t="s">
        <v>228</v>
      </c>
      <c r="E890" s="2">
        <v>240</v>
      </c>
      <c r="F890" s="2"/>
      <c r="G890" s="6">
        <f>'пр.6.1.ведом.21-22'!G485</f>
        <v>60</v>
      </c>
      <c r="H890" s="6">
        <f>'пр.6.1.ведом.21-22'!H485</f>
        <v>60</v>
      </c>
    </row>
    <row r="891" spans="1:8" ht="63" x14ac:dyDescent="0.25">
      <c r="A891" s="25" t="s">
        <v>276</v>
      </c>
      <c r="B891" s="20" t="s">
        <v>950</v>
      </c>
      <c r="C891" s="40" t="s">
        <v>253</v>
      </c>
      <c r="D891" s="40" t="s">
        <v>228</v>
      </c>
      <c r="E891" s="2">
        <v>240</v>
      </c>
      <c r="F891" s="2">
        <v>903</v>
      </c>
      <c r="G891" s="6">
        <f>G886</f>
        <v>60</v>
      </c>
      <c r="H891" s="6">
        <f>H886</f>
        <v>60</v>
      </c>
    </row>
    <row r="892" spans="1:8" ht="63" x14ac:dyDescent="0.25">
      <c r="A892" s="273" t="s">
        <v>1195</v>
      </c>
      <c r="B892" s="24" t="s">
        <v>901</v>
      </c>
      <c r="C892" s="7"/>
      <c r="D892" s="7"/>
      <c r="E892" s="3"/>
      <c r="F892" s="3"/>
      <c r="G892" s="4">
        <f t="shared" ref="G892:H894" si="137">G893</f>
        <v>15</v>
      </c>
      <c r="H892" s="4">
        <f t="shared" si="137"/>
        <v>15</v>
      </c>
    </row>
    <row r="893" spans="1:8" ht="15.75" x14ac:dyDescent="0.25">
      <c r="A893" s="101" t="s">
        <v>132</v>
      </c>
      <c r="B893" s="20" t="s">
        <v>901</v>
      </c>
      <c r="C893" s="40" t="s">
        <v>133</v>
      </c>
      <c r="D893" s="40"/>
      <c r="E893" s="2"/>
      <c r="F893" s="2"/>
      <c r="G893" s="6">
        <f t="shared" si="137"/>
        <v>15</v>
      </c>
      <c r="H893" s="6">
        <f t="shared" si="137"/>
        <v>15</v>
      </c>
    </row>
    <row r="894" spans="1:8" ht="31.5" x14ac:dyDescent="0.25">
      <c r="A894" s="101" t="s">
        <v>154</v>
      </c>
      <c r="B894" s="20" t="s">
        <v>901</v>
      </c>
      <c r="C894" s="40" t="s">
        <v>133</v>
      </c>
      <c r="D894" s="40" t="s">
        <v>155</v>
      </c>
      <c r="E894" s="2"/>
      <c r="F894" s="2"/>
      <c r="G894" s="6">
        <f t="shared" si="137"/>
        <v>15</v>
      </c>
      <c r="H894" s="6">
        <f t="shared" si="137"/>
        <v>15</v>
      </c>
    </row>
    <row r="895" spans="1:8" ht="56.25" customHeight="1" x14ac:dyDescent="0.25">
      <c r="A895" s="358" t="s">
        <v>1164</v>
      </c>
      <c r="B895" s="20" t="s">
        <v>896</v>
      </c>
      <c r="C895" s="40" t="s">
        <v>133</v>
      </c>
      <c r="D895" s="40" t="s">
        <v>155</v>
      </c>
      <c r="E895" s="2"/>
      <c r="F895" s="2"/>
      <c r="G895" s="6">
        <f t="shared" ref="G895:H896" si="138">G896</f>
        <v>15</v>
      </c>
      <c r="H895" s="6">
        <f t="shared" si="138"/>
        <v>15</v>
      </c>
    </row>
    <row r="896" spans="1:8" ht="47.25" x14ac:dyDescent="0.25">
      <c r="A896" s="25" t="s">
        <v>146</v>
      </c>
      <c r="B896" s="20" t="s">
        <v>896</v>
      </c>
      <c r="C896" s="40" t="s">
        <v>133</v>
      </c>
      <c r="D896" s="40" t="s">
        <v>155</v>
      </c>
      <c r="E896" s="2">
        <v>200</v>
      </c>
      <c r="F896" s="2"/>
      <c r="G896" s="6">
        <f t="shared" si="138"/>
        <v>15</v>
      </c>
      <c r="H896" s="6">
        <f t="shared" si="138"/>
        <v>15</v>
      </c>
    </row>
    <row r="897" spans="1:8" ht="63" x14ac:dyDescent="0.25">
      <c r="A897" s="25" t="s">
        <v>148</v>
      </c>
      <c r="B897" s="20" t="s">
        <v>896</v>
      </c>
      <c r="C897" s="40" t="s">
        <v>133</v>
      </c>
      <c r="D897" s="40" t="s">
        <v>155</v>
      </c>
      <c r="E897" s="2">
        <v>240</v>
      </c>
      <c r="F897" s="2"/>
      <c r="G897" s="6">
        <f>'пр.6.1.ведом.21-22'!G123</f>
        <v>15</v>
      </c>
      <c r="H897" s="6">
        <f>'пр.6.1.ведом.21-22'!H123</f>
        <v>15</v>
      </c>
    </row>
    <row r="898" spans="1:8" ht="31.5" x14ac:dyDescent="0.25">
      <c r="A898" s="29" t="s">
        <v>163</v>
      </c>
      <c r="B898" s="20" t="s">
        <v>896</v>
      </c>
      <c r="C898" s="40" t="s">
        <v>133</v>
      </c>
      <c r="D898" s="40" t="s">
        <v>155</v>
      </c>
      <c r="E898" s="2">
        <v>240</v>
      </c>
      <c r="F898" s="2">
        <v>902</v>
      </c>
      <c r="G898" s="6">
        <f>G897</f>
        <v>15</v>
      </c>
      <c r="H898" s="6">
        <f>H897</f>
        <v>15</v>
      </c>
    </row>
    <row r="899" spans="1:8" ht="94.5" x14ac:dyDescent="0.25">
      <c r="A899" s="23" t="s">
        <v>821</v>
      </c>
      <c r="B899" s="24" t="s">
        <v>733</v>
      </c>
      <c r="C899" s="7"/>
      <c r="D899" s="7"/>
      <c r="E899" s="3"/>
      <c r="F899" s="3"/>
      <c r="G899" s="4">
        <f>G900</f>
        <v>500</v>
      </c>
      <c r="H899" s="4">
        <f>H900</f>
        <v>500</v>
      </c>
    </row>
    <row r="900" spans="1:8" ht="47.25" x14ac:dyDescent="0.25">
      <c r="A900" s="23" t="s">
        <v>1256</v>
      </c>
      <c r="B900" s="24" t="s">
        <v>1300</v>
      </c>
      <c r="C900" s="7"/>
      <c r="D900" s="7"/>
      <c r="E900" s="3"/>
      <c r="F900" s="3"/>
      <c r="G900" s="4">
        <f>G901</f>
        <v>500</v>
      </c>
      <c r="H900" s="4">
        <f>H901</f>
        <v>500</v>
      </c>
    </row>
    <row r="901" spans="1:8" ht="15.75" x14ac:dyDescent="0.25">
      <c r="A901" s="25" t="s">
        <v>405</v>
      </c>
      <c r="B901" s="20" t="s">
        <v>882</v>
      </c>
      <c r="C901" s="40" t="s">
        <v>249</v>
      </c>
      <c r="D901" s="40"/>
      <c r="E901" s="2"/>
      <c r="F901" s="2"/>
      <c r="G901" s="6">
        <f t="shared" ref="G901:H904" si="139">G902</f>
        <v>500</v>
      </c>
      <c r="H901" s="6">
        <f t="shared" si="139"/>
        <v>500</v>
      </c>
    </row>
    <row r="902" spans="1:8" ht="15.75" x14ac:dyDescent="0.25">
      <c r="A902" s="25" t="s">
        <v>556</v>
      </c>
      <c r="B902" s="20" t="s">
        <v>882</v>
      </c>
      <c r="C902" s="40" t="s">
        <v>249</v>
      </c>
      <c r="D902" s="40" t="s">
        <v>230</v>
      </c>
      <c r="E902" s="2"/>
      <c r="F902" s="2"/>
      <c r="G902" s="6">
        <f t="shared" si="139"/>
        <v>500</v>
      </c>
      <c r="H902" s="6">
        <f t="shared" si="139"/>
        <v>500</v>
      </c>
    </row>
    <row r="903" spans="1:8" ht="78.75" x14ac:dyDescent="0.25">
      <c r="A903" s="81" t="s">
        <v>709</v>
      </c>
      <c r="B903" s="20" t="s">
        <v>882</v>
      </c>
      <c r="C903" s="40" t="s">
        <v>249</v>
      </c>
      <c r="D903" s="40" t="s">
        <v>230</v>
      </c>
      <c r="E903" s="2"/>
      <c r="F903" s="2"/>
      <c r="G903" s="6">
        <f t="shared" si="139"/>
        <v>500</v>
      </c>
      <c r="H903" s="6">
        <f t="shared" si="139"/>
        <v>500</v>
      </c>
    </row>
    <row r="904" spans="1:8" ht="47.25" x14ac:dyDescent="0.25">
      <c r="A904" s="25" t="s">
        <v>146</v>
      </c>
      <c r="B904" s="20" t="s">
        <v>882</v>
      </c>
      <c r="C904" s="40" t="s">
        <v>249</v>
      </c>
      <c r="D904" s="40" t="s">
        <v>230</v>
      </c>
      <c r="E904" s="2">
        <v>200</v>
      </c>
      <c r="F904" s="2"/>
      <c r="G904" s="6">
        <f t="shared" si="139"/>
        <v>500</v>
      </c>
      <c r="H904" s="6">
        <f t="shared" si="139"/>
        <v>500</v>
      </c>
    </row>
    <row r="905" spans="1:8" ht="63" x14ac:dyDescent="0.25">
      <c r="A905" s="25" t="s">
        <v>148</v>
      </c>
      <c r="B905" s="20" t="s">
        <v>882</v>
      </c>
      <c r="C905" s="40" t="s">
        <v>249</v>
      </c>
      <c r="D905" s="40" t="s">
        <v>230</v>
      </c>
      <c r="E905" s="2">
        <v>240</v>
      </c>
      <c r="F905" s="2"/>
      <c r="G905" s="6">
        <f>'пр.6.1.ведом.21-22'!G1000</f>
        <v>500</v>
      </c>
      <c r="H905" s="6">
        <f>'пр.6.1.ведом.21-22'!H1000</f>
        <v>500</v>
      </c>
    </row>
    <row r="906" spans="1:8" ht="63" x14ac:dyDescent="0.25">
      <c r="A906" s="45" t="s">
        <v>639</v>
      </c>
      <c r="B906" s="20" t="s">
        <v>882</v>
      </c>
      <c r="C906" s="40" t="s">
        <v>249</v>
      </c>
      <c r="D906" s="40" t="s">
        <v>230</v>
      </c>
      <c r="E906" s="2">
        <v>240</v>
      </c>
      <c r="F906" s="2">
        <v>908</v>
      </c>
      <c r="G906" s="6">
        <f>G905</f>
        <v>500</v>
      </c>
      <c r="H906" s="6">
        <f>H905</f>
        <v>500</v>
      </c>
    </row>
    <row r="907" spans="1:8" ht="110.25" x14ac:dyDescent="0.25">
      <c r="A907" s="58" t="s">
        <v>1188</v>
      </c>
      <c r="B907" s="24" t="s">
        <v>805</v>
      </c>
      <c r="C907" s="7"/>
      <c r="D907" s="7"/>
      <c r="E907" s="3"/>
      <c r="F907" s="3"/>
      <c r="G907" s="4">
        <f>G909</f>
        <v>239.82</v>
      </c>
      <c r="H907" s="4">
        <f>H909</f>
        <v>239.82</v>
      </c>
    </row>
    <row r="908" spans="1:8" ht="47.25" x14ac:dyDescent="0.25">
      <c r="A908" s="23" t="s">
        <v>1007</v>
      </c>
      <c r="B908" s="24" t="s">
        <v>1189</v>
      </c>
      <c r="C908" s="7"/>
      <c r="D908" s="7"/>
      <c r="E908" s="3"/>
      <c r="F908" s="3"/>
      <c r="G908" s="4">
        <f t="shared" ref="G908:H912" si="140">G909</f>
        <v>239.82</v>
      </c>
      <c r="H908" s="4">
        <f t="shared" si="140"/>
        <v>239.82</v>
      </c>
    </row>
    <row r="909" spans="1:8" ht="15.75" x14ac:dyDescent="0.25">
      <c r="A909" s="45" t="s">
        <v>132</v>
      </c>
      <c r="B909" s="20" t="s">
        <v>1189</v>
      </c>
      <c r="C909" s="40" t="s">
        <v>133</v>
      </c>
      <c r="D909" s="40"/>
      <c r="E909" s="2"/>
      <c r="F909" s="2"/>
      <c r="G909" s="6">
        <f t="shared" si="140"/>
        <v>239.82</v>
      </c>
      <c r="H909" s="6">
        <f t="shared" si="140"/>
        <v>239.82</v>
      </c>
    </row>
    <row r="910" spans="1:8" ht="31.5" x14ac:dyDescent="0.25">
      <c r="A910" s="45" t="s">
        <v>154</v>
      </c>
      <c r="B910" s="20" t="s">
        <v>1189</v>
      </c>
      <c r="C910" s="40" t="s">
        <v>133</v>
      </c>
      <c r="D910" s="40" t="s">
        <v>155</v>
      </c>
      <c r="E910" s="2"/>
      <c r="F910" s="2"/>
      <c r="G910" s="6">
        <f t="shared" si="140"/>
        <v>239.82</v>
      </c>
      <c r="H910" s="6">
        <f t="shared" si="140"/>
        <v>239.82</v>
      </c>
    </row>
    <row r="911" spans="1:8" ht="47.25" x14ac:dyDescent="0.25">
      <c r="A911" s="45" t="s">
        <v>815</v>
      </c>
      <c r="B911" s="20" t="s">
        <v>1190</v>
      </c>
      <c r="C911" s="40" t="s">
        <v>133</v>
      </c>
      <c r="D911" s="40" t="s">
        <v>155</v>
      </c>
      <c r="E911" s="2"/>
      <c r="F911" s="2"/>
      <c r="G911" s="6">
        <f t="shared" si="140"/>
        <v>239.82</v>
      </c>
      <c r="H911" s="6">
        <f t="shared" si="140"/>
        <v>239.82</v>
      </c>
    </row>
    <row r="912" spans="1:8" ht="47.25" x14ac:dyDescent="0.25">
      <c r="A912" s="45" t="s">
        <v>146</v>
      </c>
      <c r="B912" s="20" t="s">
        <v>1190</v>
      </c>
      <c r="C912" s="40" t="s">
        <v>133</v>
      </c>
      <c r="D912" s="40" t="s">
        <v>155</v>
      </c>
      <c r="E912" s="2">
        <v>200</v>
      </c>
      <c r="F912" s="2"/>
      <c r="G912" s="6">
        <f t="shared" si="140"/>
        <v>239.82</v>
      </c>
      <c r="H912" s="6">
        <f t="shared" si="140"/>
        <v>239.82</v>
      </c>
    </row>
    <row r="913" spans="1:10" ht="63" x14ac:dyDescent="0.25">
      <c r="A913" s="45" t="s">
        <v>148</v>
      </c>
      <c r="B913" s="20" t="s">
        <v>1190</v>
      </c>
      <c r="C913" s="40" t="s">
        <v>133</v>
      </c>
      <c r="D913" s="40" t="s">
        <v>155</v>
      </c>
      <c r="E913" s="2">
        <v>240</v>
      </c>
      <c r="F913" s="2"/>
      <c r="G913" s="6">
        <f>'пр.6.1.ведом.21-22'!G518</f>
        <v>239.82</v>
      </c>
      <c r="H913" s="6">
        <f>'пр.6.1.ведом.21-22'!H518</f>
        <v>239.82</v>
      </c>
    </row>
    <row r="914" spans="1:10" ht="63" x14ac:dyDescent="0.25">
      <c r="A914" s="45" t="s">
        <v>402</v>
      </c>
      <c r="B914" s="20" t="s">
        <v>1190</v>
      </c>
      <c r="C914" s="40" t="s">
        <v>133</v>
      </c>
      <c r="D914" s="40" t="s">
        <v>155</v>
      </c>
      <c r="E914" s="2">
        <v>240</v>
      </c>
      <c r="F914" s="2">
        <v>905</v>
      </c>
      <c r="G914" s="6">
        <f>G913</f>
        <v>239.82</v>
      </c>
      <c r="H914" s="6">
        <f>H913</f>
        <v>239.82</v>
      </c>
    </row>
    <row r="915" spans="1:10" ht="141.75" x14ac:dyDescent="0.25">
      <c r="A915" s="41" t="s">
        <v>1191</v>
      </c>
      <c r="B915" s="24" t="s">
        <v>862</v>
      </c>
      <c r="C915" s="7"/>
      <c r="D915" s="7"/>
      <c r="E915" s="3"/>
      <c r="F915" s="3"/>
      <c r="G915" s="4">
        <f>G917</f>
        <v>40</v>
      </c>
      <c r="H915" s="4">
        <f>H917</f>
        <v>40</v>
      </c>
    </row>
    <row r="916" spans="1:10" ht="63" x14ac:dyDescent="0.25">
      <c r="A916" s="275" t="s">
        <v>902</v>
      </c>
      <c r="B916" s="24" t="s">
        <v>1273</v>
      </c>
      <c r="C916" s="7"/>
      <c r="D916" s="7"/>
      <c r="E916" s="3"/>
      <c r="F916" s="3"/>
      <c r="G916" s="4">
        <f t="shared" ref="G916:H920" si="141">G917</f>
        <v>40</v>
      </c>
      <c r="H916" s="4">
        <f t="shared" si="141"/>
        <v>40</v>
      </c>
    </row>
    <row r="917" spans="1:10" ht="15.75" x14ac:dyDescent="0.25">
      <c r="A917" s="45" t="s">
        <v>132</v>
      </c>
      <c r="B917" s="20" t="s">
        <v>1273</v>
      </c>
      <c r="C917" s="40" t="s">
        <v>133</v>
      </c>
      <c r="D917" s="40"/>
      <c r="E917" s="2"/>
      <c r="F917" s="2"/>
      <c r="G917" s="6">
        <f t="shared" si="141"/>
        <v>40</v>
      </c>
      <c r="H917" s="6">
        <f t="shared" si="141"/>
        <v>40</v>
      </c>
    </row>
    <row r="918" spans="1:10" ht="31.5" x14ac:dyDescent="0.25">
      <c r="A918" s="45" t="s">
        <v>154</v>
      </c>
      <c r="B918" s="20" t="s">
        <v>1273</v>
      </c>
      <c r="C918" s="40" t="s">
        <v>133</v>
      </c>
      <c r="D918" s="40" t="s">
        <v>155</v>
      </c>
      <c r="E918" s="2"/>
      <c r="F918" s="2"/>
      <c r="G918" s="6">
        <f t="shared" si="141"/>
        <v>40</v>
      </c>
      <c r="H918" s="6">
        <f t="shared" si="141"/>
        <v>40</v>
      </c>
    </row>
    <row r="919" spans="1:10" ht="47.25" x14ac:dyDescent="0.25">
      <c r="A919" s="100" t="s">
        <v>186</v>
      </c>
      <c r="B919" s="20" t="s">
        <v>903</v>
      </c>
      <c r="C919" s="40" t="s">
        <v>133</v>
      </c>
      <c r="D919" s="40" t="s">
        <v>155</v>
      </c>
      <c r="E919" s="2"/>
      <c r="F919" s="2"/>
      <c r="G919" s="6">
        <f t="shared" si="141"/>
        <v>40</v>
      </c>
      <c r="H919" s="6">
        <f t="shared" si="141"/>
        <v>40</v>
      </c>
    </row>
    <row r="920" spans="1:10" ht="47.25" x14ac:dyDescent="0.25">
      <c r="A920" s="45" t="s">
        <v>146</v>
      </c>
      <c r="B920" s="20" t="s">
        <v>903</v>
      </c>
      <c r="C920" s="40" t="s">
        <v>133</v>
      </c>
      <c r="D920" s="40" t="s">
        <v>155</v>
      </c>
      <c r="E920" s="2">
        <v>200</v>
      </c>
      <c r="F920" s="2"/>
      <c r="G920" s="6">
        <f t="shared" si="141"/>
        <v>40</v>
      </c>
      <c r="H920" s="6">
        <f t="shared" si="141"/>
        <v>40</v>
      </c>
    </row>
    <row r="921" spans="1:10" ht="63" x14ac:dyDescent="0.25">
      <c r="A921" s="45" t="s">
        <v>148</v>
      </c>
      <c r="B921" s="20" t="s">
        <v>903</v>
      </c>
      <c r="C921" s="40" t="s">
        <v>133</v>
      </c>
      <c r="D921" s="40" t="s">
        <v>155</v>
      </c>
      <c r="E921" s="2">
        <v>240</v>
      </c>
      <c r="F921" s="2"/>
      <c r="G921" s="6">
        <f>'пр.6.1.ведом.21-22'!G128</f>
        <v>40</v>
      </c>
      <c r="H921" s="6">
        <f>'пр.6.1.ведом.21-22'!H128</f>
        <v>40</v>
      </c>
    </row>
    <row r="922" spans="1:10" ht="31.5" x14ac:dyDescent="0.25">
      <c r="A922" s="29" t="s">
        <v>163</v>
      </c>
      <c r="B922" s="20" t="s">
        <v>903</v>
      </c>
      <c r="C922" s="40" t="s">
        <v>133</v>
      </c>
      <c r="D922" s="40" t="s">
        <v>155</v>
      </c>
      <c r="E922" s="2">
        <v>240</v>
      </c>
      <c r="F922" s="2">
        <v>902</v>
      </c>
      <c r="G922" s="6">
        <f>G915</f>
        <v>40</v>
      </c>
      <c r="H922" s="6">
        <f>H915</f>
        <v>40</v>
      </c>
      <c r="J922" s="22"/>
    </row>
    <row r="923" spans="1:10" ht="94.5" x14ac:dyDescent="0.25">
      <c r="A923" s="41" t="s">
        <v>1193</v>
      </c>
      <c r="B923" s="24" t="s">
        <v>863</v>
      </c>
      <c r="C923" s="7"/>
      <c r="D923" s="7"/>
      <c r="E923" s="3"/>
      <c r="F923" s="3"/>
      <c r="G923" s="4">
        <f>G925</f>
        <v>100</v>
      </c>
      <c r="H923" s="4">
        <f>H925</f>
        <v>100</v>
      </c>
    </row>
    <row r="924" spans="1:10" ht="47.25" x14ac:dyDescent="0.25">
      <c r="A924" s="58" t="s">
        <v>904</v>
      </c>
      <c r="B924" s="24" t="s">
        <v>912</v>
      </c>
      <c r="C924" s="7"/>
      <c r="D924" s="7"/>
      <c r="E924" s="3"/>
      <c r="F924" s="3"/>
      <c r="G924" s="4">
        <f t="shared" ref="G924:H928" si="142">G925</f>
        <v>100</v>
      </c>
      <c r="H924" s="4">
        <f t="shared" si="142"/>
        <v>100</v>
      </c>
    </row>
    <row r="925" spans="1:10" ht="15.75" x14ac:dyDescent="0.25">
      <c r="A925" s="45" t="s">
        <v>132</v>
      </c>
      <c r="B925" s="20" t="s">
        <v>912</v>
      </c>
      <c r="C925" s="40" t="s">
        <v>133</v>
      </c>
      <c r="D925" s="40"/>
      <c r="E925" s="2"/>
      <c r="F925" s="2"/>
      <c r="G925" s="6">
        <f t="shared" si="142"/>
        <v>100</v>
      </c>
      <c r="H925" s="6">
        <f t="shared" si="142"/>
        <v>100</v>
      </c>
    </row>
    <row r="926" spans="1:10" ht="31.5" x14ac:dyDescent="0.25">
      <c r="A926" s="45" t="s">
        <v>154</v>
      </c>
      <c r="B926" s="20" t="s">
        <v>912</v>
      </c>
      <c r="C926" s="40" t="s">
        <v>133</v>
      </c>
      <c r="D926" s="40" t="s">
        <v>155</v>
      </c>
      <c r="E926" s="2"/>
      <c r="F926" s="2"/>
      <c r="G926" s="6">
        <f t="shared" si="142"/>
        <v>100</v>
      </c>
      <c r="H926" s="6">
        <f t="shared" si="142"/>
        <v>100</v>
      </c>
    </row>
    <row r="927" spans="1:10" ht="31.5" x14ac:dyDescent="0.25">
      <c r="A927" s="45" t="s">
        <v>190</v>
      </c>
      <c r="B927" s="20" t="s">
        <v>905</v>
      </c>
      <c r="C927" s="40" t="s">
        <v>133</v>
      </c>
      <c r="D927" s="40" t="s">
        <v>155</v>
      </c>
      <c r="E927" s="2"/>
      <c r="F927" s="2"/>
      <c r="G927" s="6">
        <f t="shared" si="142"/>
        <v>100</v>
      </c>
      <c r="H927" s="6">
        <f t="shared" si="142"/>
        <v>100</v>
      </c>
    </row>
    <row r="928" spans="1:10" ht="47.25" x14ac:dyDescent="0.25">
      <c r="A928" s="45" t="s">
        <v>146</v>
      </c>
      <c r="B928" s="20" t="s">
        <v>905</v>
      </c>
      <c r="C928" s="40" t="s">
        <v>133</v>
      </c>
      <c r="D928" s="40" t="s">
        <v>155</v>
      </c>
      <c r="E928" s="2">
        <v>200</v>
      </c>
      <c r="F928" s="2"/>
      <c r="G928" s="6">
        <f t="shared" si="142"/>
        <v>100</v>
      </c>
      <c r="H928" s="6">
        <f t="shared" si="142"/>
        <v>100</v>
      </c>
    </row>
    <row r="929" spans="1:8" ht="63" x14ac:dyDescent="0.25">
      <c r="A929" s="45" t="s">
        <v>148</v>
      </c>
      <c r="B929" s="20" t="s">
        <v>905</v>
      </c>
      <c r="C929" s="40" t="s">
        <v>133</v>
      </c>
      <c r="D929" s="40" t="s">
        <v>155</v>
      </c>
      <c r="E929" s="2">
        <v>240</v>
      </c>
      <c r="F929" s="2"/>
      <c r="G929" s="6">
        <f>'пр.6.1.ведом.21-22'!G133</f>
        <v>100</v>
      </c>
      <c r="H929" s="6">
        <f>'пр.6.1.ведом.21-22'!H133</f>
        <v>100</v>
      </c>
    </row>
    <row r="930" spans="1:8" ht="31.5" x14ac:dyDescent="0.25">
      <c r="A930" s="29" t="s">
        <v>163</v>
      </c>
      <c r="B930" s="20" t="s">
        <v>905</v>
      </c>
      <c r="C930" s="40" t="s">
        <v>133</v>
      </c>
      <c r="D930" s="40" t="s">
        <v>155</v>
      </c>
      <c r="E930" s="2">
        <v>240</v>
      </c>
      <c r="F930" s="2">
        <v>902</v>
      </c>
      <c r="G930" s="6">
        <f>G923</f>
        <v>100</v>
      </c>
      <c r="H930" s="6">
        <f>H923</f>
        <v>100</v>
      </c>
    </row>
    <row r="931" spans="1:8" s="229" customFormat="1" ht="63" x14ac:dyDescent="0.25">
      <c r="A931" s="23" t="s">
        <v>1384</v>
      </c>
      <c r="B931" s="24" t="s">
        <v>1383</v>
      </c>
      <c r="C931" s="40"/>
      <c r="D931" s="40"/>
      <c r="E931" s="2"/>
      <c r="F931" s="2"/>
      <c r="G931" s="4">
        <f t="shared" ref="G931:H937" si="143">G932</f>
        <v>235</v>
      </c>
      <c r="H931" s="4">
        <f t="shared" si="143"/>
        <v>204</v>
      </c>
    </row>
    <row r="932" spans="1:8" s="229" customFormat="1" ht="47.25" x14ac:dyDescent="0.25">
      <c r="A932" s="23" t="s">
        <v>1385</v>
      </c>
      <c r="B932" s="24" t="s">
        <v>1386</v>
      </c>
      <c r="C932" s="40"/>
      <c r="D932" s="40"/>
      <c r="E932" s="2"/>
      <c r="F932" s="2"/>
      <c r="G932" s="4">
        <f t="shared" si="143"/>
        <v>235</v>
      </c>
      <c r="H932" s="4">
        <f t="shared" si="143"/>
        <v>204</v>
      </c>
    </row>
    <row r="933" spans="1:8" s="229" customFormat="1" ht="15.75" x14ac:dyDescent="0.25">
      <c r="A933" s="29" t="s">
        <v>405</v>
      </c>
      <c r="B933" s="20" t="s">
        <v>1386</v>
      </c>
      <c r="C933" s="40" t="s">
        <v>249</v>
      </c>
      <c r="D933" s="40"/>
      <c r="E933" s="2"/>
      <c r="F933" s="2"/>
      <c r="G933" s="6">
        <f t="shared" si="143"/>
        <v>235</v>
      </c>
      <c r="H933" s="6">
        <f t="shared" si="143"/>
        <v>204</v>
      </c>
    </row>
    <row r="934" spans="1:8" s="229" customFormat="1" ht="15.75" x14ac:dyDescent="0.25">
      <c r="A934" s="29" t="s">
        <v>532</v>
      </c>
      <c r="B934" s="20" t="s">
        <v>1386</v>
      </c>
      <c r="C934" s="40" t="s">
        <v>249</v>
      </c>
      <c r="D934" s="40" t="s">
        <v>228</v>
      </c>
      <c r="E934" s="2"/>
      <c r="F934" s="2"/>
      <c r="G934" s="6">
        <f t="shared" si="143"/>
        <v>235</v>
      </c>
      <c r="H934" s="6">
        <f t="shared" si="143"/>
        <v>204</v>
      </c>
    </row>
    <row r="935" spans="1:8" s="229" customFormat="1" ht="31.5" x14ac:dyDescent="0.25">
      <c r="A935" s="29" t="s">
        <v>1388</v>
      </c>
      <c r="B935" s="20" t="s">
        <v>1387</v>
      </c>
      <c r="C935" s="40" t="s">
        <v>249</v>
      </c>
      <c r="D935" s="40" t="s">
        <v>228</v>
      </c>
      <c r="E935" s="2"/>
      <c r="F935" s="2"/>
      <c r="G935" s="6">
        <f t="shared" si="143"/>
        <v>235</v>
      </c>
      <c r="H935" s="6">
        <f t="shared" si="143"/>
        <v>204</v>
      </c>
    </row>
    <row r="936" spans="1:8" s="229" customFormat="1" ht="47.25" x14ac:dyDescent="0.25">
      <c r="A936" s="45" t="s">
        <v>146</v>
      </c>
      <c r="B936" s="20" t="s">
        <v>1387</v>
      </c>
      <c r="C936" s="40" t="s">
        <v>249</v>
      </c>
      <c r="D936" s="40" t="s">
        <v>228</v>
      </c>
      <c r="E936" s="2">
        <v>200</v>
      </c>
      <c r="F936" s="2"/>
      <c r="G936" s="6">
        <f t="shared" si="143"/>
        <v>235</v>
      </c>
      <c r="H936" s="6">
        <f t="shared" si="143"/>
        <v>204</v>
      </c>
    </row>
    <row r="937" spans="1:8" s="229" customFormat="1" ht="63" x14ac:dyDescent="0.25">
      <c r="A937" s="45" t="s">
        <v>148</v>
      </c>
      <c r="B937" s="20" t="s">
        <v>1387</v>
      </c>
      <c r="C937" s="40" t="s">
        <v>249</v>
      </c>
      <c r="D937" s="40" t="s">
        <v>228</v>
      </c>
      <c r="E937" s="2">
        <v>240</v>
      </c>
      <c r="F937" s="2"/>
      <c r="G937" s="6">
        <f t="shared" si="143"/>
        <v>235</v>
      </c>
      <c r="H937" s="6">
        <f t="shared" si="143"/>
        <v>204</v>
      </c>
    </row>
    <row r="938" spans="1:8" s="229" customFormat="1" ht="78.75" x14ac:dyDescent="0.25">
      <c r="A938" s="29" t="s">
        <v>1321</v>
      </c>
      <c r="B938" s="20" t="s">
        <v>1387</v>
      </c>
      <c r="C938" s="40" t="s">
        <v>249</v>
      </c>
      <c r="D938" s="40" t="s">
        <v>228</v>
      </c>
      <c r="E938" s="2">
        <v>240</v>
      </c>
      <c r="F938" s="2">
        <v>908</v>
      </c>
      <c r="G938" s="6">
        <f>'пр.6.1.ведом.21-22'!G951</f>
        <v>235</v>
      </c>
      <c r="H938" s="6">
        <f>'пр.6.1.ведом.21-22'!H951</f>
        <v>204</v>
      </c>
    </row>
    <row r="939" spans="1:8" ht="15.75" x14ac:dyDescent="0.25">
      <c r="A939" s="72" t="s">
        <v>673</v>
      </c>
      <c r="B939" s="72"/>
      <c r="C939" s="72"/>
      <c r="D939" s="72"/>
      <c r="E939" s="72"/>
      <c r="F939" s="72"/>
      <c r="G939" s="289">
        <f>G923+G915+G907+G899+G841+G806+G737+G680+G649+G500+G439+G427+G389+G377+G160+G27+G9+G756+G931</f>
        <v>477485.62</v>
      </c>
      <c r="H939" s="289">
        <f>H923+H915+H907+H899+H841+H806+H737+H680+H649+H500+H439+H427+H389+H377+H160+H27+H9+H756+H931</f>
        <v>470359.72</v>
      </c>
    </row>
    <row r="941" spans="1:8" hidden="1" x14ac:dyDescent="0.25">
      <c r="G941" s="288">
        <f>'пр.6.1.ведом.21-22'!G1142</f>
        <v>477485.62000000005</v>
      </c>
      <c r="H941" s="288">
        <f>'пр.6.1.ведом.21-22'!H1142</f>
        <v>470359.72000000003</v>
      </c>
    </row>
    <row r="942" spans="1:8" hidden="1" x14ac:dyDescent="0.25"/>
    <row r="943" spans="1:8" hidden="1" x14ac:dyDescent="0.25">
      <c r="G943" s="288">
        <f>G941-G939</f>
        <v>0</v>
      </c>
      <c r="H943" s="288">
        <f>H941-H939</f>
        <v>0</v>
      </c>
    </row>
  </sheetData>
  <mergeCells count="4">
    <mergeCell ref="A5:H5"/>
    <mergeCell ref="G3:H3"/>
    <mergeCell ref="G2:H2"/>
    <mergeCell ref="G1:H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F3" sqref="F3:G3"/>
    </sheetView>
  </sheetViews>
  <sheetFormatPr defaultRowHeight="15" x14ac:dyDescent="0.25"/>
  <cols>
    <col min="1" max="1" width="33.28515625" customWidth="1"/>
    <col min="2" max="2" width="15.5703125" style="229" customWidth="1"/>
    <col min="4" max="4" width="8" customWidth="1"/>
    <col min="5" max="5" width="8.85546875" style="229" customWidth="1"/>
    <col min="6" max="6" width="13.7109375" customWidth="1"/>
    <col min="7" max="7" width="15.140625" customWidth="1"/>
  </cols>
  <sheetData>
    <row r="1" spans="1:7" ht="18.75" customHeight="1" x14ac:dyDescent="0.25">
      <c r="A1" s="479"/>
      <c r="B1" s="479"/>
      <c r="C1" s="479"/>
      <c r="D1" s="62"/>
      <c r="E1" s="62"/>
      <c r="F1" s="480" t="s">
        <v>1498</v>
      </c>
      <c r="G1" s="480"/>
    </row>
    <row r="2" spans="1:7" ht="18.75" customHeight="1" x14ac:dyDescent="0.25">
      <c r="A2" s="479"/>
      <c r="B2" s="479"/>
      <c r="C2" s="479"/>
      <c r="D2" s="62"/>
      <c r="E2" s="62"/>
      <c r="F2" s="480" t="s">
        <v>1497</v>
      </c>
      <c r="G2" s="480"/>
    </row>
    <row r="3" spans="1:7" ht="15.75" x14ac:dyDescent="0.25">
      <c r="A3" s="62"/>
      <c r="B3" s="62"/>
      <c r="C3" s="62"/>
      <c r="D3" s="62"/>
      <c r="E3" s="62"/>
      <c r="F3" s="467" t="s">
        <v>1500</v>
      </c>
      <c r="G3" s="467"/>
    </row>
    <row r="4" spans="1:7" s="229" customFormat="1" ht="15.75" x14ac:dyDescent="0.25">
      <c r="A4" s="62"/>
      <c r="B4" s="62"/>
      <c r="C4" s="62"/>
      <c r="D4" s="62"/>
      <c r="E4" s="62"/>
      <c r="F4" s="62"/>
      <c r="G4" s="132"/>
    </row>
    <row r="5" spans="1:7" s="229" customFormat="1" ht="15.75" x14ac:dyDescent="0.25">
      <c r="A5" s="62"/>
      <c r="B5" s="62"/>
      <c r="C5" s="62"/>
      <c r="D5" s="62"/>
      <c r="E5" s="62"/>
      <c r="F5" s="62"/>
      <c r="G5" s="132"/>
    </row>
    <row r="6" spans="1:7" x14ac:dyDescent="0.25">
      <c r="A6" s="469" t="s">
        <v>1499</v>
      </c>
      <c r="B6" s="469"/>
      <c r="C6" s="469"/>
      <c r="D6" s="469"/>
      <c r="E6" s="469"/>
      <c r="F6" s="469"/>
      <c r="G6" s="469"/>
    </row>
    <row r="7" spans="1:7" x14ac:dyDescent="0.25">
      <c r="A7" s="469"/>
      <c r="B7" s="469"/>
      <c r="C7" s="469"/>
      <c r="D7" s="469"/>
      <c r="E7" s="469"/>
      <c r="F7" s="469"/>
      <c r="G7" s="469"/>
    </row>
    <row r="8" spans="1:7" ht="16.5" x14ac:dyDescent="0.25">
      <c r="A8" s="335"/>
      <c r="B8" s="335"/>
      <c r="C8" s="335"/>
      <c r="D8" s="335"/>
      <c r="E8" s="335"/>
      <c r="F8" s="335"/>
      <c r="G8" s="335"/>
    </row>
    <row r="9" spans="1:7" ht="15.75" x14ac:dyDescent="0.25">
      <c r="A9" s="62"/>
      <c r="B9" s="62"/>
      <c r="C9" s="62"/>
      <c r="D9" s="62"/>
      <c r="E9" s="62"/>
      <c r="F9" s="64"/>
      <c r="G9" s="65" t="s">
        <v>1</v>
      </c>
    </row>
    <row r="10" spans="1:7" ht="31.5" x14ac:dyDescent="0.25">
      <c r="A10" s="66" t="s">
        <v>608</v>
      </c>
      <c r="B10" s="66" t="s">
        <v>1306</v>
      </c>
      <c r="C10" s="66" t="s">
        <v>1304</v>
      </c>
      <c r="D10" s="66" t="s">
        <v>128</v>
      </c>
      <c r="E10" s="66" t="s">
        <v>1305</v>
      </c>
      <c r="F10" s="66" t="s">
        <v>126</v>
      </c>
      <c r="G10" s="66" t="s">
        <v>1203</v>
      </c>
    </row>
    <row r="11" spans="1:7" s="229" customFormat="1" ht="78.75" x14ac:dyDescent="0.25">
      <c r="A11" s="303" t="s">
        <v>1212</v>
      </c>
      <c r="B11" s="20" t="s">
        <v>1233</v>
      </c>
      <c r="C11" s="40"/>
      <c r="D11" s="40"/>
      <c r="E11" s="40"/>
      <c r="F11" s="5"/>
      <c r="G11" s="80">
        <f>G12</f>
        <v>25</v>
      </c>
    </row>
    <row r="12" spans="1:7" s="229" customFormat="1" ht="15.75" x14ac:dyDescent="0.25">
      <c r="A12" s="45" t="s">
        <v>278</v>
      </c>
      <c r="B12" s="20" t="s">
        <v>1233</v>
      </c>
      <c r="C12" s="40" t="s">
        <v>279</v>
      </c>
      <c r="D12" s="40"/>
      <c r="E12" s="214"/>
      <c r="F12" s="5"/>
      <c r="G12" s="80">
        <f>G13</f>
        <v>25</v>
      </c>
    </row>
    <row r="13" spans="1:7" s="229" customFormat="1" ht="31.5" x14ac:dyDescent="0.25">
      <c r="A13" s="45" t="s">
        <v>481</v>
      </c>
      <c r="B13" s="20" t="s">
        <v>1233</v>
      </c>
      <c r="C13" s="40" t="s">
        <v>279</v>
      </c>
      <c r="D13" s="40" t="s">
        <v>279</v>
      </c>
      <c r="E13" s="214"/>
      <c r="F13" s="5"/>
      <c r="G13" s="80">
        <f>G14</f>
        <v>25</v>
      </c>
    </row>
    <row r="14" spans="1:7" ht="31.5" x14ac:dyDescent="0.25">
      <c r="A14" s="29" t="s">
        <v>263</v>
      </c>
      <c r="B14" s="20" t="s">
        <v>1233</v>
      </c>
      <c r="C14" s="40" t="s">
        <v>279</v>
      </c>
      <c r="D14" s="40" t="s">
        <v>279</v>
      </c>
      <c r="E14" s="40" t="s">
        <v>264</v>
      </c>
      <c r="F14" s="5"/>
      <c r="G14" s="80">
        <f>G15</f>
        <v>25</v>
      </c>
    </row>
    <row r="15" spans="1:7" ht="39" customHeight="1" x14ac:dyDescent="0.25">
      <c r="A15" s="29" t="s">
        <v>363</v>
      </c>
      <c r="B15" s="20" t="s">
        <v>1233</v>
      </c>
      <c r="C15" s="40" t="s">
        <v>279</v>
      </c>
      <c r="D15" s="40" t="s">
        <v>279</v>
      </c>
      <c r="E15" s="40" t="s">
        <v>364</v>
      </c>
      <c r="F15" s="5"/>
      <c r="G15" s="80">
        <f>G16</f>
        <v>25</v>
      </c>
    </row>
    <row r="16" spans="1:7" s="229" customFormat="1" ht="66" customHeight="1" x14ac:dyDescent="0.25">
      <c r="A16" s="45" t="s">
        <v>674</v>
      </c>
      <c r="B16" s="20" t="s">
        <v>1233</v>
      </c>
      <c r="C16" s="40" t="s">
        <v>279</v>
      </c>
      <c r="D16" s="40" t="s">
        <v>279</v>
      </c>
      <c r="E16" s="40" t="s">
        <v>364</v>
      </c>
      <c r="F16" s="5">
        <v>903</v>
      </c>
      <c r="G16" s="80">
        <f>'Пр.6 ведом.20'!G331</f>
        <v>25</v>
      </c>
    </row>
    <row r="17" spans="1:7" s="229" customFormat="1" ht="42.75" customHeight="1" x14ac:dyDescent="0.25">
      <c r="A17" s="25" t="s">
        <v>1214</v>
      </c>
      <c r="B17" s="20" t="s">
        <v>981</v>
      </c>
      <c r="C17" s="40"/>
      <c r="D17" s="40"/>
      <c r="E17" s="40"/>
      <c r="F17" s="5"/>
      <c r="G17" s="80">
        <f>G18</f>
        <v>420</v>
      </c>
    </row>
    <row r="18" spans="1:7" s="229" customFormat="1" ht="20.25" customHeight="1" x14ac:dyDescent="0.25">
      <c r="A18" s="25" t="s">
        <v>1292</v>
      </c>
      <c r="B18" s="20" t="s">
        <v>981</v>
      </c>
      <c r="C18" s="40" t="s">
        <v>259</v>
      </c>
      <c r="D18" s="40"/>
      <c r="E18" s="40"/>
      <c r="F18" s="5"/>
      <c r="G18" s="80">
        <f>G19</f>
        <v>420</v>
      </c>
    </row>
    <row r="19" spans="1:7" s="229" customFormat="1" ht="37.5" customHeight="1" x14ac:dyDescent="0.25">
      <c r="A19" s="29" t="s">
        <v>267</v>
      </c>
      <c r="B19" s="20" t="s">
        <v>981</v>
      </c>
      <c r="C19" s="40" t="s">
        <v>259</v>
      </c>
      <c r="D19" s="40" t="s">
        <v>230</v>
      </c>
      <c r="E19" s="40"/>
      <c r="F19" s="5"/>
      <c r="G19" s="80">
        <f>G20</f>
        <v>420</v>
      </c>
    </row>
    <row r="20" spans="1:7" s="229" customFormat="1" ht="33.75" customHeight="1" x14ac:dyDescent="0.25">
      <c r="A20" s="25" t="s">
        <v>263</v>
      </c>
      <c r="B20" s="20" t="s">
        <v>981</v>
      </c>
      <c r="C20" s="40" t="s">
        <v>259</v>
      </c>
      <c r="D20" s="40" t="s">
        <v>230</v>
      </c>
      <c r="E20" s="40" t="s">
        <v>264</v>
      </c>
      <c r="F20" s="5"/>
      <c r="G20" s="80">
        <f>G21</f>
        <v>420</v>
      </c>
    </row>
    <row r="21" spans="1:7" s="229" customFormat="1" ht="37.5" customHeight="1" x14ac:dyDescent="0.25">
      <c r="A21" s="25" t="s">
        <v>363</v>
      </c>
      <c r="B21" s="20" t="s">
        <v>981</v>
      </c>
      <c r="C21" s="40" t="s">
        <v>259</v>
      </c>
      <c r="D21" s="40" t="s">
        <v>230</v>
      </c>
      <c r="E21" s="40" t="s">
        <v>364</v>
      </c>
      <c r="F21" s="5"/>
      <c r="G21" s="80">
        <f>G22</f>
        <v>420</v>
      </c>
    </row>
    <row r="22" spans="1:7" s="229" customFormat="1" ht="66" customHeight="1" x14ac:dyDescent="0.25">
      <c r="A22" s="45" t="s">
        <v>674</v>
      </c>
      <c r="B22" s="20" t="s">
        <v>981</v>
      </c>
      <c r="C22" s="40" t="s">
        <v>259</v>
      </c>
      <c r="D22" s="40" t="s">
        <v>230</v>
      </c>
      <c r="E22" s="40" t="s">
        <v>364</v>
      </c>
      <c r="F22" s="5">
        <v>903</v>
      </c>
      <c r="G22" s="80">
        <f>'Пр.6 ведом.20'!G444</f>
        <v>420</v>
      </c>
    </row>
    <row r="23" spans="1:7" s="229" customFormat="1" ht="91.5" customHeight="1" x14ac:dyDescent="0.25">
      <c r="A23" s="101" t="s">
        <v>1217</v>
      </c>
      <c r="B23" s="20" t="s">
        <v>984</v>
      </c>
      <c r="C23" s="40"/>
      <c r="D23" s="40"/>
      <c r="E23" s="40"/>
      <c r="F23" s="5"/>
      <c r="G23" s="80">
        <f>G24</f>
        <v>630</v>
      </c>
    </row>
    <row r="24" spans="1:7" ht="15.75" x14ac:dyDescent="0.25">
      <c r="A24" s="81" t="s">
        <v>258</v>
      </c>
      <c r="B24" s="20" t="s">
        <v>984</v>
      </c>
      <c r="C24" s="9" t="s">
        <v>259</v>
      </c>
      <c r="D24" s="9"/>
      <c r="E24" s="9"/>
      <c r="F24" s="9"/>
      <c r="G24" s="295">
        <f>G25</f>
        <v>630</v>
      </c>
    </row>
    <row r="25" spans="1:7" ht="31.5" x14ac:dyDescent="0.25">
      <c r="A25" s="29" t="s">
        <v>267</v>
      </c>
      <c r="B25" s="20" t="s">
        <v>984</v>
      </c>
      <c r="C25" s="40" t="s">
        <v>259</v>
      </c>
      <c r="D25" s="40" t="s">
        <v>230</v>
      </c>
      <c r="E25" s="40"/>
      <c r="F25" s="5"/>
      <c r="G25" s="80">
        <f>G26</f>
        <v>630</v>
      </c>
    </row>
    <row r="26" spans="1:7" ht="31.5" x14ac:dyDescent="0.25">
      <c r="A26" s="29" t="s">
        <v>263</v>
      </c>
      <c r="B26" s="20" t="s">
        <v>984</v>
      </c>
      <c r="C26" s="40" t="s">
        <v>259</v>
      </c>
      <c r="D26" s="40" t="s">
        <v>230</v>
      </c>
      <c r="E26" s="40" t="s">
        <v>264</v>
      </c>
      <c r="F26" s="5"/>
      <c r="G26" s="80">
        <f>G27</f>
        <v>630</v>
      </c>
    </row>
    <row r="27" spans="1:7" ht="47.25" x14ac:dyDescent="0.25">
      <c r="A27" s="29" t="s">
        <v>363</v>
      </c>
      <c r="B27" s="20" t="s">
        <v>984</v>
      </c>
      <c r="C27" s="40" t="s">
        <v>259</v>
      </c>
      <c r="D27" s="40" t="s">
        <v>230</v>
      </c>
      <c r="E27" s="82" t="s">
        <v>364</v>
      </c>
      <c r="F27" s="5"/>
      <c r="G27" s="80">
        <f>G28</f>
        <v>630</v>
      </c>
    </row>
    <row r="28" spans="1:7" s="229" customFormat="1" ht="78.75" x14ac:dyDescent="0.25">
      <c r="A28" s="45" t="s">
        <v>674</v>
      </c>
      <c r="B28" s="20" t="s">
        <v>984</v>
      </c>
      <c r="C28" s="40" t="s">
        <v>259</v>
      </c>
      <c r="D28" s="40" t="s">
        <v>230</v>
      </c>
      <c r="E28" s="82" t="s">
        <v>364</v>
      </c>
      <c r="F28" s="5">
        <v>903</v>
      </c>
      <c r="G28" s="80">
        <f>'Пр.6 ведом.20'!G449</f>
        <v>630</v>
      </c>
    </row>
    <row r="29" spans="1:7" ht="31.5" x14ac:dyDescent="0.25">
      <c r="A29" s="25" t="s">
        <v>1154</v>
      </c>
      <c r="B29" s="20" t="s">
        <v>986</v>
      </c>
      <c r="C29" s="40"/>
      <c r="D29" s="40"/>
      <c r="E29" s="40"/>
      <c r="F29" s="5"/>
      <c r="G29" s="74">
        <f>G30</f>
        <v>210</v>
      </c>
    </row>
    <row r="30" spans="1:7" s="229" customFormat="1" ht="15.75" x14ac:dyDescent="0.25">
      <c r="A30" s="81" t="s">
        <v>258</v>
      </c>
      <c r="B30" s="20" t="s">
        <v>986</v>
      </c>
      <c r="C30" s="40" t="s">
        <v>259</v>
      </c>
      <c r="D30" s="40"/>
      <c r="E30" s="40"/>
      <c r="F30" s="5"/>
      <c r="G30" s="74">
        <f>G31</f>
        <v>210</v>
      </c>
    </row>
    <row r="31" spans="1:7" ht="31.5" x14ac:dyDescent="0.25">
      <c r="A31" s="29" t="s">
        <v>267</v>
      </c>
      <c r="B31" s="20" t="s">
        <v>986</v>
      </c>
      <c r="C31" s="40" t="s">
        <v>259</v>
      </c>
      <c r="D31" s="40" t="s">
        <v>230</v>
      </c>
      <c r="E31" s="40"/>
      <c r="F31" s="5"/>
      <c r="G31" s="74">
        <f>G32</f>
        <v>210</v>
      </c>
    </row>
    <row r="32" spans="1:7" ht="31.5" x14ac:dyDescent="0.25">
      <c r="A32" s="29" t="s">
        <v>263</v>
      </c>
      <c r="B32" s="20" t="s">
        <v>986</v>
      </c>
      <c r="C32" s="40" t="s">
        <v>259</v>
      </c>
      <c r="D32" s="40" t="s">
        <v>230</v>
      </c>
      <c r="E32" s="40" t="s">
        <v>264</v>
      </c>
      <c r="F32" s="5"/>
      <c r="G32" s="74">
        <f>G33</f>
        <v>210</v>
      </c>
    </row>
    <row r="33" spans="1:7" ht="47.25" x14ac:dyDescent="0.25">
      <c r="A33" s="29" t="s">
        <v>363</v>
      </c>
      <c r="B33" s="20" t="s">
        <v>986</v>
      </c>
      <c r="C33" s="40" t="s">
        <v>259</v>
      </c>
      <c r="D33" s="40" t="s">
        <v>230</v>
      </c>
      <c r="E33" s="40" t="s">
        <v>364</v>
      </c>
      <c r="F33" s="5"/>
      <c r="G33" s="74">
        <f>G34</f>
        <v>210</v>
      </c>
    </row>
    <row r="34" spans="1:7" s="229" customFormat="1" ht="78.75" x14ac:dyDescent="0.25">
      <c r="A34" s="45" t="s">
        <v>674</v>
      </c>
      <c r="B34" s="20" t="s">
        <v>986</v>
      </c>
      <c r="C34" s="40" t="s">
        <v>259</v>
      </c>
      <c r="D34" s="40" t="s">
        <v>230</v>
      </c>
      <c r="E34" s="40" t="s">
        <v>364</v>
      </c>
      <c r="F34" s="5">
        <v>903</v>
      </c>
      <c r="G34" s="74">
        <f>'Пр.6 ведом.20'!G455</f>
        <v>210</v>
      </c>
    </row>
    <row r="35" spans="1:7" s="229" customFormat="1" ht="63" x14ac:dyDescent="0.25">
      <c r="A35" s="25" t="s">
        <v>1218</v>
      </c>
      <c r="B35" s="20" t="s">
        <v>987</v>
      </c>
      <c r="C35" s="40"/>
      <c r="D35" s="40"/>
      <c r="E35" s="40"/>
      <c r="F35" s="5"/>
      <c r="G35" s="74">
        <f>G36</f>
        <v>250</v>
      </c>
    </row>
    <row r="36" spans="1:7" s="229" customFormat="1" ht="15.75" x14ac:dyDescent="0.25">
      <c r="A36" s="81" t="s">
        <v>258</v>
      </c>
      <c r="B36" s="20" t="s">
        <v>987</v>
      </c>
      <c r="C36" s="40" t="s">
        <v>259</v>
      </c>
      <c r="D36" s="40"/>
      <c r="E36" s="40"/>
      <c r="F36" s="5"/>
      <c r="G36" s="80">
        <f>G37</f>
        <v>250</v>
      </c>
    </row>
    <row r="37" spans="1:7" ht="31.5" x14ac:dyDescent="0.25">
      <c r="A37" s="29" t="s">
        <v>267</v>
      </c>
      <c r="B37" s="20" t="s">
        <v>987</v>
      </c>
      <c r="C37" s="40" t="s">
        <v>259</v>
      </c>
      <c r="D37" s="40" t="s">
        <v>230</v>
      </c>
      <c r="E37" s="40"/>
      <c r="F37" s="5">
        <v>903</v>
      </c>
      <c r="G37" s="80">
        <f>G38</f>
        <v>250</v>
      </c>
    </row>
    <row r="38" spans="1:7" ht="31.5" x14ac:dyDescent="0.25">
      <c r="A38" s="29" t="s">
        <v>263</v>
      </c>
      <c r="B38" s="20" t="s">
        <v>987</v>
      </c>
      <c r="C38" s="40" t="s">
        <v>259</v>
      </c>
      <c r="D38" s="40" t="s">
        <v>230</v>
      </c>
      <c r="E38" s="40" t="s">
        <v>264</v>
      </c>
      <c r="F38" s="5">
        <v>903</v>
      </c>
      <c r="G38" s="80">
        <f>G39</f>
        <v>250</v>
      </c>
    </row>
    <row r="39" spans="1:7" ht="47.25" x14ac:dyDescent="0.25">
      <c r="A39" s="29" t="s">
        <v>363</v>
      </c>
      <c r="B39" s="20" t="s">
        <v>987</v>
      </c>
      <c r="C39" s="40" t="s">
        <v>259</v>
      </c>
      <c r="D39" s="40" t="s">
        <v>230</v>
      </c>
      <c r="E39" s="40" t="s">
        <v>364</v>
      </c>
      <c r="F39" s="5">
        <v>903</v>
      </c>
      <c r="G39" s="74">
        <f>'Пр.6 ведом.20'!G460</f>
        <v>250</v>
      </c>
    </row>
    <row r="40" spans="1:7" s="229" customFormat="1" ht="78.75" x14ac:dyDescent="0.25">
      <c r="A40" s="45" t="s">
        <v>674</v>
      </c>
      <c r="B40" s="20" t="s">
        <v>987</v>
      </c>
      <c r="C40" s="40" t="s">
        <v>259</v>
      </c>
      <c r="D40" s="40" t="s">
        <v>230</v>
      </c>
      <c r="E40" s="40" t="s">
        <v>364</v>
      </c>
      <c r="F40" s="5">
        <v>903</v>
      </c>
      <c r="G40" s="74">
        <f>'Пр.6 ведом.20'!G460</f>
        <v>250</v>
      </c>
    </row>
    <row r="41" spans="1:7" ht="15.75" x14ac:dyDescent="0.25">
      <c r="A41" s="41" t="s">
        <v>673</v>
      </c>
      <c r="B41" s="336"/>
      <c r="C41" s="336"/>
      <c r="D41" s="336"/>
      <c r="E41" s="336"/>
      <c r="F41" s="41"/>
      <c r="G41" s="83">
        <f>G11+G17+G23+G29+G35</f>
        <v>1535</v>
      </c>
    </row>
  </sheetData>
  <mergeCells count="5">
    <mergeCell ref="A6:G7"/>
    <mergeCell ref="A1:C2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3" zoomScaleNormal="100" workbookViewId="0">
      <selection activeCell="O34" sqref="O34"/>
    </sheetView>
  </sheetViews>
  <sheetFormatPr defaultRowHeight="15" x14ac:dyDescent="0.25"/>
  <cols>
    <col min="1" max="1" width="40.7109375" customWidth="1"/>
    <col min="2" max="2" width="15.42578125" customWidth="1"/>
    <col min="3" max="3" width="5.42578125" customWidth="1"/>
    <col min="4" max="4" width="5.28515625" customWidth="1"/>
    <col min="5" max="5" width="6.5703125" customWidth="1"/>
    <col min="6" max="6" width="5.28515625" customWidth="1"/>
    <col min="7" max="7" width="8.140625" customWidth="1"/>
    <col min="8" max="8" width="8.5703125" customWidth="1"/>
  </cols>
  <sheetData>
    <row r="1" spans="1:9" ht="15.75" x14ac:dyDescent="0.25">
      <c r="A1" s="479"/>
      <c r="B1" s="479"/>
      <c r="C1" s="479"/>
      <c r="D1" s="62"/>
      <c r="E1" s="480" t="s">
        <v>1503</v>
      </c>
      <c r="F1" s="480"/>
      <c r="G1" s="480"/>
      <c r="H1" s="480"/>
      <c r="I1" s="230"/>
    </row>
    <row r="2" spans="1:9" ht="15.75" x14ac:dyDescent="0.25">
      <c r="A2" s="479"/>
      <c r="B2" s="479"/>
      <c r="C2" s="479"/>
      <c r="D2" s="62"/>
      <c r="E2" s="480" t="s">
        <v>1502</v>
      </c>
      <c r="F2" s="480"/>
      <c r="G2" s="480"/>
      <c r="H2" s="480"/>
      <c r="I2" s="230"/>
    </row>
    <row r="3" spans="1:9" ht="15.75" x14ac:dyDescent="0.25">
      <c r="A3" s="62"/>
      <c r="B3" s="62"/>
      <c r="C3" s="62"/>
      <c r="D3" s="62"/>
      <c r="E3" s="456" t="s">
        <v>1501</v>
      </c>
      <c r="F3" s="456"/>
      <c r="G3" s="456"/>
      <c r="H3" s="456"/>
      <c r="I3" s="230"/>
    </row>
    <row r="4" spans="1:9" s="229" customFormat="1" ht="15.75" x14ac:dyDescent="0.25">
      <c r="A4" s="62"/>
      <c r="B4" s="62"/>
      <c r="C4" s="62"/>
      <c r="D4" s="62"/>
      <c r="E4" s="62"/>
      <c r="F4" s="62"/>
      <c r="G4" s="62"/>
      <c r="H4" s="132"/>
      <c r="I4" s="230"/>
    </row>
    <row r="5" spans="1:9" ht="39" customHeight="1" x14ac:dyDescent="0.25">
      <c r="A5" s="469" t="s">
        <v>1504</v>
      </c>
      <c r="B5" s="469"/>
      <c r="C5" s="469"/>
      <c r="D5" s="469"/>
      <c r="E5" s="469"/>
      <c r="F5" s="469"/>
      <c r="G5" s="469"/>
      <c r="H5" s="469"/>
      <c r="I5" s="230"/>
    </row>
    <row r="6" spans="1:9" ht="16.5" x14ac:dyDescent="0.25">
      <c r="A6" s="335"/>
      <c r="B6" s="335"/>
      <c r="C6" s="335"/>
      <c r="D6" s="335"/>
      <c r="E6" s="335"/>
      <c r="F6" s="335"/>
      <c r="G6" s="335"/>
      <c r="H6" s="230"/>
      <c r="I6" s="230"/>
    </row>
    <row r="7" spans="1:9" ht="15.75" x14ac:dyDescent="0.25">
      <c r="A7" s="62"/>
      <c r="B7" s="62"/>
      <c r="C7" s="62"/>
      <c r="D7" s="62"/>
      <c r="E7" s="62"/>
      <c r="F7" s="64"/>
      <c r="G7" s="230"/>
      <c r="H7" s="65" t="s">
        <v>1</v>
      </c>
      <c r="I7" s="230"/>
    </row>
    <row r="8" spans="1:9" ht="78.75" x14ac:dyDescent="0.25">
      <c r="A8" s="66" t="s">
        <v>608</v>
      </c>
      <c r="B8" s="66" t="s">
        <v>1306</v>
      </c>
      <c r="C8" s="66" t="s">
        <v>1304</v>
      </c>
      <c r="D8" s="66" t="s">
        <v>128</v>
      </c>
      <c r="E8" s="66" t="s">
        <v>1305</v>
      </c>
      <c r="F8" s="66" t="s">
        <v>126</v>
      </c>
      <c r="G8" s="66" t="s">
        <v>1204</v>
      </c>
      <c r="H8" s="66" t="s">
        <v>1205</v>
      </c>
      <c r="I8" s="230"/>
    </row>
    <row r="9" spans="1:9" ht="68.25" customHeight="1" x14ac:dyDescent="0.25">
      <c r="A9" s="303" t="s">
        <v>1212</v>
      </c>
      <c r="B9" s="20" t="s">
        <v>1233</v>
      </c>
      <c r="C9" s="40"/>
      <c r="D9" s="40"/>
      <c r="E9" s="40"/>
      <c r="F9" s="5"/>
      <c r="G9" s="80">
        <f t="shared" ref="G9:H13" si="0">G10</f>
        <v>25</v>
      </c>
      <c r="H9" s="80">
        <f t="shared" si="0"/>
        <v>25</v>
      </c>
      <c r="I9" s="230"/>
    </row>
    <row r="10" spans="1:9" ht="15.75" x14ac:dyDescent="0.25">
      <c r="A10" s="45" t="s">
        <v>278</v>
      </c>
      <c r="B10" s="20" t="s">
        <v>1233</v>
      </c>
      <c r="C10" s="40" t="s">
        <v>279</v>
      </c>
      <c r="D10" s="40"/>
      <c r="E10" s="214"/>
      <c r="F10" s="5"/>
      <c r="G10" s="80">
        <f t="shared" si="0"/>
        <v>25</v>
      </c>
      <c r="H10" s="80">
        <f t="shared" si="0"/>
        <v>25</v>
      </c>
      <c r="I10" s="230"/>
    </row>
    <row r="11" spans="1:9" ht="31.5" x14ac:dyDescent="0.25">
      <c r="A11" s="45" t="s">
        <v>481</v>
      </c>
      <c r="B11" s="20" t="s">
        <v>1233</v>
      </c>
      <c r="C11" s="40" t="s">
        <v>279</v>
      </c>
      <c r="D11" s="40" t="s">
        <v>279</v>
      </c>
      <c r="E11" s="214"/>
      <c r="F11" s="5"/>
      <c r="G11" s="80">
        <f t="shared" si="0"/>
        <v>25</v>
      </c>
      <c r="H11" s="80">
        <f t="shared" si="0"/>
        <v>25</v>
      </c>
      <c r="I11" s="230"/>
    </row>
    <row r="12" spans="1:9" ht="31.5" x14ac:dyDescent="0.25">
      <c r="A12" s="29" t="s">
        <v>263</v>
      </c>
      <c r="B12" s="20" t="s">
        <v>1233</v>
      </c>
      <c r="C12" s="40" t="s">
        <v>279</v>
      </c>
      <c r="D12" s="40" t="s">
        <v>279</v>
      </c>
      <c r="E12" s="40" t="s">
        <v>264</v>
      </c>
      <c r="F12" s="5"/>
      <c r="G12" s="80">
        <f t="shared" si="0"/>
        <v>25</v>
      </c>
      <c r="H12" s="80">
        <f t="shared" si="0"/>
        <v>25</v>
      </c>
      <c r="I12" s="230"/>
    </row>
    <row r="13" spans="1:9" ht="31.5" x14ac:dyDescent="0.25">
      <c r="A13" s="29" t="s">
        <v>363</v>
      </c>
      <c r="B13" s="20" t="s">
        <v>1233</v>
      </c>
      <c r="C13" s="40" t="s">
        <v>279</v>
      </c>
      <c r="D13" s="40" t="s">
        <v>279</v>
      </c>
      <c r="E13" s="40" t="s">
        <v>364</v>
      </c>
      <c r="F13" s="5"/>
      <c r="G13" s="80">
        <f t="shared" si="0"/>
        <v>25</v>
      </c>
      <c r="H13" s="80">
        <f t="shared" si="0"/>
        <v>25</v>
      </c>
      <c r="I13" s="230"/>
    </row>
    <row r="14" spans="1:9" ht="47.25" x14ac:dyDescent="0.25">
      <c r="A14" s="45" t="s">
        <v>674</v>
      </c>
      <c r="B14" s="20" t="s">
        <v>1233</v>
      </c>
      <c r="C14" s="40" t="s">
        <v>279</v>
      </c>
      <c r="D14" s="40" t="s">
        <v>279</v>
      </c>
      <c r="E14" s="40" t="s">
        <v>364</v>
      </c>
      <c r="F14" s="5">
        <v>903</v>
      </c>
      <c r="G14" s="80">
        <f>'пр.6.1.ведом.21-22'!G337</f>
        <v>25</v>
      </c>
      <c r="H14" s="80">
        <f>'пр.6.1.ведом.21-22'!H337</f>
        <v>25</v>
      </c>
      <c r="I14" s="230"/>
    </row>
    <row r="15" spans="1:9" ht="31.5" x14ac:dyDescent="0.25">
      <c r="A15" s="25" t="s">
        <v>1214</v>
      </c>
      <c r="B15" s="20" t="s">
        <v>981</v>
      </c>
      <c r="C15" s="40"/>
      <c r="D15" s="40"/>
      <c r="E15" s="40"/>
      <c r="F15" s="5"/>
      <c r="G15" s="80">
        <f t="shared" ref="G15:H19" si="1">G16</f>
        <v>420</v>
      </c>
      <c r="H15" s="80">
        <f t="shared" si="1"/>
        <v>420</v>
      </c>
      <c r="I15" s="230"/>
    </row>
    <row r="16" spans="1:9" ht="15.75" x14ac:dyDescent="0.25">
      <c r="A16" s="25" t="s">
        <v>1292</v>
      </c>
      <c r="B16" s="20" t="s">
        <v>981</v>
      </c>
      <c r="C16" s="40" t="s">
        <v>259</v>
      </c>
      <c r="D16" s="40"/>
      <c r="E16" s="40"/>
      <c r="F16" s="5"/>
      <c r="G16" s="80">
        <f t="shared" si="1"/>
        <v>420</v>
      </c>
      <c r="H16" s="80">
        <f t="shared" si="1"/>
        <v>420</v>
      </c>
      <c r="I16" s="230"/>
    </row>
    <row r="17" spans="1:9" ht="15.75" x14ac:dyDescent="0.25">
      <c r="A17" s="29" t="s">
        <v>267</v>
      </c>
      <c r="B17" s="20" t="s">
        <v>981</v>
      </c>
      <c r="C17" s="40" t="s">
        <v>259</v>
      </c>
      <c r="D17" s="40" t="s">
        <v>230</v>
      </c>
      <c r="E17" s="40"/>
      <c r="F17" s="5"/>
      <c r="G17" s="80">
        <f t="shared" si="1"/>
        <v>420</v>
      </c>
      <c r="H17" s="80">
        <f t="shared" si="1"/>
        <v>420</v>
      </c>
      <c r="I17" s="230"/>
    </row>
    <row r="18" spans="1:9" ht="31.5" x14ac:dyDescent="0.25">
      <c r="A18" s="25" t="s">
        <v>263</v>
      </c>
      <c r="B18" s="20" t="s">
        <v>981</v>
      </c>
      <c r="C18" s="40" t="s">
        <v>259</v>
      </c>
      <c r="D18" s="40" t="s">
        <v>230</v>
      </c>
      <c r="E18" s="40" t="s">
        <v>264</v>
      </c>
      <c r="F18" s="5"/>
      <c r="G18" s="80">
        <f t="shared" si="1"/>
        <v>420</v>
      </c>
      <c r="H18" s="80">
        <f t="shared" si="1"/>
        <v>420</v>
      </c>
      <c r="I18" s="230"/>
    </row>
    <row r="19" spans="1:9" ht="31.5" x14ac:dyDescent="0.25">
      <c r="A19" s="25" t="s">
        <v>363</v>
      </c>
      <c r="B19" s="20" t="s">
        <v>981</v>
      </c>
      <c r="C19" s="40" t="s">
        <v>259</v>
      </c>
      <c r="D19" s="40" t="s">
        <v>230</v>
      </c>
      <c r="E19" s="40" t="s">
        <v>364</v>
      </c>
      <c r="F19" s="5"/>
      <c r="G19" s="80">
        <f t="shared" si="1"/>
        <v>420</v>
      </c>
      <c r="H19" s="80">
        <f t="shared" si="1"/>
        <v>420</v>
      </c>
      <c r="I19" s="230"/>
    </row>
    <row r="20" spans="1:9" ht="47.25" x14ac:dyDescent="0.25">
      <c r="A20" s="45" t="s">
        <v>674</v>
      </c>
      <c r="B20" s="20" t="s">
        <v>981</v>
      </c>
      <c r="C20" s="40" t="s">
        <v>259</v>
      </c>
      <c r="D20" s="40" t="s">
        <v>230</v>
      </c>
      <c r="E20" s="40" t="s">
        <v>364</v>
      </c>
      <c r="F20" s="5">
        <v>903</v>
      </c>
      <c r="G20" s="80">
        <f>'пр.6.1.ведом.21-22'!G450</f>
        <v>420</v>
      </c>
      <c r="H20" s="80">
        <f>'пр.6.1.ведом.21-22'!H450</f>
        <v>420</v>
      </c>
      <c r="I20" s="230"/>
    </row>
    <row r="21" spans="1:9" ht="63" x14ac:dyDescent="0.25">
      <c r="A21" s="101" t="s">
        <v>1217</v>
      </c>
      <c r="B21" s="20" t="s">
        <v>984</v>
      </c>
      <c r="C21" s="40"/>
      <c r="D21" s="40"/>
      <c r="E21" s="40"/>
      <c r="F21" s="5"/>
      <c r="G21" s="80">
        <f t="shared" ref="G21:H25" si="2">G22</f>
        <v>630</v>
      </c>
      <c r="H21" s="80">
        <f t="shared" si="2"/>
        <v>630</v>
      </c>
      <c r="I21" s="230"/>
    </row>
    <row r="22" spans="1:9" ht="15.75" x14ac:dyDescent="0.25">
      <c r="A22" s="81" t="s">
        <v>258</v>
      </c>
      <c r="B22" s="20" t="s">
        <v>984</v>
      </c>
      <c r="C22" s="9" t="s">
        <v>259</v>
      </c>
      <c r="D22" s="9"/>
      <c r="E22" s="9"/>
      <c r="F22" s="9"/>
      <c r="G22" s="295">
        <f t="shared" si="2"/>
        <v>630</v>
      </c>
      <c r="H22" s="295">
        <f t="shared" si="2"/>
        <v>630</v>
      </c>
      <c r="I22" s="230"/>
    </row>
    <row r="23" spans="1:9" ht="15.75" x14ac:dyDescent="0.25">
      <c r="A23" s="29" t="s">
        <v>267</v>
      </c>
      <c r="B23" s="20" t="s">
        <v>984</v>
      </c>
      <c r="C23" s="40" t="s">
        <v>259</v>
      </c>
      <c r="D23" s="40" t="s">
        <v>230</v>
      </c>
      <c r="E23" s="40"/>
      <c r="F23" s="5"/>
      <c r="G23" s="80">
        <f t="shared" si="2"/>
        <v>630</v>
      </c>
      <c r="H23" s="80">
        <f t="shared" si="2"/>
        <v>630</v>
      </c>
      <c r="I23" s="230"/>
    </row>
    <row r="24" spans="1:9" ht="31.5" x14ac:dyDescent="0.25">
      <c r="A24" s="29" t="s">
        <v>263</v>
      </c>
      <c r="B24" s="20" t="s">
        <v>984</v>
      </c>
      <c r="C24" s="40" t="s">
        <v>259</v>
      </c>
      <c r="D24" s="40" t="s">
        <v>230</v>
      </c>
      <c r="E24" s="40" t="s">
        <v>264</v>
      </c>
      <c r="F24" s="5"/>
      <c r="G24" s="80">
        <f t="shared" si="2"/>
        <v>630</v>
      </c>
      <c r="H24" s="80">
        <f t="shared" si="2"/>
        <v>630</v>
      </c>
      <c r="I24" s="230"/>
    </row>
    <row r="25" spans="1:9" ht="31.5" x14ac:dyDescent="0.25">
      <c r="A25" s="29" t="s">
        <v>363</v>
      </c>
      <c r="B25" s="20" t="s">
        <v>984</v>
      </c>
      <c r="C25" s="40" t="s">
        <v>259</v>
      </c>
      <c r="D25" s="40" t="s">
        <v>230</v>
      </c>
      <c r="E25" s="82" t="s">
        <v>364</v>
      </c>
      <c r="F25" s="5"/>
      <c r="G25" s="80">
        <f t="shared" si="2"/>
        <v>630</v>
      </c>
      <c r="H25" s="80">
        <f t="shared" si="2"/>
        <v>630</v>
      </c>
      <c r="I25" s="230"/>
    </row>
    <row r="26" spans="1:9" ht="47.25" x14ac:dyDescent="0.25">
      <c r="A26" s="45" t="s">
        <v>674</v>
      </c>
      <c r="B26" s="20" t="s">
        <v>984</v>
      </c>
      <c r="C26" s="40" t="s">
        <v>259</v>
      </c>
      <c r="D26" s="40" t="s">
        <v>230</v>
      </c>
      <c r="E26" s="82" t="s">
        <v>364</v>
      </c>
      <c r="F26" s="5">
        <v>903</v>
      </c>
      <c r="G26" s="80">
        <f>'пр.6.1.ведом.21-22'!G455</f>
        <v>630</v>
      </c>
      <c r="H26" s="80">
        <f>'пр.6.1.ведом.21-22'!H455</f>
        <v>630</v>
      </c>
      <c r="I26" s="230"/>
    </row>
    <row r="27" spans="1:9" ht="31.5" x14ac:dyDescent="0.25">
      <c r="A27" s="25" t="s">
        <v>1154</v>
      </c>
      <c r="B27" s="20" t="s">
        <v>986</v>
      </c>
      <c r="C27" s="40"/>
      <c r="D27" s="40"/>
      <c r="E27" s="40"/>
      <c r="F27" s="5"/>
      <c r="G27" s="74">
        <f t="shared" ref="G27:H31" si="3">G28</f>
        <v>210</v>
      </c>
      <c r="H27" s="74">
        <f t="shared" si="3"/>
        <v>210</v>
      </c>
      <c r="I27" s="230"/>
    </row>
    <row r="28" spans="1:9" ht="15.75" x14ac:dyDescent="0.25">
      <c r="A28" s="81" t="s">
        <v>258</v>
      </c>
      <c r="B28" s="20" t="s">
        <v>986</v>
      </c>
      <c r="C28" s="40" t="s">
        <v>259</v>
      </c>
      <c r="D28" s="40"/>
      <c r="E28" s="40"/>
      <c r="F28" s="5"/>
      <c r="G28" s="74">
        <f t="shared" si="3"/>
        <v>210</v>
      </c>
      <c r="H28" s="74">
        <f t="shared" si="3"/>
        <v>210</v>
      </c>
      <c r="I28" s="230"/>
    </row>
    <row r="29" spans="1:9" ht="15.75" x14ac:dyDescent="0.25">
      <c r="A29" s="29" t="s">
        <v>267</v>
      </c>
      <c r="B29" s="20" t="s">
        <v>986</v>
      </c>
      <c r="C29" s="40" t="s">
        <v>259</v>
      </c>
      <c r="D29" s="40" t="s">
        <v>230</v>
      </c>
      <c r="E29" s="40"/>
      <c r="F29" s="5"/>
      <c r="G29" s="74">
        <f t="shared" si="3"/>
        <v>210</v>
      </c>
      <c r="H29" s="74">
        <f t="shared" si="3"/>
        <v>210</v>
      </c>
      <c r="I29" s="230"/>
    </row>
    <row r="30" spans="1:9" ht="31.5" x14ac:dyDescent="0.25">
      <c r="A30" s="29" t="s">
        <v>263</v>
      </c>
      <c r="B30" s="20" t="s">
        <v>986</v>
      </c>
      <c r="C30" s="40" t="s">
        <v>259</v>
      </c>
      <c r="D30" s="40" t="s">
        <v>230</v>
      </c>
      <c r="E30" s="40" t="s">
        <v>264</v>
      </c>
      <c r="F30" s="5"/>
      <c r="G30" s="74">
        <f t="shared" si="3"/>
        <v>210</v>
      </c>
      <c r="H30" s="74">
        <f t="shared" si="3"/>
        <v>210</v>
      </c>
      <c r="I30" s="230"/>
    </row>
    <row r="31" spans="1:9" ht="31.5" x14ac:dyDescent="0.25">
      <c r="A31" s="29" t="s">
        <v>363</v>
      </c>
      <c r="B31" s="20" t="s">
        <v>986</v>
      </c>
      <c r="C31" s="40" t="s">
        <v>259</v>
      </c>
      <c r="D31" s="40" t="s">
        <v>230</v>
      </c>
      <c r="E31" s="40" t="s">
        <v>364</v>
      </c>
      <c r="F31" s="5"/>
      <c r="G31" s="74">
        <f t="shared" si="3"/>
        <v>210</v>
      </c>
      <c r="H31" s="74">
        <f t="shared" si="3"/>
        <v>210</v>
      </c>
      <c r="I31" s="230"/>
    </row>
    <row r="32" spans="1:9" ht="47.25" x14ac:dyDescent="0.25">
      <c r="A32" s="45" t="s">
        <v>674</v>
      </c>
      <c r="B32" s="20" t="s">
        <v>986</v>
      </c>
      <c r="C32" s="40" t="s">
        <v>259</v>
      </c>
      <c r="D32" s="40" t="s">
        <v>230</v>
      </c>
      <c r="E32" s="40" t="s">
        <v>364</v>
      </c>
      <c r="F32" s="5">
        <v>903</v>
      </c>
      <c r="G32" s="74">
        <f>'пр.6.1.ведом.21-22'!G461</f>
        <v>210</v>
      </c>
      <c r="H32" s="74">
        <f>'пр.6.1.ведом.21-22'!H461</f>
        <v>210</v>
      </c>
      <c r="I32" s="230"/>
    </row>
    <row r="33" spans="1:9" ht="63" x14ac:dyDescent="0.25">
      <c r="A33" s="25" t="s">
        <v>1218</v>
      </c>
      <c r="B33" s="20" t="s">
        <v>987</v>
      </c>
      <c r="C33" s="40"/>
      <c r="D33" s="40"/>
      <c r="E33" s="40"/>
      <c r="F33" s="5"/>
      <c r="G33" s="74">
        <f t="shared" ref="G33:H36" si="4">G34</f>
        <v>250</v>
      </c>
      <c r="H33" s="74">
        <f t="shared" si="4"/>
        <v>250</v>
      </c>
      <c r="I33" s="230"/>
    </row>
    <row r="34" spans="1:9" ht="15.75" x14ac:dyDescent="0.25">
      <c r="A34" s="81" t="s">
        <v>258</v>
      </c>
      <c r="B34" s="20" t="s">
        <v>987</v>
      </c>
      <c r="C34" s="40" t="s">
        <v>259</v>
      </c>
      <c r="D34" s="40"/>
      <c r="E34" s="40"/>
      <c r="F34" s="5"/>
      <c r="G34" s="80">
        <f t="shared" si="4"/>
        <v>250</v>
      </c>
      <c r="H34" s="80">
        <f t="shared" si="4"/>
        <v>250</v>
      </c>
      <c r="I34" s="230"/>
    </row>
    <row r="35" spans="1:9" ht="15.75" x14ac:dyDescent="0.25">
      <c r="A35" s="29" t="s">
        <v>267</v>
      </c>
      <c r="B35" s="20" t="s">
        <v>987</v>
      </c>
      <c r="C35" s="40" t="s">
        <v>259</v>
      </c>
      <c r="D35" s="40" t="s">
        <v>230</v>
      </c>
      <c r="E35" s="40"/>
      <c r="F35" s="5">
        <v>903</v>
      </c>
      <c r="G35" s="80">
        <f t="shared" si="4"/>
        <v>250</v>
      </c>
      <c r="H35" s="80">
        <f t="shared" si="4"/>
        <v>250</v>
      </c>
      <c r="I35" s="230"/>
    </row>
    <row r="36" spans="1:9" ht="31.5" x14ac:dyDescent="0.25">
      <c r="A36" s="29" t="s">
        <v>263</v>
      </c>
      <c r="B36" s="20" t="s">
        <v>987</v>
      </c>
      <c r="C36" s="40" t="s">
        <v>259</v>
      </c>
      <c r="D36" s="40" t="s">
        <v>230</v>
      </c>
      <c r="E36" s="40" t="s">
        <v>264</v>
      </c>
      <c r="F36" s="5">
        <v>903</v>
      </c>
      <c r="G36" s="80">
        <f t="shared" si="4"/>
        <v>250</v>
      </c>
      <c r="H36" s="80">
        <f t="shared" si="4"/>
        <v>250</v>
      </c>
      <c r="I36" s="230"/>
    </row>
    <row r="37" spans="1:9" ht="31.5" x14ac:dyDescent="0.25">
      <c r="A37" s="29" t="s">
        <v>363</v>
      </c>
      <c r="B37" s="20" t="s">
        <v>987</v>
      </c>
      <c r="C37" s="40" t="s">
        <v>259</v>
      </c>
      <c r="D37" s="40" t="s">
        <v>230</v>
      </c>
      <c r="E37" s="40" t="s">
        <v>364</v>
      </c>
      <c r="F37" s="5">
        <v>903</v>
      </c>
      <c r="G37" s="74">
        <f>'Пр.6 ведом.20'!H460</f>
        <v>250</v>
      </c>
      <c r="H37" s="74">
        <f>'Пр.6 ведом.20'!I460</f>
        <v>250</v>
      </c>
      <c r="I37" s="230"/>
    </row>
    <row r="38" spans="1:9" ht="47.25" x14ac:dyDescent="0.25">
      <c r="A38" s="45" t="s">
        <v>674</v>
      </c>
      <c r="B38" s="20" t="s">
        <v>987</v>
      </c>
      <c r="C38" s="40" t="s">
        <v>259</v>
      </c>
      <c r="D38" s="40" t="s">
        <v>230</v>
      </c>
      <c r="E38" s="40" t="s">
        <v>364</v>
      </c>
      <c r="F38" s="5">
        <v>903</v>
      </c>
      <c r="G38" s="74">
        <f>'пр.6.1.ведом.21-22'!G466</f>
        <v>250</v>
      </c>
      <c r="H38" s="74">
        <f>'пр.6.1.ведом.21-22'!H466</f>
        <v>250</v>
      </c>
      <c r="I38" s="230"/>
    </row>
    <row r="39" spans="1:9" ht="15.75" x14ac:dyDescent="0.25">
      <c r="A39" s="41" t="s">
        <v>673</v>
      </c>
      <c r="B39" s="336"/>
      <c r="C39" s="336"/>
      <c r="D39" s="336"/>
      <c r="E39" s="336"/>
      <c r="F39" s="41"/>
      <c r="G39" s="83">
        <f>G9+G15+G21+G27+G33</f>
        <v>1535</v>
      </c>
      <c r="H39" s="83">
        <f>H9+H15+H21+H27+H33</f>
        <v>1535</v>
      </c>
      <c r="I39" s="230"/>
    </row>
    <row r="41" spans="1:9" x14ac:dyDescent="0.25">
      <c r="A41" s="482" t="s">
        <v>1505</v>
      </c>
      <c r="B41" s="482"/>
      <c r="C41" s="482"/>
      <c r="D41" s="482"/>
      <c r="E41" s="482"/>
      <c r="F41" s="482"/>
      <c r="G41" s="482"/>
      <c r="H41" s="482"/>
    </row>
    <row r="42" spans="1:9" x14ac:dyDescent="0.25">
      <c r="A42" s="482"/>
      <c r="B42" s="482"/>
      <c r="C42" s="482"/>
      <c r="D42" s="482"/>
      <c r="E42" s="482"/>
      <c r="F42" s="482"/>
      <c r="G42" s="482"/>
      <c r="H42" s="482"/>
    </row>
    <row r="43" spans="1:9" x14ac:dyDescent="0.25">
      <c r="A43" s="455"/>
      <c r="B43" s="455"/>
      <c r="C43" s="455"/>
      <c r="D43" s="455"/>
      <c r="E43" s="455"/>
      <c r="F43" s="455"/>
      <c r="G43" s="455"/>
      <c r="H43" s="455"/>
    </row>
    <row r="46" spans="1:9" x14ac:dyDescent="0.25">
      <c r="B46" s="454"/>
    </row>
  </sheetData>
  <mergeCells count="6">
    <mergeCell ref="A41:H42"/>
    <mergeCell ref="A1:C2"/>
    <mergeCell ref="A5:H5"/>
    <mergeCell ref="E2:H2"/>
    <mergeCell ref="E1:H1"/>
    <mergeCell ref="E3:H3"/>
  </mergeCells>
  <pageMargins left="0.19685039370078741" right="0.19685039370078741" top="0.74803149606299213" bottom="0.74803149606299213" header="0.31496062992125984" footer="0.31496062992125984"/>
  <pageSetup paperSize="9" orientation="portrait" r:id="rId1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="93" zoomScaleNormal="100" zoomScaleSheetLayoutView="93" workbookViewId="0">
      <selection activeCell="C18" sqref="C18"/>
    </sheetView>
  </sheetViews>
  <sheetFormatPr defaultRowHeight="15" x14ac:dyDescent="0.25"/>
  <cols>
    <col min="1" max="1" width="34" customWidth="1"/>
    <col min="2" max="2" width="51.7109375" customWidth="1"/>
    <col min="3" max="3" width="17.140625" customWidth="1"/>
  </cols>
  <sheetData>
    <row r="1" spans="1:3" ht="15.75" x14ac:dyDescent="0.25">
      <c r="A1" s="12"/>
      <c r="C1" s="217" t="s">
        <v>1296</v>
      </c>
    </row>
    <row r="2" spans="1:3" ht="15.75" x14ac:dyDescent="0.25">
      <c r="A2" s="12"/>
      <c r="B2" s="12"/>
      <c r="C2" s="217" t="s">
        <v>0</v>
      </c>
    </row>
    <row r="3" spans="1:3" ht="15.75" x14ac:dyDescent="0.25">
      <c r="A3" s="12"/>
      <c r="B3" s="12"/>
    </row>
    <row r="4" spans="1:3" ht="16.5" x14ac:dyDescent="0.25">
      <c r="A4" s="481" t="s">
        <v>675</v>
      </c>
      <c r="B4" s="481"/>
      <c r="C4" s="481"/>
    </row>
    <row r="5" spans="1:3" ht="16.5" x14ac:dyDescent="0.25">
      <c r="A5" s="481" t="s">
        <v>1293</v>
      </c>
      <c r="B5" s="481"/>
      <c r="C5" s="481"/>
    </row>
    <row r="6" spans="1:3" ht="15.75" x14ac:dyDescent="0.25">
      <c r="A6" s="84"/>
      <c r="B6" s="84"/>
    </row>
    <row r="7" spans="1:3" ht="15.75" x14ac:dyDescent="0.25">
      <c r="A7" s="12"/>
      <c r="B7" s="12"/>
      <c r="C7" s="85" t="s">
        <v>1</v>
      </c>
    </row>
    <row r="8" spans="1:3" ht="28.5" customHeight="1" x14ac:dyDescent="0.25">
      <c r="A8" s="79" t="s">
        <v>676</v>
      </c>
      <c r="B8" s="79" t="s">
        <v>677</v>
      </c>
      <c r="C8" s="182" t="s">
        <v>1203</v>
      </c>
    </row>
    <row r="9" spans="1:3" ht="33" x14ac:dyDescent="0.25">
      <c r="A9" s="86" t="s">
        <v>678</v>
      </c>
      <c r="B9" s="87" t="s">
        <v>679</v>
      </c>
      <c r="C9" s="307">
        <f>C10-C12</f>
        <v>0</v>
      </c>
    </row>
    <row r="10" spans="1:3" ht="31.5" x14ac:dyDescent="0.25">
      <c r="A10" s="88" t="s">
        <v>680</v>
      </c>
      <c r="B10" s="89" t="s">
        <v>681</v>
      </c>
      <c r="C10" s="308">
        <f>C11</f>
        <v>0</v>
      </c>
    </row>
    <row r="11" spans="1:3" ht="31.5" x14ac:dyDescent="0.25">
      <c r="A11" s="90" t="s">
        <v>682</v>
      </c>
      <c r="B11" s="91" t="s">
        <v>683</v>
      </c>
      <c r="C11" s="309">
        <f>C19*(-1)</f>
        <v>0</v>
      </c>
    </row>
    <row r="12" spans="1:3" ht="31.5" x14ac:dyDescent="0.25">
      <c r="A12" s="88" t="s">
        <v>684</v>
      </c>
      <c r="B12" s="89" t="s">
        <v>685</v>
      </c>
      <c r="C12" s="307">
        <f>C13</f>
        <v>0</v>
      </c>
    </row>
    <row r="13" spans="1:3" ht="31.5" x14ac:dyDescent="0.25">
      <c r="A13" s="90" t="s">
        <v>686</v>
      </c>
      <c r="B13" s="91" t="s">
        <v>687</v>
      </c>
      <c r="C13" s="309">
        <f>C11+C19</f>
        <v>0</v>
      </c>
    </row>
    <row r="14" spans="1:3" ht="16.5" x14ac:dyDescent="0.25">
      <c r="A14" s="88" t="s">
        <v>673</v>
      </c>
      <c r="B14" s="91"/>
      <c r="C14" s="310">
        <f>C11-C13</f>
        <v>0</v>
      </c>
    </row>
    <row r="17" spans="2:4" x14ac:dyDescent="0.25">
      <c r="B17" t="s">
        <v>688</v>
      </c>
      <c r="C17">
        <f>пр.дох.20!C145</f>
        <v>717456.99999999988</v>
      </c>
    </row>
    <row r="18" spans="2:4" x14ac:dyDescent="0.25">
      <c r="B18" t="s">
        <v>689</v>
      </c>
      <c r="C18">
        <f>'пр.4 Рд,пр 20'!D49</f>
        <v>717456.99999999988</v>
      </c>
    </row>
    <row r="19" spans="2:4" x14ac:dyDescent="0.25">
      <c r="B19" t="s">
        <v>690</v>
      </c>
      <c r="C19">
        <f t="shared" ref="C19" si="0">C17-C18</f>
        <v>0</v>
      </c>
    </row>
    <row r="21" spans="2:4" x14ac:dyDescent="0.25">
      <c r="D21" s="22"/>
    </row>
  </sheetData>
  <mergeCells count="2">
    <mergeCell ref="A4:C4"/>
    <mergeCell ref="A5:C5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19" sqref="G19:G20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29"/>
      <c r="D1" s="217" t="s">
        <v>1298</v>
      </c>
    </row>
    <row r="2" spans="1:4" ht="15.75" x14ac:dyDescent="0.25">
      <c r="A2" s="12"/>
      <c r="B2" s="12"/>
      <c r="D2" s="217" t="s">
        <v>0</v>
      </c>
    </row>
    <row r="3" spans="1:4" ht="15.75" x14ac:dyDescent="0.25">
      <c r="A3" s="12"/>
      <c r="B3" s="12"/>
      <c r="C3" s="229"/>
    </row>
    <row r="4" spans="1:4" ht="16.5" x14ac:dyDescent="0.25">
      <c r="A4" s="481" t="s">
        <v>675</v>
      </c>
      <c r="B4" s="481"/>
      <c r="C4" s="481"/>
      <c r="D4" s="481"/>
    </row>
    <row r="5" spans="1:4" ht="16.5" x14ac:dyDescent="0.25">
      <c r="A5" s="481" t="s">
        <v>1297</v>
      </c>
      <c r="B5" s="481"/>
      <c r="C5" s="481"/>
      <c r="D5" s="481"/>
    </row>
    <row r="6" spans="1:4" ht="15.75" x14ac:dyDescent="0.25">
      <c r="A6" s="84"/>
      <c r="B6" s="84"/>
      <c r="C6" s="229"/>
    </row>
    <row r="7" spans="1:4" ht="15.75" x14ac:dyDescent="0.25">
      <c r="A7" s="12"/>
      <c r="B7" s="12"/>
      <c r="D7" s="85" t="s">
        <v>1</v>
      </c>
    </row>
    <row r="8" spans="1:4" ht="30" x14ac:dyDescent="0.25">
      <c r="A8" s="79" t="s">
        <v>676</v>
      </c>
      <c r="B8" s="79" t="s">
        <v>677</v>
      </c>
      <c r="C8" s="182" t="s">
        <v>1204</v>
      </c>
      <c r="D8" s="182" t="s">
        <v>1205</v>
      </c>
    </row>
    <row r="9" spans="1:4" ht="44.25" customHeight="1" x14ac:dyDescent="0.25">
      <c r="A9" s="86" t="s">
        <v>678</v>
      </c>
      <c r="B9" s="87" t="s">
        <v>679</v>
      </c>
      <c r="C9" s="307">
        <f>'пр.9 ист-ки 20'!C9</f>
        <v>0</v>
      </c>
      <c r="D9" s="307">
        <f>C9</f>
        <v>0</v>
      </c>
    </row>
    <row r="10" spans="1:4" ht="33.75" customHeight="1" x14ac:dyDescent="0.25">
      <c r="A10" s="88" t="s">
        <v>680</v>
      </c>
      <c r="B10" s="89" t="s">
        <v>681</v>
      </c>
      <c r="C10" s="307">
        <f>'пр.9 ист-ки 20'!C10</f>
        <v>0</v>
      </c>
      <c r="D10" s="307">
        <f t="shared" ref="D10:D14" si="0">C10</f>
        <v>0</v>
      </c>
    </row>
    <row r="11" spans="1:4" ht="36.75" customHeight="1" x14ac:dyDescent="0.25">
      <c r="A11" s="90" t="s">
        <v>682</v>
      </c>
      <c r="B11" s="91" t="s">
        <v>683</v>
      </c>
      <c r="C11" s="311">
        <f>C19*(-1)</f>
        <v>0</v>
      </c>
      <c r="D11" s="311">
        <f>D19*(-1)</f>
        <v>0</v>
      </c>
    </row>
    <row r="12" spans="1:4" ht="33" customHeight="1" x14ac:dyDescent="0.25">
      <c r="A12" s="88" t="s">
        <v>684</v>
      </c>
      <c r="B12" s="89" t="s">
        <v>685</v>
      </c>
      <c r="C12" s="307">
        <f>'пр.9 ист-ки 20'!C12</f>
        <v>0</v>
      </c>
      <c r="D12" s="307">
        <f t="shared" si="0"/>
        <v>0</v>
      </c>
    </row>
    <row r="13" spans="1:4" ht="30.75" customHeight="1" x14ac:dyDescent="0.25">
      <c r="A13" s="90" t="s">
        <v>686</v>
      </c>
      <c r="B13" s="91" t="s">
        <v>687</v>
      </c>
      <c r="C13" s="311">
        <f>'пр.9 ист-ки 20'!C13</f>
        <v>0</v>
      </c>
      <c r="D13" s="311">
        <f t="shared" si="0"/>
        <v>0</v>
      </c>
    </row>
    <row r="14" spans="1:4" ht="16.5" x14ac:dyDescent="0.25">
      <c r="A14" s="88" t="s">
        <v>673</v>
      </c>
      <c r="B14" s="91"/>
      <c r="C14" s="310">
        <f>C11-C13</f>
        <v>0</v>
      </c>
      <c r="D14" s="307">
        <f t="shared" si="0"/>
        <v>0</v>
      </c>
    </row>
    <row r="15" spans="1:4" x14ac:dyDescent="0.25">
      <c r="A15" s="229"/>
      <c r="B15" s="229"/>
      <c r="C15" s="229"/>
    </row>
    <row r="16" spans="1:4" x14ac:dyDescent="0.25">
      <c r="A16" s="229"/>
      <c r="B16" s="229"/>
      <c r="C16" s="229"/>
    </row>
    <row r="17" spans="1:4" x14ac:dyDescent="0.25">
      <c r="A17" s="229"/>
      <c r="B17" s="229" t="s">
        <v>688</v>
      </c>
      <c r="C17" s="229">
        <f>'Пр.1.1. дох.21-22'!C144</f>
        <v>726350.72</v>
      </c>
      <c r="D17" s="229">
        <f>'Пр.1.1. дох.21-22'!D144</f>
        <v>725925.52</v>
      </c>
    </row>
    <row r="18" spans="1:4" x14ac:dyDescent="0.25">
      <c r="A18" s="229"/>
      <c r="B18" s="229" t="s">
        <v>689</v>
      </c>
      <c r="C18" s="306">
        <f>'пр.6.1.ведом.21-22'!G1087</f>
        <v>726350.71999999986</v>
      </c>
      <c r="D18" s="306">
        <f>'пр.6.1.ведом.21-22'!H1087</f>
        <v>725925.52</v>
      </c>
    </row>
    <row r="19" spans="1:4" x14ac:dyDescent="0.25">
      <c r="A19" s="229"/>
      <c r="B19" s="229" t="s">
        <v>690</v>
      </c>
      <c r="C19" s="229">
        <f t="shared" ref="C19:D19" si="1">C17-C18</f>
        <v>0</v>
      </c>
      <c r="D19" s="229">
        <f t="shared" si="1"/>
        <v>0</v>
      </c>
    </row>
  </sheetData>
  <mergeCells count="2"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workbookViewId="0">
      <selection activeCell="C1" sqref="C1:D1"/>
    </sheetView>
  </sheetViews>
  <sheetFormatPr defaultRowHeight="15" x14ac:dyDescent="0.25"/>
  <cols>
    <col min="1" max="1" width="25" customWidth="1"/>
    <col min="2" max="2" width="71.7109375" customWidth="1"/>
    <col min="3" max="3" width="16" style="229" customWidth="1"/>
    <col min="4" max="4" width="17.28515625" style="229" customWidth="1"/>
    <col min="5" max="7" width="0" hidden="1" customWidth="1"/>
  </cols>
  <sheetData>
    <row r="1" spans="1:6" ht="15.75" x14ac:dyDescent="0.25">
      <c r="A1" s="131"/>
      <c r="B1" s="131"/>
      <c r="C1" s="456" t="s">
        <v>1487</v>
      </c>
      <c r="D1" s="456"/>
    </row>
    <row r="2" spans="1:6" ht="15.75" x14ac:dyDescent="0.25">
      <c r="A2" s="131"/>
      <c r="B2" s="131"/>
      <c r="C2" s="456" t="s">
        <v>1486</v>
      </c>
      <c r="D2" s="456"/>
    </row>
    <row r="3" spans="1:6" ht="15.75" x14ac:dyDescent="0.25">
      <c r="A3" s="131"/>
      <c r="B3" s="133"/>
      <c r="C3" s="456" t="s">
        <v>1485</v>
      </c>
      <c r="D3" s="456"/>
    </row>
    <row r="4" spans="1:6" ht="15.75" x14ac:dyDescent="0.25">
      <c r="A4" s="459" t="s">
        <v>1364</v>
      </c>
      <c r="B4" s="459"/>
      <c r="C4" s="459"/>
      <c r="D4" s="459"/>
    </row>
    <row r="5" spans="1:6" ht="15.75" x14ac:dyDescent="0.25">
      <c r="A5" s="459" t="s">
        <v>1366</v>
      </c>
      <c r="B5" s="459"/>
      <c r="C5" s="459"/>
      <c r="D5" s="459"/>
    </row>
    <row r="6" spans="1:6" ht="15.75" x14ac:dyDescent="0.25">
      <c r="A6" s="459" t="s">
        <v>1367</v>
      </c>
      <c r="B6" s="459"/>
      <c r="C6" s="459"/>
      <c r="D6" s="459"/>
    </row>
    <row r="7" spans="1:6" ht="15.75" x14ac:dyDescent="0.25">
      <c r="A7" s="134"/>
      <c r="B7" s="134"/>
      <c r="C7" s="186"/>
      <c r="D7" s="132" t="s">
        <v>714</v>
      </c>
    </row>
    <row r="8" spans="1:6" ht="33" customHeight="1" x14ac:dyDescent="0.25">
      <c r="A8" s="135" t="s">
        <v>2</v>
      </c>
      <c r="B8" s="136" t="s">
        <v>3</v>
      </c>
      <c r="C8" s="187" t="s">
        <v>1204</v>
      </c>
      <c r="D8" s="227" t="s">
        <v>1205</v>
      </c>
    </row>
    <row r="9" spans="1:6" ht="18.75" x14ac:dyDescent="0.25">
      <c r="A9" s="137" t="s">
        <v>5</v>
      </c>
      <c r="B9" s="138" t="s">
        <v>6</v>
      </c>
      <c r="C9" s="323">
        <f>C10+C16+C21+C31+C39+C42+C48+C54+C57+C62+C70</f>
        <v>300779.32</v>
      </c>
      <c r="D9" s="323">
        <f>D10+D16+D21+D31+D39+D42+D48+D54+D57+D62+D70</f>
        <v>307481.32</v>
      </c>
      <c r="E9" s="22">
        <f>C10+C16+C21+C31+C39</f>
        <v>254985.52000000002</v>
      </c>
      <c r="F9" s="22">
        <f>D10+D16+D21+D31+D39</f>
        <v>261687.52</v>
      </c>
    </row>
    <row r="10" spans="1:6" ht="18.75" x14ac:dyDescent="0.25">
      <c r="A10" s="139" t="s">
        <v>7</v>
      </c>
      <c r="B10" s="138" t="s">
        <v>8</v>
      </c>
      <c r="C10" s="323">
        <f t="shared" ref="C10:D10" si="0">C11</f>
        <v>230749.22000000003</v>
      </c>
      <c r="D10" s="323">
        <f t="shared" si="0"/>
        <v>238476.52000000002</v>
      </c>
    </row>
    <row r="11" spans="1:6" ht="18.75" x14ac:dyDescent="0.25">
      <c r="A11" s="140" t="s">
        <v>9</v>
      </c>
      <c r="B11" s="141" t="s">
        <v>10</v>
      </c>
      <c r="C11" s="323">
        <f t="shared" ref="C11:D11" si="1">SUM(C12:C15)</f>
        <v>230749.22000000003</v>
      </c>
      <c r="D11" s="323">
        <f t="shared" si="1"/>
        <v>238476.52000000002</v>
      </c>
    </row>
    <row r="12" spans="1:6" ht="64.5" customHeight="1" x14ac:dyDescent="0.25">
      <c r="A12" s="227" t="s">
        <v>11</v>
      </c>
      <c r="B12" s="142" t="s">
        <v>12</v>
      </c>
      <c r="C12" s="324">
        <f>217000+14111.72-1043.9</f>
        <v>230067.82</v>
      </c>
      <c r="D12" s="324">
        <f>217000+21791.32-1043.9</f>
        <v>237747.42</v>
      </c>
    </row>
    <row r="13" spans="1:6" ht="110.25" x14ac:dyDescent="0.25">
      <c r="A13" s="227" t="s">
        <v>13</v>
      </c>
      <c r="B13" s="143" t="s">
        <v>14</v>
      </c>
      <c r="C13" s="324">
        <v>19.600000000000001</v>
      </c>
      <c r="D13" s="324">
        <v>21</v>
      </c>
    </row>
    <row r="14" spans="1:6" ht="47.25" x14ac:dyDescent="0.25">
      <c r="A14" s="227" t="s">
        <v>15</v>
      </c>
      <c r="B14" s="143" t="s">
        <v>16</v>
      </c>
      <c r="C14" s="324">
        <v>637.6</v>
      </c>
      <c r="D14" s="324">
        <v>682.2</v>
      </c>
    </row>
    <row r="15" spans="1:6" ht="78.75" x14ac:dyDescent="0.25">
      <c r="A15" s="227" t="s">
        <v>17</v>
      </c>
      <c r="B15" s="143" t="s">
        <v>18</v>
      </c>
      <c r="C15" s="324">
        <v>24.2</v>
      </c>
      <c r="D15" s="324">
        <v>25.9</v>
      </c>
    </row>
    <row r="16" spans="1:6" ht="31.5" x14ac:dyDescent="0.25">
      <c r="A16" s="144" t="s">
        <v>19</v>
      </c>
      <c r="B16" s="145" t="s">
        <v>20</v>
      </c>
      <c r="C16" s="323">
        <f t="shared" ref="C16:D16" si="2">C17</f>
        <v>3189</v>
      </c>
      <c r="D16" s="323">
        <f t="shared" si="2"/>
        <v>3278</v>
      </c>
    </row>
    <row r="17" spans="1:4" ht="31.5" x14ac:dyDescent="0.25">
      <c r="A17" s="190" t="s">
        <v>21</v>
      </c>
      <c r="B17" s="191" t="s">
        <v>22</v>
      </c>
      <c r="C17" s="323">
        <f t="shared" ref="C17:D17" si="3">SUM(C18:C20)</f>
        <v>3189</v>
      </c>
      <c r="D17" s="323">
        <f t="shared" si="3"/>
        <v>3278</v>
      </c>
    </row>
    <row r="18" spans="1:4" ht="63" x14ac:dyDescent="0.25">
      <c r="A18" s="146" t="s">
        <v>23</v>
      </c>
      <c r="B18" s="143" t="s">
        <v>24</v>
      </c>
      <c r="C18" s="324">
        <v>1470</v>
      </c>
      <c r="D18" s="324">
        <v>1509</v>
      </c>
    </row>
    <row r="19" spans="1:4" ht="78.75" x14ac:dyDescent="0.25">
      <c r="A19" s="339" t="s">
        <v>25</v>
      </c>
      <c r="B19" s="143" t="s">
        <v>26</v>
      </c>
      <c r="C19" s="324">
        <v>7</v>
      </c>
      <c r="D19" s="324">
        <v>7</v>
      </c>
    </row>
    <row r="20" spans="1:4" ht="63" x14ac:dyDescent="0.25">
      <c r="A20" s="339" t="s">
        <v>27</v>
      </c>
      <c r="B20" s="143" t="s">
        <v>28</v>
      </c>
      <c r="C20" s="324">
        <v>1712</v>
      </c>
      <c r="D20" s="324">
        <v>1762</v>
      </c>
    </row>
    <row r="21" spans="1:4" ht="18.75" x14ac:dyDescent="0.25">
      <c r="A21" s="140" t="s">
        <v>29</v>
      </c>
      <c r="B21" s="141" t="s">
        <v>30</v>
      </c>
      <c r="C21" s="323">
        <f>SUM(C22+C27+C29)</f>
        <v>18275.900000000001</v>
      </c>
      <c r="D21" s="323">
        <f>SUM(D22+D27+D29)</f>
        <v>16997.3</v>
      </c>
    </row>
    <row r="22" spans="1:4" ht="31.5" x14ac:dyDescent="0.25">
      <c r="A22" s="137" t="s">
        <v>31</v>
      </c>
      <c r="B22" s="141" t="s">
        <v>32</v>
      </c>
      <c r="C22" s="323">
        <f>C23+C25</f>
        <v>15455</v>
      </c>
      <c r="D22" s="323">
        <f>D23+D25</f>
        <v>16622</v>
      </c>
    </row>
    <row r="23" spans="1:4" s="229" customFormat="1" ht="31.5" x14ac:dyDescent="0.25">
      <c r="A23" s="137" t="s">
        <v>1339</v>
      </c>
      <c r="B23" s="273" t="s">
        <v>34</v>
      </c>
      <c r="C23" s="323">
        <f>C24</f>
        <v>7727.5</v>
      </c>
      <c r="D23" s="323">
        <f>D24</f>
        <v>8311</v>
      </c>
    </row>
    <row r="24" spans="1:4" ht="31.5" x14ac:dyDescent="0.25">
      <c r="A24" s="135" t="s">
        <v>33</v>
      </c>
      <c r="B24" s="147" t="s">
        <v>34</v>
      </c>
      <c r="C24" s="324">
        <f>15455/2</f>
        <v>7727.5</v>
      </c>
      <c r="D24" s="324">
        <f>16622/2</f>
        <v>8311</v>
      </c>
    </row>
    <row r="25" spans="1:4" s="229" customFormat="1" ht="47.25" x14ac:dyDescent="0.25">
      <c r="A25" s="137" t="s">
        <v>1338</v>
      </c>
      <c r="B25" s="343" t="s">
        <v>1337</v>
      </c>
      <c r="C25" s="323">
        <f>C26</f>
        <v>7727.5</v>
      </c>
      <c r="D25" s="323">
        <f>D26</f>
        <v>8311</v>
      </c>
    </row>
    <row r="26" spans="1:4" ht="63" x14ac:dyDescent="0.25">
      <c r="A26" s="135" t="s">
        <v>35</v>
      </c>
      <c r="B26" s="147" t="s">
        <v>36</v>
      </c>
      <c r="C26" s="324">
        <f>C24</f>
        <v>7727.5</v>
      </c>
      <c r="D26" s="324">
        <f>D24</f>
        <v>8311</v>
      </c>
    </row>
    <row r="27" spans="1:4" ht="31.5" x14ac:dyDescent="0.25">
      <c r="A27" s="137" t="s">
        <v>37</v>
      </c>
      <c r="B27" s="141" t="s">
        <v>38</v>
      </c>
      <c r="C27" s="323">
        <f t="shared" ref="C27:D27" si="4">SUM(C28:C28)</f>
        <v>2460</v>
      </c>
      <c r="D27" s="323">
        <f t="shared" si="4"/>
        <v>0</v>
      </c>
    </row>
    <row r="28" spans="1:4" ht="21.75" customHeight="1" x14ac:dyDescent="0.25">
      <c r="A28" s="227" t="s">
        <v>39</v>
      </c>
      <c r="B28" s="293" t="s">
        <v>38</v>
      </c>
      <c r="C28" s="324">
        <v>2460</v>
      </c>
      <c r="D28" s="324">
        <v>0</v>
      </c>
    </row>
    <row r="29" spans="1:4" s="229" customFormat="1" ht="36" customHeight="1" x14ac:dyDescent="0.25">
      <c r="A29" s="137" t="s">
        <v>1353</v>
      </c>
      <c r="B29" s="148" t="s">
        <v>1340</v>
      </c>
      <c r="C29" s="323">
        <f>C30</f>
        <v>360.9</v>
      </c>
      <c r="D29" s="324">
        <f>D30</f>
        <v>375.3</v>
      </c>
    </row>
    <row r="30" spans="1:4" ht="31.5" x14ac:dyDescent="0.25">
      <c r="A30" s="135" t="s">
        <v>40</v>
      </c>
      <c r="B30" s="317" t="s">
        <v>41</v>
      </c>
      <c r="C30" s="324">
        <v>360.9</v>
      </c>
      <c r="D30" s="324">
        <v>375.3</v>
      </c>
    </row>
    <row r="31" spans="1:4" ht="18.75" x14ac:dyDescent="0.25">
      <c r="A31" s="140" t="s">
        <v>42</v>
      </c>
      <c r="B31" s="141" t="s">
        <v>43</v>
      </c>
      <c r="C31" s="323">
        <f>C32+C34</f>
        <v>1238.4000000000001</v>
      </c>
      <c r="D31" s="323">
        <f t="shared" ref="D31" si="5">D32+D34</f>
        <v>1341.4</v>
      </c>
    </row>
    <row r="32" spans="1:4" ht="18.75" x14ac:dyDescent="0.25">
      <c r="A32" s="140" t="s">
        <v>44</v>
      </c>
      <c r="B32" s="141" t="s">
        <v>45</v>
      </c>
      <c r="C32" s="323">
        <f t="shared" ref="C32:D32" si="6">C33</f>
        <v>892.1</v>
      </c>
      <c r="D32" s="323">
        <f t="shared" si="6"/>
        <v>981.3</v>
      </c>
    </row>
    <row r="33" spans="1:6" ht="47.25" x14ac:dyDescent="0.25">
      <c r="A33" s="227" t="s">
        <v>46</v>
      </c>
      <c r="B33" s="147" t="s">
        <v>47</v>
      </c>
      <c r="C33" s="324">
        <v>892.1</v>
      </c>
      <c r="D33" s="324">
        <v>981.3</v>
      </c>
    </row>
    <row r="34" spans="1:6" ht="18.75" x14ac:dyDescent="0.25">
      <c r="A34" s="140" t="s">
        <v>48</v>
      </c>
      <c r="B34" s="141" t="s">
        <v>49</v>
      </c>
      <c r="C34" s="323">
        <f>C35+C37</f>
        <v>346.29999999999995</v>
      </c>
      <c r="D34" s="323">
        <f>D35+D37</f>
        <v>360.1</v>
      </c>
    </row>
    <row r="35" spans="1:6" s="229" customFormat="1" ht="18.75" x14ac:dyDescent="0.25">
      <c r="A35" s="140" t="s">
        <v>1355</v>
      </c>
      <c r="B35" s="141" t="s">
        <v>1354</v>
      </c>
      <c r="C35" s="323">
        <f>C36</f>
        <v>185.1</v>
      </c>
      <c r="D35" s="323">
        <f>D36</f>
        <v>192.5</v>
      </c>
    </row>
    <row r="36" spans="1:6" ht="31.5" x14ac:dyDescent="0.25">
      <c r="A36" s="227" t="s">
        <v>50</v>
      </c>
      <c r="B36" s="147" t="s">
        <v>51</v>
      </c>
      <c r="C36" s="324">
        <v>185.1</v>
      </c>
      <c r="D36" s="324">
        <v>192.5</v>
      </c>
    </row>
    <row r="37" spans="1:6" s="229" customFormat="1" ht="18.75" x14ac:dyDescent="0.25">
      <c r="A37" s="140" t="s">
        <v>1357</v>
      </c>
      <c r="B37" s="141" t="s">
        <v>1356</v>
      </c>
      <c r="C37" s="323">
        <f>C38</f>
        <v>161.19999999999999</v>
      </c>
      <c r="D37" s="323">
        <f>D38</f>
        <v>167.6</v>
      </c>
    </row>
    <row r="38" spans="1:6" ht="31.5" x14ac:dyDescent="0.25">
      <c r="A38" s="227" t="s">
        <v>52</v>
      </c>
      <c r="B38" s="147" t="s">
        <v>53</v>
      </c>
      <c r="C38" s="324">
        <v>161.19999999999999</v>
      </c>
      <c r="D38" s="324">
        <v>167.6</v>
      </c>
    </row>
    <row r="39" spans="1:6" ht="18.75" x14ac:dyDescent="0.25">
      <c r="A39" s="140" t="s">
        <v>54</v>
      </c>
      <c r="B39" s="141" t="s">
        <v>55</v>
      </c>
      <c r="C39" s="323">
        <f t="shared" ref="C39:D40" si="7">C40</f>
        <v>1533</v>
      </c>
      <c r="D39" s="323">
        <f t="shared" si="7"/>
        <v>1594.3</v>
      </c>
    </row>
    <row r="40" spans="1:6" ht="31.5" x14ac:dyDescent="0.25">
      <c r="A40" s="140" t="s">
        <v>56</v>
      </c>
      <c r="B40" s="141" t="s">
        <v>57</v>
      </c>
      <c r="C40" s="323">
        <f t="shared" si="7"/>
        <v>1533</v>
      </c>
      <c r="D40" s="323">
        <f t="shared" si="7"/>
        <v>1594.3</v>
      </c>
    </row>
    <row r="41" spans="1:6" ht="47.25" x14ac:dyDescent="0.25">
      <c r="A41" s="227" t="s">
        <v>58</v>
      </c>
      <c r="B41" s="142" t="s">
        <v>59</v>
      </c>
      <c r="C41" s="324">
        <v>1533</v>
      </c>
      <c r="D41" s="324">
        <v>1594.3</v>
      </c>
    </row>
    <row r="42" spans="1:6" ht="47.25" x14ac:dyDescent="0.25">
      <c r="A42" s="140" t="s">
        <v>60</v>
      </c>
      <c r="B42" s="149" t="s">
        <v>61</v>
      </c>
      <c r="C42" s="323">
        <f t="shared" ref="C42:D42" si="8">C43</f>
        <v>43000</v>
      </c>
      <c r="D42" s="323">
        <f t="shared" si="8"/>
        <v>43000</v>
      </c>
      <c r="E42" s="22">
        <f>C42+C48+C54+C57+C62</f>
        <v>45793.8</v>
      </c>
      <c r="F42" s="22">
        <f>D42+D48+D54+D57+D62</f>
        <v>45793.8</v>
      </c>
    </row>
    <row r="43" spans="1:6" ht="78.75" x14ac:dyDescent="0.25">
      <c r="A43" s="140" t="s">
        <v>62</v>
      </c>
      <c r="B43" s="149" t="s">
        <v>63</v>
      </c>
      <c r="C43" s="323">
        <f t="shared" ref="C43:D43" si="9">C44+C46</f>
        <v>43000</v>
      </c>
      <c r="D43" s="323">
        <f t="shared" si="9"/>
        <v>43000</v>
      </c>
    </row>
    <row r="44" spans="1:6" ht="63" x14ac:dyDescent="0.25">
      <c r="A44" s="140" t="s">
        <v>64</v>
      </c>
      <c r="B44" s="141" t="s">
        <v>65</v>
      </c>
      <c r="C44" s="323">
        <f t="shared" ref="C44:D44" si="10">C45</f>
        <v>38000</v>
      </c>
      <c r="D44" s="323">
        <f t="shared" si="10"/>
        <v>38000</v>
      </c>
    </row>
    <row r="45" spans="1:6" ht="78.75" x14ac:dyDescent="0.25">
      <c r="A45" s="227" t="s">
        <v>66</v>
      </c>
      <c r="B45" s="147" t="s">
        <v>67</v>
      </c>
      <c r="C45" s="324">
        <v>38000</v>
      </c>
      <c r="D45" s="324">
        <v>38000</v>
      </c>
    </row>
    <row r="46" spans="1:6" ht="47.25" x14ac:dyDescent="0.25">
      <c r="A46" s="140" t="s">
        <v>68</v>
      </c>
      <c r="B46" s="141" t="s">
        <v>69</v>
      </c>
      <c r="C46" s="323">
        <f t="shared" ref="C46:D46" si="11">C47</f>
        <v>5000</v>
      </c>
      <c r="D46" s="323">
        <f t="shared" si="11"/>
        <v>5000</v>
      </c>
    </row>
    <row r="47" spans="1:6" ht="31.5" x14ac:dyDescent="0.25">
      <c r="A47" s="227" t="s">
        <v>70</v>
      </c>
      <c r="B47" s="147" t="s">
        <v>71</v>
      </c>
      <c r="C47" s="324">
        <v>5000</v>
      </c>
      <c r="D47" s="324">
        <v>5000</v>
      </c>
    </row>
    <row r="48" spans="1:6" ht="18.75" x14ac:dyDescent="0.25">
      <c r="A48" s="140" t="s">
        <v>72</v>
      </c>
      <c r="B48" s="149" t="s">
        <v>73</v>
      </c>
      <c r="C48" s="323">
        <f t="shared" ref="C48:D48" si="12">SUM(C49)</f>
        <v>1735.8</v>
      </c>
      <c r="D48" s="323">
        <f t="shared" si="12"/>
        <v>1735.8</v>
      </c>
    </row>
    <row r="49" spans="1:4" ht="18.75" x14ac:dyDescent="0.25">
      <c r="A49" s="140" t="s">
        <v>74</v>
      </c>
      <c r="B49" s="149" t="s">
        <v>75</v>
      </c>
      <c r="C49" s="323">
        <f>SUM(C50:C53)</f>
        <v>1735.8</v>
      </c>
      <c r="D49" s="323">
        <f>SUM(D50:D53)</f>
        <v>1735.8</v>
      </c>
    </row>
    <row r="50" spans="1:4" ht="31.5" x14ac:dyDescent="0.25">
      <c r="A50" s="227" t="s">
        <v>76</v>
      </c>
      <c r="B50" s="142" t="s">
        <v>77</v>
      </c>
      <c r="C50" s="324">
        <v>517.9</v>
      </c>
      <c r="D50" s="324">
        <v>517.9</v>
      </c>
    </row>
    <row r="51" spans="1:4" ht="18.75" x14ac:dyDescent="0.25">
      <c r="A51" s="227" t="s">
        <v>78</v>
      </c>
      <c r="B51" s="142" t="s">
        <v>79</v>
      </c>
      <c r="C51" s="324">
        <v>1.1000000000000001</v>
      </c>
      <c r="D51" s="324">
        <v>1.1000000000000001</v>
      </c>
    </row>
    <row r="52" spans="1:4" ht="18.75" x14ac:dyDescent="0.25">
      <c r="A52" s="227" t="s">
        <v>825</v>
      </c>
      <c r="B52" s="142" t="s">
        <v>826</v>
      </c>
      <c r="C52" s="324">
        <v>1060.8</v>
      </c>
      <c r="D52" s="324">
        <v>1060.8</v>
      </c>
    </row>
    <row r="53" spans="1:4" ht="18.75" x14ac:dyDescent="0.25">
      <c r="A53" s="227" t="s">
        <v>827</v>
      </c>
      <c r="B53" s="142" t="s">
        <v>828</v>
      </c>
      <c r="C53" s="324">
        <v>156</v>
      </c>
      <c r="D53" s="324">
        <v>156</v>
      </c>
    </row>
    <row r="54" spans="1:4" ht="31.5" x14ac:dyDescent="0.25">
      <c r="A54" s="140" t="s">
        <v>80</v>
      </c>
      <c r="B54" s="149" t="s">
        <v>81</v>
      </c>
      <c r="C54" s="323">
        <f>C56</f>
        <v>792</v>
      </c>
      <c r="D54" s="323">
        <f>D56</f>
        <v>792</v>
      </c>
    </row>
    <row r="55" spans="1:4" ht="18.75" x14ac:dyDescent="0.25">
      <c r="A55" s="140" t="s">
        <v>82</v>
      </c>
      <c r="B55" s="149" t="s">
        <v>83</v>
      </c>
      <c r="C55" s="323">
        <f>C56</f>
        <v>792</v>
      </c>
      <c r="D55" s="323">
        <f>D56</f>
        <v>792</v>
      </c>
    </row>
    <row r="56" spans="1:4" ht="31.5" x14ac:dyDescent="0.25">
      <c r="A56" s="227" t="s">
        <v>84</v>
      </c>
      <c r="B56" s="142" t="s">
        <v>85</v>
      </c>
      <c r="C56" s="324">
        <v>792</v>
      </c>
      <c r="D56" s="324">
        <f t="shared" ref="D56" si="13">C56</f>
        <v>792</v>
      </c>
    </row>
    <row r="57" spans="1:4" ht="31.5" x14ac:dyDescent="0.25">
      <c r="A57" s="140" t="s">
        <v>86</v>
      </c>
      <c r="B57" s="149" t="s">
        <v>87</v>
      </c>
      <c r="C57" s="323">
        <f t="shared" ref="C57:D57" si="14">SUM(C58+C60)</f>
        <v>236</v>
      </c>
      <c r="D57" s="323">
        <f t="shared" si="14"/>
        <v>236</v>
      </c>
    </row>
    <row r="58" spans="1:4" ht="78.75" x14ac:dyDescent="0.25">
      <c r="A58" s="140" t="s">
        <v>88</v>
      </c>
      <c r="B58" s="149" t="s">
        <v>89</v>
      </c>
      <c r="C58" s="323">
        <f t="shared" ref="C58:D58" si="15">C59</f>
        <v>235</v>
      </c>
      <c r="D58" s="323">
        <f t="shared" si="15"/>
        <v>235</v>
      </c>
    </row>
    <row r="59" spans="1:4" ht="94.5" x14ac:dyDescent="0.25">
      <c r="A59" s="227" t="s">
        <v>90</v>
      </c>
      <c r="B59" s="142" t="s">
        <v>715</v>
      </c>
      <c r="C59" s="324">
        <v>235</v>
      </c>
      <c r="D59" s="324">
        <v>235</v>
      </c>
    </row>
    <row r="60" spans="1:4" ht="31.5" x14ac:dyDescent="0.25">
      <c r="A60" s="140" t="s">
        <v>91</v>
      </c>
      <c r="B60" s="149" t="s">
        <v>92</v>
      </c>
      <c r="C60" s="323">
        <f t="shared" ref="C60:D60" si="16">SUM(C61)</f>
        <v>1</v>
      </c>
      <c r="D60" s="323">
        <f t="shared" si="16"/>
        <v>1</v>
      </c>
    </row>
    <row r="61" spans="1:4" ht="47.25" x14ac:dyDescent="0.25">
      <c r="A61" s="227" t="s">
        <v>93</v>
      </c>
      <c r="B61" s="142" t="s">
        <v>94</v>
      </c>
      <c r="C61" s="324">
        <v>1</v>
      </c>
      <c r="D61" s="324">
        <v>1</v>
      </c>
    </row>
    <row r="62" spans="1:4" ht="18.75" x14ac:dyDescent="0.25">
      <c r="A62" s="140" t="s">
        <v>95</v>
      </c>
      <c r="B62" s="149" t="s">
        <v>96</v>
      </c>
      <c r="C62" s="323">
        <f>C63</f>
        <v>30</v>
      </c>
      <c r="D62" s="323">
        <f>D63</f>
        <v>30</v>
      </c>
    </row>
    <row r="63" spans="1:4" ht="31.5" x14ac:dyDescent="0.25">
      <c r="A63" s="140" t="s">
        <v>1314</v>
      </c>
      <c r="B63" s="314" t="s">
        <v>97</v>
      </c>
      <c r="C63" s="325">
        <f>C64+C66+C68</f>
        <v>30</v>
      </c>
      <c r="D63" s="325">
        <f>D64+D66+D68</f>
        <v>30</v>
      </c>
    </row>
    <row r="64" spans="1:4" s="229" customFormat="1" ht="63" x14ac:dyDescent="0.25">
      <c r="A64" s="140" t="s">
        <v>1334</v>
      </c>
      <c r="B64" s="344" t="s">
        <v>1333</v>
      </c>
      <c r="C64" s="325">
        <f>C65</f>
        <v>10</v>
      </c>
      <c r="D64" s="325">
        <f>D65</f>
        <v>10</v>
      </c>
    </row>
    <row r="65" spans="1:6" s="229" customFormat="1" ht="78.75" x14ac:dyDescent="0.25">
      <c r="A65" s="227" t="s">
        <v>1316</v>
      </c>
      <c r="B65" s="345" t="s">
        <v>1328</v>
      </c>
      <c r="C65" s="326">
        <v>10</v>
      </c>
      <c r="D65" s="326">
        <v>10</v>
      </c>
    </row>
    <row r="66" spans="1:6" s="229" customFormat="1" ht="78.75" x14ac:dyDescent="0.25">
      <c r="A66" s="140" t="s">
        <v>1336</v>
      </c>
      <c r="B66" s="344" t="s">
        <v>1335</v>
      </c>
      <c r="C66" s="325">
        <f>C67</f>
        <v>10</v>
      </c>
      <c r="D66" s="325">
        <f>D67</f>
        <v>10</v>
      </c>
    </row>
    <row r="67" spans="1:6" ht="96" customHeight="1" x14ac:dyDescent="0.25">
      <c r="A67" s="227" t="s">
        <v>1315</v>
      </c>
      <c r="B67" s="345" t="s">
        <v>1329</v>
      </c>
      <c r="C67" s="326">
        <v>10</v>
      </c>
      <c r="D67" s="326">
        <v>10</v>
      </c>
    </row>
    <row r="68" spans="1:6" s="229" customFormat="1" ht="75" customHeight="1" x14ac:dyDescent="0.25">
      <c r="A68" s="140" t="s">
        <v>1332</v>
      </c>
      <c r="B68" s="346" t="s">
        <v>1331</v>
      </c>
      <c r="C68" s="325">
        <f>C69</f>
        <v>10</v>
      </c>
      <c r="D68" s="325">
        <f>D69</f>
        <v>10</v>
      </c>
    </row>
    <row r="69" spans="1:6" ht="87.75" customHeight="1" x14ac:dyDescent="0.25">
      <c r="A69" s="227" t="s">
        <v>1319</v>
      </c>
      <c r="B69" s="347" t="s">
        <v>1330</v>
      </c>
      <c r="C69" s="324">
        <v>10</v>
      </c>
      <c r="D69" s="324">
        <v>10</v>
      </c>
    </row>
    <row r="70" spans="1:6" ht="18.75" hidden="1" x14ac:dyDescent="0.25">
      <c r="A70" s="3" t="s">
        <v>1317</v>
      </c>
      <c r="B70" s="189" t="s">
        <v>789</v>
      </c>
      <c r="C70" s="323">
        <f>C71</f>
        <v>0</v>
      </c>
      <c r="D70" s="323">
        <f>D71</f>
        <v>0</v>
      </c>
    </row>
    <row r="71" spans="1:6" ht="18.75" hidden="1" x14ac:dyDescent="0.25">
      <c r="A71" s="3" t="s">
        <v>1318</v>
      </c>
      <c r="B71" s="189" t="s">
        <v>790</v>
      </c>
      <c r="C71" s="323">
        <f t="shared" ref="C71:D71" si="17">SUM(C72)</f>
        <v>0</v>
      </c>
      <c r="D71" s="323">
        <f t="shared" si="17"/>
        <v>0</v>
      </c>
    </row>
    <row r="72" spans="1:6" ht="18.75" hidden="1" x14ac:dyDescent="0.25">
      <c r="A72" s="2" t="s">
        <v>791</v>
      </c>
      <c r="B72" s="188" t="s">
        <v>792</v>
      </c>
      <c r="C72" s="324">
        <v>0</v>
      </c>
      <c r="D72" s="324">
        <v>0</v>
      </c>
    </row>
    <row r="73" spans="1:6" ht="18.75" x14ac:dyDescent="0.25">
      <c r="A73" s="140" t="s">
        <v>98</v>
      </c>
      <c r="B73" s="141" t="s">
        <v>99</v>
      </c>
      <c r="C73" s="323">
        <f>SUM(C74+C138)</f>
        <v>425571.39999999991</v>
      </c>
      <c r="D73" s="323">
        <f>SUM(D74+D138)</f>
        <v>418444.19999999995</v>
      </c>
      <c r="E73" s="22">
        <f>C73-C75</f>
        <v>267446.39999999991</v>
      </c>
      <c r="F73" s="22">
        <f>D73-D75</f>
        <v>260319.19999999995</v>
      </c>
    </row>
    <row r="74" spans="1:6" ht="31.5" x14ac:dyDescent="0.25">
      <c r="A74" s="140" t="s">
        <v>100</v>
      </c>
      <c r="B74" s="141" t="s">
        <v>101</v>
      </c>
      <c r="C74" s="323">
        <f>SUM(C75+C82+C110+C132)</f>
        <v>425571.39999999991</v>
      </c>
      <c r="D74" s="323">
        <f>SUM(D75+D82+D110+D132)</f>
        <v>418444.19999999995</v>
      </c>
      <c r="E74">
        <v>265225.5</v>
      </c>
    </row>
    <row r="75" spans="1:6" ht="18.75" x14ac:dyDescent="0.25">
      <c r="A75" s="140" t="s">
        <v>857</v>
      </c>
      <c r="B75" s="150" t="s">
        <v>102</v>
      </c>
      <c r="C75" s="323">
        <f>C77+C80</f>
        <v>158125</v>
      </c>
      <c r="D75" s="323">
        <f>D77+D80</f>
        <v>158125</v>
      </c>
      <c r="E75" s="22">
        <f>E73-E74</f>
        <v>2220.8999999999069</v>
      </c>
    </row>
    <row r="76" spans="1:6" s="229" customFormat="1" ht="19.5" customHeight="1" x14ac:dyDescent="0.25">
      <c r="A76" s="140" t="s">
        <v>1361</v>
      </c>
      <c r="B76" s="150" t="s">
        <v>1358</v>
      </c>
      <c r="C76" s="323">
        <f>C77</f>
        <v>158125</v>
      </c>
      <c r="D76" s="323">
        <f>D77</f>
        <v>158125</v>
      </c>
    </row>
    <row r="77" spans="1:6" ht="36.75" customHeight="1" x14ac:dyDescent="0.25">
      <c r="A77" s="140" t="s">
        <v>856</v>
      </c>
      <c r="B77" s="141" t="s">
        <v>1382</v>
      </c>
      <c r="C77" s="323">
        <f t="shared" ref="C77:D77" si="18">SUM(C78+C79)</f>
        <v>158125</v>
      </c>
      <c r="D77" s="323">
        <f t="shared" si="18"/>
        <v>158125</v>
      </c>
    </row>
    <row r="78" spans="1:6" ht="110.25" x14ac:dyDescent="0.25">
      <c r="A78" s="135" t="s">
        <v>856</v>
      </c>
      <c r="B78" s="147" t="s">
        <v>103</v>
      </c>
      <c r="C78" s="324">
        <v>158125</v>
      </c>
      <c r="D78" s="324">
        <v>158125</v>
      </c>
    </row>
    <row r="79" spans="1:6" ht="94.5" hidden="1" customHeight="1" x14ac:dyDescent="0.25">
      <c r="A79" s="135" t="s">
        <v>856</v>
      </c>
      <c r="B79" s="147" t="s">
        <v>104</v>
      </c>
      <c r="C79" s="324">
        <v>0</v>
      </c>
      <c r="D79" s="324">
        <v>0</v>
      </c>
    </row>
    <row r="80" spans="1:6" s="229" customFormat="1" ht="31.5" hidden="1" x14ac:dyDescent="0.25">
      <c r="A80" s="137" t="s">
        <v>1359</v>
      </c>
      <c r="B80" s="141" t="s">
        <v>1295</v>
      </c>
      <c r="C80" s="323">
        <f>C81</f>
        <v>0</v>
      </c>
      <c r="D80" s="323">
        <f>D81</f>
        <v>0</v>
      </c>
    </row>
    <row r="81" spans="1:4" s="229" customFormat="1" ht="31.5" hidden="1" x14ac:dyDescent="0.25">
      <c r="A81" s="135" t="s">
        <v>1294</v>
      </c>
      <c r="B81" s="147" t="s">
        <v>1295</v>
      </c>
      <c r="C81" s="324">
        <v>0</v>
      </c>
      <c r="D81" s="324">
        <v>0</v>
      </c>
    </row>
    <row r="82" spans="1:4" ht="31.5" x14ac:dyDescent="0.25">
      <c r="A82" s="140" t="s">
        <v>855</v>
      </c>
      <c r="B82" s="141" t="s">
        <v>105</v>
      </c>
      <c r="C82" s="323">
        <f>C88+C93+C96+C89+C91</f>
        <v>14341.9</v>
      </c>
      <c r="D82" s="323">
        <f>D88+D93+D96+D89+D91</f>
        <v>7148</v>
      </c>
    </row>
    <row r="83" spans="1:4" s="229" customFormat="1" ht="47.25" hidden="1" x14ac:dyDescent="0.25">
      <c r="A83" s="367" t="s">
        <v>1407</v>
      </c>
      <c r="B83" s="368" t="s">
        <v>1409</v>
      </c>
      <c r="C83" s="377">
        <f>C84</f>
        <v>0</v>
      </c>
      <c r="D83" s="323"/>
    </row>
    <row r="84" spans="1:4" s="229" customFormat="1" ht="47.25" hidden="1" x14ac:dyDescent="0.25">
      <c r="A84" s="227" t="s">
        <v>1406</v>
      </c>
      <c r="B84" s="370" t="s">
        <v>1408</v>
      </c>
      <c r="C84" s="193">
        <v>0</v>
      </c>
      <c r="D84" s="323"/>
    </row>
    <row r="85" spans="1:4" s="229" customFormat="1" ht="47.25" hidden="1" x14ac:dyDescent="0.25">
      <c r="A85" s="140" t="s">
        <v>1410</v>
      </c>
      <c r="B85" s="369" t="s">
        <v>1413</v>
      </c>
      <c r="C85" s="192">
        <f>C86</f>
        <v>0</v>
      </c>
      <c r="D85" s="323"/>
    </row>
    <row r="86" spans="1:4" s="229" customFormat="1" ht="47.25" hidden="1" x14ac:dyDescent="0.25">
      <c r="A86" s="227" t="s">
        <v>1411</v>
      </c>
      <c r="B86" s="370" t="s">
        <v>1412</v>
      </c>
      <c r="C86" s="193">
        <v>0</v>
      </c>
      <c r="D86" s="323"/>
    </row>
    <row r="87" spans="1:4" ht="31.5" hidden="1" x14ac:dyDescent="0.25">
      <c r="A87" s="338" t="s">
        <v>1343</v>
      </c>
      <c r="B87" s="141" t="s">
        <v>1362</v>
      </c>
      <c r="C87" s="323">
        <f>C88</f>
        <v>0</v>
      </c>
      <c r="D87" s="323">
        <f>D88</f>
        <v>0</v>
      </c>
    </row>
    <row r="88" spans="1:4" s="229" customFormat="1" ht="31.5" hidden="1" x14ac:dyDescent="0.25">
      <c r="A88" s="339" t="s">
        <v>817</v>
      </c>
      <c r="B88" s="147" t="s">
        <v>824</v>
      </c>
      <c r="C88" s="324">
        <v>0</v>
      </c>
      <c r="D88" s="324">
        <v>0</v>
      </c>
    </row>
    <row r="89" spans="1:4" ht="40.5" hidden="1" customHeight="1" x14ac:dyDescent="0.25">
      <c r="A89" s="338" t="s">
        <v>1345</v>
      </c>
      <c r="B89" s="149" t="s">
        <v>872</v>
      </c>
      <c r="C89" s="323">
        <f>C90</f>
        <v>0</v>
      </c>
      <c r="D89" s="323">
        <f>D90</f>
        <v>0</v>
      </c>
    </row>
    <row r="90" spans="1:4" ht="39.75" hidden="1" customHeight="1" x14ac:dyDescent="0.25">
      <c r="A90" s="339" t="s">
        <v>871</v>
      </c>
      <c r="B90" s="142" t="s">
        <v>872</v>
      </c>
      <c r="C90" s="324">
        <v>0</v>
      </c>
      <c r="D90" s="324">
        <v>0</v>
      </c>
    </row>
    <row r="91" spans="1:4" s="229" customFormat="1" ht="19.5" customHeight="1" x14ac:dyDescent="0.25">
      <c r="A91" s="378" t="s">
        <v>1400</v>
      </c>
      <c r="B91" s="376" t="s">
        <v>1403</v>
      </c>
      <c r="C91" s="192">
        <f>C92</f>
        <v>2202.4</v>
      </c>
      <c r="D91" s="323">
        <f>D92</f>
        <v>0</v>
      </c>
    </row>
    <row r="92" spans="1:4" s="229" customFormat="1" ht="21.75" customHeight="1" x14ac:dyDescent="0.25">
      <c r="A92" s="379" t="s">
        <v>1398</v>
      </c>
      <c r="B92" s="375" t="s">
        <v>1399</v>
      </c>
      <c r="C92" s="193">
        <v>2202.4</v>
      </c>
      <c r="D92" s="324">
        <v>0</v>
      </c>
    </row>
    <row r="93" spans="1:4" ht="31.5" hidden="1" x14ac:dyDescent="0.25">
      <c r="A93" s="338" t="s">
        <v>1347</v>
      </c>
      <c r="B93" s="141" t="s">
        <v>1348</v>
      </c>
      <c r="C93" s="323">
        <f t="shared" ref="C93:D95" si="19">SUM(C94)</f>
        <v>0</v>
      </c>
      <c r="D93" s="323">
        <f t="shared" si="19"/>
        <v>0</v>
      </c>
    </row>
    <row r="94" spans="1:4" ht="31.5" hidden="1" x14ac:dyDescent="0.25">
      <c r="A94" s="339" t="s">
        <v>854</v>
      </c>
      <c r="B94" s="147" t="s">
        <v>1363</v>
      </c>
      <c r="C94" s="324">
        <v>0</v>
      </c>
      <c r="D94" s="324">
        <v>0</v>
      </c>
    </row>
    <row r="95" spans="1:4" ht="18.75" x14ac:dyDescent="0.25">
      <c r="A95" s="338" t="s">
        <v>1351</v>
      </c>
      <c r="B95" s="141" t="s">
        <v>1350</v>
      </c>
      <c r="C95" s="323">
        <f t="shared" si="19"/>
        <v>12139.5</v>
      </c>
      <c r="D95" s="323">
        <f t="shared" si="19"/>
        <v>7148</v>
      </c>
    </row>
    <row r="96" spans="1:4" ht="18.75" x14ac:dyDescent="0.25">
      <c r="A96" s="227" t="s">
        <v>853</v>
      </c>
      <c r="B96" s="147" t="s">
        <v>106</v>
      </c>
      <c r="C96" s="327">
        <f>C98+C99+C100+C101+C102+C105+C106+C107+C108+C109</f>
        <v>12139.5</v>
      </c>
      <c r="D96" s="327">
        <f>D98+D99+D100+D101+D102+D105+D106+D107+D108+D109</f>
        <v>7148</v>
      </c>
    </row>
    <row r="97" spans="1:4" ht="157.5" hidden="1" x14ac:dyDescent="0.25">
      <c r="A97" s="466"/>
      <c r="B97" s="147" t="s">
        <v>840</v>
      </c>
      <c r="C97" s="324">
        <v>0</v>
      </c>
      <c r="D97" s="324">
        <v>0</v>
      </c>
    </row>
    <row r="98" spans="1:4" ht="63" customHeight="1" x14ac:dyDescent="0.25">
      <c r="A98" s="460"/>
      <c r="B98" s="142" t="s">
        <v>841</v>
      </c>
      <c r="C98" s="324">
        <v>65.2</v>
      </c>
      <c r="D98" s="324">
        <v>65.2</v>
      </c>
    </row>
    <row r="99" spans="1:4" s="229" customFormat="1" ht="129" customHeight="1" x14ac:dyDescent="0.25">
      <c r="A99" s="460"/>
      <c r="B99" s="153" t="s">
        <v>1404</v>
      </c>
      <c r="C99" s="409">
        <v>1666.6</v>
      </c>
      <c r="D99" s="407">
        <f>C99</f>
        <v>1666.6</v>
      </c>
    </row>
    <row r="100" spans="1:4" s="229" customFormat="1" ht="143.25" customHeight="1" x14ac:dyDescent="0.25">
      <c r="A100" s="460"/>
      <c r="B100" s="373" t="s">
        <v>1405</v>
      </c>
      <c r="C100" s="409">
        <v>500</v>
      </c>
      <c r="D100" s="407">
        <f>C100</f>
        <v>500</v>
      </c>
    </row>
    <row r="101" spans="1:4" ht="94.5" x14ac:dyDescent="0.25">
      <c r="A101" s="460"/>
      <c r="B101" s="152" t="s">
        <v>724</v>
      </c>
      <c r="C101" s="328">
        <v>2220.9</v>
      </c>
      <c r="D101" s="328">
        <v>2220.9</v>
      </c>
    </row>
    <row r="102" spans="1:4" ht="67.5" customHeight="1" x14ac:dyDescent="0.25">
      <c r="A102" s="460"/>
      <c r="B102" s="153" t="s">
        <v>842</v>
      </c>
      <c r="C102" s="329">
        <f t="shared" ref="C102:D102" si="20">SUM(C103:C104)</f>
        <v>25</v>
      </c>
      <c r="D102" s="329">
        <f t="shared" si="20"/>
        <v>25</v>
      </c>
    </row>
    <row r="103" spans="1:4" ht="116.25" customHeight="1" x14ac:dyDescent="0.25">
      <c r="A103" s="460"/>
      <c r="B103" s="348" t="s">
        <v>839</v>
      </c>
      <c r="C103" s="330">
        <v>0</v>
      </c>
      <c r="D103" s="330">
        <v>0</v>
      </c>
    </row>
    <row r="104" spans="1:4" ht="110.25" x14ac:dyDescent="0.25">
      <c r="A104" s="460"/>
      <c r="B104" s="170" t="s">
        <v>873</v>
      </c>
      <c r="C104" s="408">
        <v>25</v>
      </c>
      <c r="D104" s="408">
        <v>25</v>
      </c>
    </row>
    <row r="105" spans="1:4" ht="94.5" x14ac:dyDescent="0.25">
      <c r="A105" s="460"/>
      <c r="B105" s="142" t="s">
        <v>108</v>
      </c>
      <c r="C105" s="324">
        <v>1743.4</v>
      </c>
      <c r="D105" s="324">
        <v>1751.9</v>
      </c>
    </row>
    <row r="106" spans="1:4" ht="87.75" customHeight="1" x14ac:dyDescent="0.25">
      <c r="A106" s="460"/>
      <c r="B106" s="142" t="s">
        <v>843</v>
      </c>
      <c r="C106" s="324">
        <v>255</v>
      </c>
      <c r="D106" s="324">
        <v>255</v>
      </c>
    </row>
    <row r="107" spans="1:4" ht="94.5" x14ac:dyDescent="0.25">
      <c r="A107" s="460"/>
      <c r="B107" s="142" t="s">
        <v>844</v>
      </c>
      <c r="C107" s="324">
        <f>488.7+8</f>
        <v>496.7</v>
      </c>
      <c r="D107" s="324">
        <f>488.7+8</f>
        <v>496.7</v>
      </c>
    </row>
    <row r="108" spans="1:4" s="229" customFormat="1" ht="95.25" customHeight="1" x14ac:dyDescent="0.25">
      <c r="A108" s="460"/>
      <c r="B108" s="382" t="s">
        <v>1420</v>
      </c>
      <c r="C108" s="410">
        <v>5000</v>
      </c>
      <c r="D108" s="324">
        <v>0</v>
      </c>
    </row>
    <row r="109" spans="1:4" ht="157.5" x14ac:dyDescent="0.25">
      <c r="A109" s="461"/>
      <c r="B109" s="203" t="s">
        <v>829</v>
      </c>
      <c r="C109" s="327">
        <v>166.7</v>
      </c>
      <c r="D109" s="327">
        <v>166.7</v>
      </c>
    </row>
    <row r="110" spans="1:4" ht="24.75" customHeight="1" x14ac:dyDescent="0.25">
      <c r="A110" s="140" t="s">
        <v>852</v>
      </c>
      <c r="B110" s="314" t="s">
        <v>109</v>
      </c>
      <c r="C110" s="323">
        <f>C130+C111+C128</f>
        <v>240927.39999999994</v>
      </c>
      <c r="D110" s="323">
        <f>D130+D111+D128</f>
        <v>240994.09999999995</v>
      </c>
    </row>
    <row r="111" spans="1:4" ht="31.5" x14ac:dyDescent="0.25">
      <c r="A111" s="140" t="s">
        <v>851</v>
      </c>
      <c r="B111" s="149" t="s">
        <v>110</v>
      </c>
      <c r="C111" s="323">
        <f t="shared" ref="C111:D111" si="21">C112</f>
        <v>240353.69999999995</v>
      </c>
      <c r="D111" s="323">
        <f t="shared" si="21"/>
        <v>240353.69999999995</v>
      </c>
    </row>
    <row r="112" spans="1:4" ht="31.5" x14ac:dyDescent="0.25">
      <c r="A112" s="227" t="s">
        <v>850</v>
      </c>
      <c r="B112" s="142" t="s">
        <v>111</v>
      </c>
      <c r="C112" s="324">
        <f>SUM(C113+C114+C115+C116+C117+C118+C119+C122+C123+C124+C125+C127)</f>
        <v>240353.69999999995</v>
      </c>
      <c r="D112" s="324">
        <f>SUM(D113+D114+D115+D116+D117+D118+D119+D122+D123+D124+D125+D127)</f>
        <v>240353.69999999995</v>
      </c>
    </row>
    <row r="113" spans="1:4" ht="110.25" x14ac:dyDescent="0.25">
      <c r="A113" s="466"/>
      <c r="B113" s="152" t="s">
        <v>725</v>
      </c>
      <c r="C113" s="329">
        <f>пр.дох.20!C112</f>
        <v>143160</v>
      </c>
      <c r="D113" s="329">
        <f>C113</f>
        <v>143160</v>
      </c>
    </row>
    <row r="114" spans="1:4" ht="82.5" customHeight="1" x14ac:dyDescent="0.25">
      <c r="A114" s="460"/>
      <c r="B114" s="142" t="s">
        <v>112</v>
      </c>
      <c r="C114" s="329">
        <f>пр.дох.20!C113</f>
        <v>80735.399999999994</v>
      </c>
      <c r="D114" s="329">
        <f t="shared" ref="D114:D127" si="22">C114</f>
        <v>80735.399999999994</v>
      </c>
    </row>
    <row r="115" spans="1:4" ht="112.5" customHeight="1" x14ac:dyDescent="0.25">
      <c r="A115" s="460"/>
      <c r="B115" s="142" t="s">
        <v>716</v>
      </c>
      <c r="C115" s="329">
        <f>пр.дох.20!C114</f>
        <v>4743.8999999999996</v>
      </c>
      <c r="D115" s="329">
        <f t="shared" si="22"/>
        <v>4743.8999999999996</v>
      </c>
    </row>
    <row r="116" spans="1:4" ht="110.25" x14ac:dyDescent="0.25">
      <c r="A116" s="460"/>
      <c r="B116" s="142" t="s">
        <v>717</v>
      </c>
      <c r="C116" s="329">
        <f>пр.дох.20!C115</f>
        <v>2075.4</v>
      </c>
      <c r="D116" s="329">
        <f t="shared" si="22"/>
        <v>2075.4</v>
      </c>
    </row>
    <row r="117" spans="1:4" ht="110.25" x14ac:dyDescent="0.25">
      <c r="A117" s="460"/>
      <c r="B117" s="142" t="s">
        <v>113</v>
      </c>
      <c r="C117" s="329">
        <f>пр.дох.20!C116</f>
        <v>1433.3</v>
      </c>
      <c r="D117" s="329">
        <f t="shared" si="22"/>
        <v>1433.3</v>
      </c>
    </row>
    <row r="118" spans="1:4" ht="110.25" x14ac:dyDescent="0.25">
      <c r="A118" s="460"/>
      <c r="B118" s="142" t="s">
        <v>114</v>
      </c>
      <c r="C118" s="329">
        <f>пр.дох.20!C117</f>
        <v>288.8</v>
      </c>
      <c r="D118" s="329">
        <f t="shared" si="22"/>
        <v>288.8</v>
      </c>
    </row>
    <row r="119" spans="1:4" ht="47.25" x14ac:dyDescent="0.25">
      <c r="A119" s="460"/>
      <c r="B119" s="142" t="s">
        <v>115</v>
      </c>
      <c r="C119" s="329">
        <f>пр.дох.20!C118</f>
        <v>3621.3999999999996</v>
      </c>
      <c r="D119" s="329">
        <f t="shared" si="22"/>
        <v>3621.3999999999996</v>
      </c>
    </row>
    <row r="120" spans="1:4" ht="31.5" x14ac:dyDescent="0.25">
      <c r="A120" s="460"/>
      <c r="B120" s="155" t="s">
        <v>718</v>
      </c>
      <c r="C120" s="329">
        <f>пр.дох.20!C119</f>
        <v>2829.1</v>
      </c>
      <c r="D120" s="329">
        <f t="shared" si="22"/>
        <v>2829.1</v>
      </c>
    </row>
    <row r="121" spans="1:4" ht="31.5" x14ac:dyDescent="0.25">
      <c r="A121" s="460"/>
      <c r="B121" s="155" t="s">
        <v>719</v>
      </c>
      <c r="C121" s="329">
        <f>пр.дох.20!C120</f>
        <v>792.3</v>
      </c>
      <c r="D121" s="329">
        <f t="shared" si="22"/>
        <v>792.3</v>
      </c>
    </row>
    <row r="122" spans="1:4" ht="126" x14ac:dyDescent="0.25">
      <c r="A122" s="460"/>
      <c r="B122" s="142" t="s">
        <v>845</v>
      </c>
      <c r="C122" s="329">
        <f>пр.дох.20!C121</f>
        <v>319.7</v>
      </c>
      <c r="D122" s="329">
        <f t="shared" si="22"/>
        <v>319.7</v>
      </c>
    </row>
    <row r="123" spans="1:4" ht="126" x14ac:dyDescent="0.25">
      <c r="A123" s="460"/>
      <c r="B123" s="142" t="s">
        <v>116</v>
      </c>
      <c r="C123" s="329">
        <f>пр.дох.20!C122</f>
        <v>923.4</v>
      </c>
      <c r="D123" s="329">
        <f t="shared" si="22"/>
        <v>923.4</v>
      </c>
    </row>
    <row r="124" spans="1:4" ht="47.25" x14ac:dyDescent="0.25">
      <c r="A124" s="460"/>
      <c r="B124" s="142" t="s">
        <v>117</v>
      </c>
      <c r="C124" s="329">
        <f>пр.дох.20!C123</f>
        <v>1115.9000000000001</v>
      </c>
      <c r="D124" s="329">
        <f t="shared" si="22"/>
        <v>1115.9000000000001</v>
      </c>
    </row>
    <row r="125" spans="1:4" ht="157.5" x14ac:dyDescent="0.25">
      <c r="A125" s="460"/>
      <c r="B125" s="29" t="s">
        <v>1414</v>
      </c>
      <c r="C125" s="380">
        <v>22</v>
      </c>
      <c r="D125" s="329">
        <f t="shared" si="22"/>
        <v>22</v>
      </c>
    </row>
    <row r="126" spans="1:4" s="229" customFormat="1" ht="115.5" hidden="1" customHeight="1" x14ac:dyDescent="0.25">
      <c r="A126" s="460"/>
      <c r="B126" s="371" t="s">
        <v>1419</v>
      </c>
      <c r="C126" s="372"/>
      <c r="D126" s="329"/>
    </row>
    <row r="127" spans="1:4" s="229" customFormat="1" ht="47.25" x14ac:dyDescent="0.25">
      <c r="A127" s="461"/>
      <c r="B127" s="142" t="s">
        <v>1320</v>
      </c>
      <c r="C127" s="329">
        <f>пр.дох.20!C126</f>
        <v>1914.5</v>
      </c>
      <c r="D127" s="329">
        <f t="shared" si="22"/>
        <v>1914.5</v>
      </c>
    </row>
    <row r="128" spans="1:4" s="229" customFormat="1" ht="63" x14ac:dyDescent="0.25">
      <c r="A128" s="140" t="s">
        <v>1421</v>
      </c>
      <c r="B128" s="369" t="s">
        <v>1423</v>
      </c>
      <c r="C128" s="381">
        <f>C129</f>
        <v>6.3</v>
      </c>
      <c r="D128" s="381">
        <f>D129</f>
        <v>51</v>
      </c>
    </row>
    <row r="129" spans="1:4" s="229" customFormat="1" ht="63" x14ac:dyDescent="0.25">
      <c r="A129" s="227" t="s">
        <v>1422</v>
      </c>
      <c r="B129" s="370" t="s">
        <v>1423</v>
      </c>
      <c r="C129" s="329">
        <v>6.3</v>
      </c>
      <c r="D129" s="329">
        <v>51</v>
      </c>
    </row>
    <row r="130" spans="1:4" ht="31.5" x14ac:dyDescent="0.25">
      <c r="A130" s="140" t="s">
        <v>849</v>
      </c>
      <c r="B130" s="149" t="s">
        <v>118</v>
      </c>
      <c r="C130" s="323">
        <f t="shared" ref="C130:D130" si="23">C131</f>
        <v>567.4</v>
      </c>
      <c r="D130" s="323">
        <f t="shared" si="23"/>
        <v>589.4</v>
      </c>
    </row>
    <row r="131" spans="1:4" ht="31.5" x14ac:dyDescent="0.25">
      <c r="A131" s="227" t="s">
        <v>848</v>
      </c>
      <c r="B131" s="142" t="s">
        <v>119</v>
      </c>
      <c r="C131" s="324">
        <v>567.4</v>
      </c>
      <c r="D131" s="324">
        <v>589.4</v>
      </c>
    </row>
    <row r="132" spans="1:4" ht="18.75" x14ac:dyDescent="0.25">
      <c r="A132" s="140" t="s">
        <v>847</v>
      </c>
      <c r="B132" s="149" t="s">
        <v>120</v>
      </c>
      <c r="C132" s="323">
        <f>SUM(C134)</f>
        <v>12177.1</v>
      </c>
      <c r="D132" s="323">
        <f>SUM(D134)</f>
        <v>12177.1</v>
      </c>
    </row>
    <row r="133" spans="1:4" ht="18.75" x14ac:dyDescent="0.25">
      <c r="A133" s="140" t="s">
        <v>846</v>
      </c>
      <c r="B133" s="149" t="s">
        <v>121</v>
      </c>
      <c r="C133" s="323">
        <f t="shared" ref="C133:D133" si="24">C134</f>
        <v>12177.1</v>
      </c>
      <c r="D133" s="323">
        <f t="shared" si="24"/>
        <v>12177.1</v>
      </c>
    </row>
    <row r="134" spans="1:4" s="229" customFormat="1" ht="31.5" x14ac:dyDescent="0.25">
      <c r="A134" s="227" t="s">
        <v>858</v>
      </c>
      <c r="B134" s="142" t="s">
        <v>1352</v>
      </c>
      <c r="C134" s="324">
        <f>SUM(C135:C137)</f>
        <v>12177.1</v>
      </c>
      <c r="D134" s="324">
        <f>SUM(D135:D137)</f>
        <v>12177.1</v>
      </c>
    </row>
    <row r="135" spans="1:4" ht="126" x14ac:dyDescent="0.25">
      <c r="A135" s="466"/>
      <c r="B135" s="156" t="s">
        <v>810</v>
      </c>
      <c r="C135" s="386">
        <f>пр.дох.20!C136</f>
        <v>9263</v>
      </c>
      <c r="D135" s="386">
        <f>C135</f>
        <v>9263</v>
      </c>
    </row>
    <row r="136" spans="1:4" ht="141.75" x14ac:dyDescent="0.25">
      <c r="A136" s="460"/>
      <c r="B136" s="156" t="s">
        <v>811</v>
      </c>
      <c r="C136" s="386">
        <f>пр.дох.20!C137</f>
        <v>2100.6</v>
      </c>
      <c r="D136" s="386">
        <f t="shared" ref="D136:D137" si="25">C136</f>
        <v>2100.6</v>
      </c>
    </row>
    <row r="137" spans="1:4" ht="126" x14ac:dyDescent="0.25">
      <c r="A137" s="461"/>
      <c r="B137" s="156" t="s">
        <v>876</v>
      </c>
      <c r="C137" s="386">
        <f>пр.дох.20!C138</f>
        <v>813.5</v>
      </c>
      <c r="D137" s="386">
        <f t="shared" si="25"/>
        <v>813.5</v>
      </c>
    </row>
    <row r="138" spans="1:4" ht="18.75" hidden="1" x14ac:dyDescent="0.25">
      <c r="A138" s="19" t="s">
        <v>806</v>
      </c>
      <c r="B138" s="204" t="s">
        <v>807</v>
      </c>
      <c r="C138" s="205">
        <f>SUM(C139)</f>
        <v>0</v>
      </c>
      <c r="D138" s="205">
        <f>SUM(D139)</f>
        <v>0</v>
      </c>
    </row>
    <row r="139" spans="1:4" ht="31.5" hidden="1" x14ac:dyDescent="0.25">
      <c r="A139" s="19" t="s">
        <v>808</v>
      </c>
      <c r="B139" s="204" t="s">
        <v>809</v>
      </c>
      <c r="C139" s="205">
        <f>SUM(C140)</f>
        <v>0</v>
      </c>
      <c r="D139" s="205">
        <f>SUM(D140)</f>
        <v>0</v>
      </c>
    </row>
    <row r="140" spans="1:4" ht="18.75" hidden="1" x14ac:dyDescent="0.25">
      <c r="A140" s="457" t="s">
        <v>881</v>
      </c>
      <c r="B140" s="208" t="s">
        <v>809</v>
      </c>
      <c r="C140" s="205">
        <f>SUM(C142:C143)</f>
        <v>0</v>
      </c>
      <c r="D140" s="205">
        <f>SUM(D142:D143)</f>
        <v>0</v>
      </c>
    </row>
    <row r="141" spans="1:4" ht="18.75" hidden="1" x14ac:dyDescent="0.25">
      <c r="A141" s="458"/>
      <c r="B141" s="208" t="s">
        <v>107</v>
      </c>
      <c r="C141" s="205"/>
      <c r="D141" s="205"/>
    </row>
    <row r="142" spans="1:4" ht="94.5" hidden="1" x14ac:dyDescent="0.25">
      <c r="A142" s="458"/>
      <c r="B142" s="206" t="s">
        <v>878</v>
      </c>
      <c r="C142" s="194">
        <v>0</v>
      </c>
      <c r="D142" s="194">
        <v>0</v>
      </c>
    </row>
    <row r="143" spans="1:4" ht="78.75" hidden="1" x14ac:dyDescent="0.25">
      <c r="A143" s="465"/>
      <c r="B143" s="206" t="s">
        <v>879</v>
      </c>
      <c r="C143" s="194">
        <v>0</v>
      </c>
      <c r="D143" s="194">
        <v>0</v>
      </c>
    </row>
    <row r="144" spans="1:4" ht="18.75" x14ac:dyDescent="0.25">
      <c r="A144" s="227"/>
      <c r="B144" s="200" t="s">
        <v>122</v>
      </c>
      <c r="C144" s="323">
        <f>SUM(C9+C73)</f>
        <v>726350.72</v>
      </c>
      <c r="D144" s="323">
        <f>SUM(D9+D73)</f>
        <v>725925.52</v>
      </c>
    </row>
  </sheetData>
  <mergeCells count="10">
    <mergeCell ref="C1:D1"/>
    <mergeCell ref="C2:D2"/>
    <mergeCell ref="C3:D3"/>
    <mergeCell ref="A140:A143"/>
    <mergeCell ref="A4:D4"/>
    <mergeCell ref="A5:D5"/>
    <mergeCell ref="A6:D6"/>
    <mergeCell ref="A97:A109"/>
    <mergeCell ref="A113:A127"/>
    <mergeCell ref="A135:A137"/>
  </mergeCells>
  <hyperlinks>
    <hyperlink ref="B65" r:id="rId1" display="consultantplus://offline/ref=90DD075742B43C415054D7C57EEE35341F87E5BC1D9D1BDE3A747C0D881C15D50B24F795703DF0A84C588B73F9A8AC3C8A6AC02CDB9A5E68c4m2F"/>
    <hyperlink ref="B67" r:id="rId2" display="consultantplus://offline/ref=90DD075742B43C415054D7C57EEE35341F87E5BC1D9D1BDE3A747C0D881C15D50B24F795703DF2AD4E588B73F9A8AC3C8A6AC02CDB9A5E68c4m2F"/>
    <hyperlink ref="B69" r:id="rId3" display="consultantplus://offline/ref=90DD075742B43C415054D7C57EEE35341F87E5BC1D9D1BDE3A747C0D881C15D50B24F795703CF7A64B588B73F9A8AC3C8A6AC02CDB9A5E68c4m2F"/>
    <hyperlink ref="B68" r:id="rId4" display="consultantplus://offline/ref=90DD075742B43C415054D7C57EEE35341F87E5BC1D9D1BDE3A747C0D881C15D50B24F795703CF7A64B588B73F9A8AC3C8A6AC02CDB9A5E68c4m2F"/>
    <hyperlink ref="B64" r:id="rId5" display="consultantplus://offline/ref=90DD075742B43C415054D7C57EEE35341F87E5BC1D9D1BDE3A747C0D881C15D50B24F795703DF0A84C588B73F9A8AC3C8A6AC02CDB9A5E68c4m2F"/>
    <hyperlink ref="B66" r:id="rId6" display="consultantplus://offline/ref=90DD075742B43C415054D7C57EEE35341F87E5BC1D9D1BDE3A747C0D881C15D50B24F795703DF2AD4E588B73F9A8AC3C8A6AC02CDB9A5E68c4m2F"/>
  </hyperlinks>
  <pageMargins left="0.25" right="0.25" top="0.75" bottom="0.75" header="0.3" footer="0.3"/>
  <pageSetup paperSize="9" scale="75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view="pageBreakPreview" zoomScaleNormal="100" zoomScaleSheetLayoutView="100" workbookViewId="0">
      <selection activeCell="A4" sqref="A4:D4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customWidth="1"/>
  </cols>
  <sheetData>
    <row r="1" spans="1:5" ht="15.75" x14ac:dyDescent="0.25">
      <c r="A1" s="11"/>
      <c r="B1" s="467" t="s">
        <v>606</v>
      </c>
      <c r="C1" s="467"/>
      <c r="D1" s="467"/>
    </row>
    <row r="2" spans="1:5" ht="15.75" x14ac:dyDescent="0.25">
      <c r="A2" s="11"/>
      <c r="B2" s="467" t="s">
        <v>0</v>
      </c>
      <c r="C2" s="467"/>
      <c r="D2" s="467"/>
    </row>
    <row r="3" spans="1:5" ht="15" customHeight="1" x14ac:dyDescent="0.25">
      <c r="A3" s="11"/>
      <c r="B3" s="467" t="s">
        <v>1480</v>
      </c>
      <c r="C3" s="467"/>
      <c r="D3" s="467"/>
    </row>
    <row r="4" spans="1:5" ht="15.75" x14ac:dyDescent="0.25">
      <c r="A4" s="470" t="s">
        <v>1368</v>
      </c>
      <c r="B4" s="470"/>
      <c r="C4" s="470"/>
      <c r="D4" s="470"/>
    </row>
    <row r="5" spans="1:5" ht="15.75" x14ac:dyDescent="0.25">
      <c r="A5" s="470" t="s">
        <v>1369</v>
      </c>
      <c r="B5" s="470"/>
      <c r="C5" s="470"/>
      <c r="D5" s="470"/>
    </row>
    <row r="6" spans="1:5" ht="15.75" x14ac:dyDescent="0.25">
      <c r="A6" s="470" t="s">
        <v>1370</v>
      </c>
      <c r="B6" s="470"/>
      <c r="C6" s="470"/>
      <c r="D6" s="470"/>
    </row>
    <row r="7" spans="1:5" ht="15.75" x14ac:dyDescent="0.25">
      <c r="A7" s="468"/>
      <c r="B7" s="469"/>
      <c r="C7" s="469"/>
    </row>
    <row r="8" spans="1:5" x14ac:dyDescent="0.25">
      <c r="B8" s="92"/>
      <c r="C8" s="92"/>
      <c r="D8" s="197" t="s">
        <v>1</v>
      </c>
    </row>
    <row r="9" spans="1:5" ht="66" customHeight="1" x14ac:dyDescent="0.25">
      <c r="A9" s="93" t="s">
        <v>691</v>
      </c>
      <c r="B9" s="93" t="s">
        <v>692</v>
      </c>
      <c r="C9" s="93" t="s">
        <v>693</v>
      </c>
      <c r="D9" s="185" t="s">
        <v>1203</v>
      </c>
    </row>
    <row r="10" spans="1:5" ht="15.75" x14ac:dyDescent="0.25">
      <c r="A10" s="47" t="s">
        <v>132</v>
      </c>
      <c r="B10" s="24" t="s">
        <v>133</v>
      </c>
      <c r="C10" s="94"/>
      <c r="D10" s="95">
        <f>SUM(D11:D16)</f>
        <v>132972.80000000002</v>
      </c>
    </row>
    <row r="11" spans="1:5" ht="31.5" x14ac:dyDescent="0.25">
      <c r="A11" s="31" t="s">
        <v>590</v>
      </c>
      <c r="B11" s="20" t="s">
        <v>133</v>
      </c>
      <c r="C11" s="20" t="s">
        <v>228</v>
      </c>
      <c r="D11" s="27">
        <f>'Пр.5 Рд,пр, ЦС,ВР 20'!F9</f>
        <v>4268.5</v>
      </c>
      <c r="E11" s="22"/>
    </row>
    <row r="12" spans="1:5" ht="47.25" x14ac:dyDescent="0.25">
      <c r="A12" s="31" t="s">
        <v>593</v>
      </c>
      <c r="B12" s="20" t="s">
        <v>133</v>
      </c>
      <c r="C12" s="20" t="s">
        <v>230</v>
      </c>
      <c r="D12" s="27">
        <f>'Пр.5 Рд,пр, ЦС,ВР 20'!F28</f>
        <v>1091</v>
      </c>
    </row>
    <row r="13" spans="1:5" ht="47.25" x14ac:dyDescent="0.25">
      <c r="A13" s="25" t="s">
        <v>164</v>
      </c>
      <c r="B13" s="20" t="s">
        <v>133</v>
      </c>
      <c r="C13" s="20" t="s">
        <v>165</v>
      </c>
      <c r="D13" s="27">
        <f>'Пр.5 Рд,пр, ЦС,ВР 20'!F39</f>
        <v>63509.1</v>
      </c>
    </row>
    <row r="14" spans="1:5" ht="31.5" x14ac:dyDescent="0.25">
      <c r="A14" s="25" t="s">
        <v>134</v>
      </c>
      <c r="B14" s="20" t="s">
        <v>133</v>
      </c>
      <c r="C14" s="20" t="s">
        <v>135</v>
      </c>
      <c r="D14" s="27">
        <f>'Пр.5 Рд,пр, ЦС,ВР 20'!F100</f>
        <v>15460</v>
      </c>
    </row>
    <row r="15" spans="1:5" s="229" customFormat="1" ht="15.75" x14ac:dyDescent="0.25">
      <c r="A15" s="25" t="s">
        <v>1390</v>
      </c>
      <c r="B15" s="20" t="s">
        <v>133</v>
      </c>
      <c r="C15" s="20" t="s">
        <v>279</v>
      </c>
      <c r="D15" s="27">
        <f>'Пр.5 Рд,пр, ЦС,ВР 20'!F122</f>
        <v>158.38</v>
      </c>
    </row>
    <row r="16" spans="1:5" ht="15.75" x14ac:dyDescent="0.25">
      <c r="A16" s="96" t="s">
        <v>154</v>
      </c>
      <c r="B16" s="20" t="s">
        <v>133</v>
      </c>
      <c r="C16" s="20" t="s">
        <v>155</v>
      </c>
      <c r="D16" s="27">
        <f>'Пр.5 Рд,пр, ЦС,ВР 20'!F130</f>
        <v>48485.82</v>
      </c>
    </row>
    <row r="17" spans="1:5" ht="15.75" hidden="1" x14ac:dyDescent="0.25">
      <c r="A17" s="19" t="s">
        <v>227</v>
      </c>
      <c r="B17" s="24" t="s">
        <v>228</v>
      </c>
      <c r="C17" s="20"/>
      <c r="D17" s="44">
        <f t="shared" ref="D17" si="0">D18</f>
        <v>0</v>
      </c>
    </row>
    <row r="18" spans="1:5" ht="15.75" hidden="1" x14ac:dyDescent="0.25">
      <c r="A18" s="25" t="s">
        <v>233</v>
      </c>
      <c r="B18" s="20" t="s">
        <v>228</v>
      </c>
      <c r="C18" s="20" t="s">
        <v>234</v>
      </c>
      <c r="D18" s="27"/>
    </row>
    <row r="19" spans="1:5" ht="18" customHeight="1" x14ac:dyDescent="0.25">
      <c r="A19" s="34" t="s">
        <v>237</v>
      </c>
      <c r="B19" s="24" t="s">
        <v>230</v>
      </c>
      <c r="C19" s="24"/>
      <c r="D19" s="44">
        <f t="shared" ref="D19" si="1">D20</f>
        <v>8029</v>
      </c>
    </row>
    <row r="20" spans="1:5" ht="31.5" x14ac:dyDescent="0.25">
      <c r="A20" s="31" t="s">
        <v>238</v>
      </c>
      <c r="B20" s="20" t="s">
        <v>230</v>
      </c>
      <c r="C20" s="20" t="s">
        <v>234</v>
      </c>
      <c r="D20" s="27">
        <f>'Пр.5 Рд,пр, ЦС,ВР 20'!F223</f>
        <v>8029</v>
      </c>
    </row>
    <row r="21" spans="1:5" ht="15.75" x14ac:dyDescent="0.25">
      <c r="A21" s="47" t="s">
        <v>247</v>
      </c>
      <c r="B21" s="24" t="s">
        <v>165</v>
      </c>
      <c r="C21" s="24"/>
      <c r="D21" s="44">
        <f t="shared" ref="D21" si="2">D22+D23+D24+D25</f>
        <v>7868.8</v>
      </c>
    </row>
    <row r="22" spans="1:5" ht="15.75" x14ac:dyDescent="0.25">
      <c r="A22" s="97" t="s">
        <v>248</v>
      </c>
      <c r="B22" s="20" t="s">
        <v>165</v>
      </c>
      <c r="C22" s="20" t="s">
        <v>249</v>
      </c>
      <c r="D22" s="27">
        <f>'Пр.5 Рд,пр, ЦС,ВР 20'!F242</f>
        <v>306</v>
      </c>
    </row>
    <row r="23" spans="1:5" ht="15.75" x14ac:dyDescent="0.25">
      <c r="A23" s="96" t="s">
        <v>520</v>
      </c>
      <c r="B23" s="20" t="s">
        <v>165</v>
      </c>
      <c r="C23" s="20" t="s">
        <v>314</v>
      </c>
      <c r="D23" s="27">
        <f>'Пр.5 Рд,пр, ЦС,ВР 20'!F255</f>
        <v>3258</v>
      </c>
    </row>
    <row r="24" spans="1:5" ht="15.75" x14ac:dyDescent="0.25">
      <c r="A24" s="96" t="s">
        <v>523</v>
      </c>
      <c r="B24" s="20" t="s">
        <v>165</v>
      </c>
      <c r="C24" s="20" t="s">
        <v>234</v>
      </c>
      <c r="D24" s="27">
        <f>'Пр.5 Рд,пр, ЦС,ВР 20'!F261</f>
        <v>3446</v>
      </c>
    </row>
    <row r="25" spans="1:5" ht="15.75" x14ac:dyDescent="0.25">
      <c r="A25" s="98" t="s">
        <v>252</v>
      </c>
      <c r="B25" s="20" t="s">
        <v>165</v>
      </c>
      <c r="C25" s="20" t="s">
        <v>253</v>
      </c>
      <c r="D25" s="27">
        <f>'Пр.5 Рд,пр, ЦС,ВР 20'!F273</f>
        <v>858.8</v>
      </c>
    </row>
    <row r="26" spans="1:5" ht="15.75" x14ac:dyDescent="0.25">
      <c r="A26" s="47" t="s">
        <v>405</v>
      </c>
      <c r="B26" s="24" t="s">
        <v>249</v>
      </c>
      <c r="C26" s="24"/>
      <c r="D26" s="44">
        <f t="shared" ref="D26" si="3">SUM(D27:D30)</f>
        <v>37959.5</v>
      </c>
    </row>
    <row r="27" spans="1:5" ht="15.75" x14ac:dyDescent="0.25">
      <c r="A27" s="97" t="s">
        <v>406</v>
      </c>
      <c r="B27" s="20" t="s">
        <v>249</v>
      </c>
      <c r="C27" s="20" t="s">
        <v>133</v>
      </c>
      <c r="D27" s="27">
        <f>'Пр.5 Рд,пр, ЦС,ВР 20'!F317</f>
        <v>6341</v>
      </c>
      <c r="E27" s="22"/>
    </row>
    <row r="28" spans="1:5" ht="15.75" x14ac:dyDescent="0.25">
      <c r="A28" s="97" t="s">
        <v>532</v>
      </c>
      <c r="B28" s="20" t="s">
        <v>249</v>
      </c>
      <c r="C28" s="20" t="s">
        <v>228</v>
      </c>
      <c r="D28" s="27">
        <f>'Пр.5 Рд,пр, ЦС,ВР 20'!F331</f>
        <v>5120</v>
      </c>
    </row>
    <row r="29" spans="1:5" ht="15.75" x14ac:dyDescent="0.25">
      <c r="A29" s="96" t="s">
        <v>556</v>
      </c>
      <c r="B29" s="20" t="s">
        <v>249</v>
      </c>
      <c r="C29" s="20" t="s">
        <v>230</v>
      </c>
      <c r="D29" s="27">
        <f>'Пр.5 Рд,пр, ЦС,ВР 20'!F395</f>
        <v>4134.5</v>
      </c>
    </row>
    <row r="30" spans="1:5" ht="15.75" x14ac:dyDescent="0.25">
      <c r="A30" s="25" t="s">
        <v>584</v>
      </c>
      <c r="B30" s="20" t="s">
        <v>249</v>
      </c>
      <c r="C30" s="20" t="s">
        <v>249</v>
      </c>
      <c r="D30" s="27">
        <f>'Пр.5 Рд,пр, ЦС,ВР 20'!F444</f>
        <v>22364</v>
      </c>
    </row>
    <row r="31" spans="1:5" ht="15.75" x14ac:dyDescent="0.25">
      <c r="A31" s="47" t="s">
        <v>278</v>
      </c>
      <c r="B31" s="24" t="s">
        <v>279</v>
      </c>
      <c r="C31" s="24"/>
      <c r="D31" s="44">
        <f t="shared" ref="D31" si="4">SUM(D32:D36)</f>
        <v>379736.79999999993</v>
      </c>
    </row>
    <row r="32" spans="1:5" ht="15.75" x14ac:dyDescent="0.25">
      <c r="A32" s="96" t="s">
        <v>419</v>
      </c>
      <c r="B32" s="20" t="s">
        <v>279</v>
      </c>
      <c r="C32" s="20" t="s">
        <v>133</v>
      </c>
      <c r="D32" s="27">
        <f>'Пр.5 Рд,пр, ЦС,ВР 20'!F480</f>
        <v>109329.55</v>
      </c>
    </row>
    <row r="33" spans="1:4" ht="15.75" x14ac:dyDescent="0.25">
      <c r="A33" s="96" t="s">
        <v>440</v>
      </c>
      <c r="B33" s="20" t="s">
        <v>279</v>
      </c>
      <c r="C33" s="20" t="s">
        <v>228</v>
      </c>
      <c r="D33" s="27">
        <f>'Пр.5 Рд,пр, ЦС,ВР 20'!F548</f>
        <v>191920.87999999995</v>
      </c>
    </row>
    <row r="34" spans="1:4" ht="15.75" x14ac:dyDescent="0.25">
      <c r="A34" s="96" t="s">
        <v>280</v>
      </c>
      <c r="B34" s="20" t="s">
        <v>279</v>
      </c>
      <c r="C34" s="20" t="s">
        <v>230</v>
      </c>
      <c r="D34" s="27">
        <f>'Пр.5 Рд,пр, ЦС,ВР 20'!F630</f>
        <v>52091.47</v>
      </c>
    </row>
    <row r="35" spans="1:4" ht="15.75" x14ac:dyDescent="0.25">
      <c r="A35" s="96" t="s">
        <v>481</v>
      </c>
      <c r="B35" s="20" t="s">
        <v>279</v>
      </c>
      <c r="C35" s="20" t="s">
        <v>279</v>
      </c>
      <c r="D35" s="27">
        <f>'Пр.5 Рд,пр, ЦС,ВР 20'!F698</f>
        <v>6564.9</v>
      </c>
    </row>
    <row r="36" spans="1:4" ht="15.75" x14ac:dyDescent="0.25">
      <c r="A36" s="96" t="s">
        <v>310</v>
      </c>
      <c r="B36" s="20" t="s">
        <v>279</v>
      </c>
      <c r="C36" s="20" t="s">
        <v>234</v>
      </c>
      <c r="D36" s="27">
        <f>'Пр.5 Рд,пр, ЦС,ВР 20'!F727</f>
        <v>19830</v>
      </c>
    </row>
    <row r="37" spans="1:4" ht="15.75" x14ac:dyDescent="0.25">
      <c r="A37" s="99" t="s">
        <v>313</v>
      </c>
      <c r="B37" s="24" t="s">
        <v>314</v>
      </c>
      <c r="C37" s="20"/>
      <c r="D37" s="44">
        <f t="shared" ref="D37" si="5">D38+D39</f>
        <v>69347.7</v>
      </c>
    </row>
    <row r="38" spans="1:4" ht="15.75" x14ac:dyDescent="0.25">
      <c r="A38" s="98" t="s">
        <v>315</v>
      </c>
      <c r="B38" s="20" t="s">
        <v>314</v>
      </c>
      <c r="C38" s="20" t="s">
        <v>133</v>
      </c>
      <c r="D38" s="27">
        <f>'Пр.5 Рд,пр, ЦС,ВР 20'!F755</f>
        <v>52008.7</v>
      </c>
    </row>
    <row r="39" spans="1:4" ht="15.75" x14ac:dyDescent="0.25">
      <c r="A39" s="98" t="s">
        <v>348</v>
      </c>
      <c r="B39" s="20" t="s">
        <v>314</v>
      </c>
      <c r="C39" s="20" t="s">
        <v>165</v>
      </c>
      <c r="D39" s="27">
        <f>'Пр.5 Рд,пр, ЦС,ВР 20'!F825</f>
        <v>17339</v>
      </c>
    </row>
    <row r="40" spans="1:4" ht="15.75" x14ac:dyDescent="0.25">
      <c r="A40" s="47" t="s">
        <v>258</v>
      </c>
      <c r="B40" s="24" t="s">
        <v>259</v>
      </c>
      <c r="C40" s="24"/>
      <c r="D40" s="44">
        <f>SUM(D41:D43)</f>
        <v>16554.8</v>
      </c>
    </row>
    <row r="41" spans="1:4" ht="15.75" x14ac:dyDescent="0.25">
      <c r="A41" s="96" t="s">
        <v>260</v>
      </c>
      <c r="B41" s="20" t="s">
        <v>259</v>
      </c>
      <c r="C41" s="20" t="s">
        <v>133</v>
      </c>
      <c r="D41" s="27">
        <f>'Пр.5 Рд,пр, ЦС,ВР 20'!F855</f>
        <v>9456</v>
      </c>
    </row>
    <row r="42" spans="1:4" ht="15.75" x14ac:dyDescent="0.25">
      <c r="A42" s="25" t="s">
        <v>267</v>
      </c>
      <c r="B42" s="20" t="s">
        <v>259</v>
      </c>
      <c r="C42" s="20" t="s">
        <v>230</v>
      </c>
      <c r="D42" s="27">
        <f>'Пр.5 Рд,пр, ЦС,ВР 20'!F861</f>
        <v>3390.4</v>
      </c>
    </row>
    <row r="43" spans="1:4" ht="15.75" x14ac:dyDescent="0.25">
      <c r="A43" s="25" t="s">
        <v>273</v>
      </c>
      <c r="B43" s="20" t="s">
        <v>259</v>
      </c>
      <c r="C43" s="20" t="s">
        <v>135</v>
      </c>
      <c r="D43" s="27">
        <f>'Пр.5 Рд,пр, ЦС,ВР 20'!F898</f>
        <v>3708.4</v>
      </c>
    </row>
    <row r="44" spans="1:4" ht="15.75" x14ac:dyDescent="0.25">
      <c r="A44" s="99" t="s">
        <v>505</v>
      </c>
      <c r="B44" s="24" t="s">
        <v>506</v>
      </c>
      <c r="C44" s="20"/>
      <c r="D44" s="44">
        <f t="shared" ref="D44" si="6">D45+D46</f>
        <v>58483.6</v>
      </c>
    </row>
    <row r="45" spans="1:4" ht="15.75" x14ac:dyDescent="0.25">
      <c r="A45" s="98" t="s">
        <v>507</v>
      </c>
      <c r="B45" s="20" t="s">
        <v>506</v>
      </c>
      <c r="C45" s="20" t="s">
        <v>133</v>
      </c>
      <c r="D45" s="27">
        <f>'Пр.5 Рд,пр, ЦС,ВР 20'!F912</f>
        <v>46727.6</v>
      </c>
    </row>
    <row r="46" spans="1:4" ht="15.75" x14ac:dyDescent="0.25">
      <c r="A46" s="98" t="s">
        <v>515</v>
      </c>
      <c r="B46" s="20" t="s">
        <v>506</v>
      </c>
      <c r="C46" s="20" t="s">
        <v>249</v>
      </c>
      <c r="D46" s="27">
        <f>'Пр.5 Рд,пр, ЦС,ВР 20'!F951</f>
        <v>11756</v>
      </c>
    </row>
    <row r="47" spans="1:4" ht="15.75" x14ac:dyDescent="0.25">
      <c r="A47" s="19" t="s">
        <v>597</v>
      </c>
      <c r="B47" s="24" t="s">
        <v>253</v>
      </c>
      <c r="C47" s="20"/>
      <c r="D47" s="44">
        <f t="shared" ref="D47" si="7">D48</f>
        <v>6504</v>
      </c>
    </row>
    <row r="48" spans="1:4" ht="15.75" x14ac:dyDescent="0.25">
      <c r="A48" s="31" t="s">
        <v>598</v>
      </c>
      <c r="B48" s="20" t="s">
        <v>253</v>
      </c>
      <c r="C48" s="20" t="s">
        <v>228</v>
      </c>
      <c r="D48" s="27">
        <f>'Пр.5 Рд,пр, ЦС,ВР 20'!F981</f>
        <v>6504</v>
      </c>
    </row>
    <row r="49" spans="1:5" ht="15.75" x14ac:dyDescent="0.25">
      <c r="A49" s="94" t="s">
        <v>694</v>
      </c>
      <c r="B49" s="24"/>
      <c r="C49" s="24"/>
      <c r="D49" s="315">
        <f>D10+D19+D21+D26+D31+D37+D40+D44+D47+D17</f>
        <v>717456.99999999988</v>
      </c>
      <c r="E49" s="22"/>
    </row>
    <row r="50" spans="1:5" hidden="1" x14ac:dyDescent="0.25">
      <c r="D50">
        <f>'Пр.6 ведом.20'!G1091</f>
        <v>717457</v>
      </c>
    </row>
    <row r="51" spans="1:5" hidden="1" x14ac:dyDescent="0.25">
      <c r="D51" s="22">
        <f t="shared" ref="D51" si="8">D50-D49</f>
        <v>0</v>
      </c>
    </row>
    <row r="52" spans="1:5" hidden="1" x14ac:dyDescent="0.25">
      <c r="D52" s="288">
        <f>пр.дох.20!C145</f>
        <v>717456.99999999988</v>
      </c>
    </row>
    <row r="53" spans="1:5" hidden="1" x14ac:dyDescent="0.25">
      <c r="D53" s="288">
        <f>D52-D49</f>
        <v>0</v>
      </c>
    </row>
  </sheetData>
  <mergeCells count="7">
    <mergeCell ref="B2:D2"/>
    <mergeCell ref="B1:D1"/>
    <mergeCell ref="A7:C7"/>
    <mergeCell ref="A4:D4"/>
    <mergeCell ref="A5:D5"/>
    <mergeCell ref="A6:D6"/>
    <mergeCell ref="B3:D3"/>
  </mergeCells>
  <pageMargins left="0.25" right="0.25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D1" sqref="D1:E1"/>
    </sheetView>
  </sheetViews>
  <sheetFormatPr defaultRowHeight="15" x14ac:dyDescent="0.25"/>
  <cols>
    <col min="1" max="1" width="47.85546875" customWidth="1"/>
    <col min="2" max="2" width="7" customWidth="1"/>
    <col min="3" max="3" width="6" customWidth="1"/>
    <col min="4" max="4" width="11.7109375" customWidth="1"/>
    <col min="5" max="5" width="14.140625" customWidth="1"/>
  </cols>
  <sheetData>
    <row r="1" spans="1:7" ht="15.75" x14ac:dyDescent="0.25">
      <c r="A1" s="11"/>
      <c r="B1" s="229"/>
      <c r="C1" s="11"/>
      <c r="D1" s="456" t="s">
        <v>1490</v>
      </c>
      <c r="E1" s="456"/>
    </row>
    <row r="2" spans="1:7" ht="15.75" x14ac:dyDescent="0.25">
      <c r="A2" s="11"/>
      <c r="B2" s="229"/>
      <c r="C2" s="11"/>
      <c r="D2" s="456" t="s">
        <v>1489</v>
      </c>
      <c r="E2" s="456"/>
    </row>
    <row r="3" spans="1:7" ht="15.75" customHeight="1" x14ac:dyDescent="0.3">
      <c r="A3" s="11"/>
      <c r="B3" s="157"/>
      <c r="C3" s="11"/>
      <c r="D3" s="456" t="s">
        <v>1488</v>
      </c>
      <c r="E3" s="456"/>
    </row>
    <row r="4" spans="1:7" ht="15.75" x14ac:dyDescent="0.25">
      <c r="A4" s="470" t="s">
        <v>1368</v>
      </c>
      <c r="B4" s="470"/>
      <c r="C4" s="470"/>
      <c r="D4" s="470"/>
      <c r="E4" s="470"/>
    </row>
    <row r="5" spans="1:7" ht="15.75" x14ac:dyDescent="0.25">
      <c r="A5" s="470" t="s">
        <v>1371</v>
      </c>
      <c r="B5" s="470"/>
      <c r="C5" s="470"/>
      <c r="D5" s="470"/>
      <c r="E5" s="470"/>
    </row>
    <row r="6" spans="1:7" ht="15.75" x14ac:dyDescent="0.25">
      <c r="A6" s="470" t="s">
        <v>1372</v>
      </c>
      <c r="B6" s="470"/>
      <c r="C6" s="470"/>
      <c r="D6" s="470"/>
      <c r="E6" s="470"/>
    </row>
    <row r="7" spans="1:7" ht="15.75" x14ac:dyDescent="0.25">
      <c r="A7" s="468"/>
      <c r="B7" s="469"/>
      <c r="C7" s="469"/>
      <c r="D7" s="229"/>
      <c r="E7" s="229"/>
    </row>
    <row r="8" spans="1:7" x14ac:dyDescent="0.25">
      <c r="A8" s="229"/>
      <c r="B8" s="92"/>
      <c r="C8" s="92"/>
      <c r="D8" s="229"/>
      <c r="E8" s="197" t="s">
        <v>1</v>
      </c>
    </row>
    <row r="9" spans="1:7" ht="31.5" x14ac:dyDescent="0.25">
      <c r="A9" s="93" t="s">
        <v>691</v>
      </c>
      <c r="B9" s="93" t="s">
        <v>692</v>
      </c>
      <c r="C9" s="93" t="s">
        <v>693</v>
      </c>
      <c r="D9" s="290" t="s">
        <v>1204</v>
      </c>
      <c r="E9" s="290" t="s">
        <v>1205</v>
      </c>
    </row>
    <row r="10" spans="1:7" ht="15.75" x14ac:dyDescent="0.25">
      <c r="A10" s="47" t="s">
        <v>132</v>
      </c>
      <c r="B10" s="24" t="s">
        <v>133</v>
      </c>
      <c r="C10" s="94"/>
      <c r="D10" s="95">
        <f>SUM(D11:D16)</f>
        <v>139211.72</v>
      </c>
      <c r="E10" s="95">
        <f>SUM(E11:E16)</f>
        <v>147123.02000000002</v>
      </c>
      <c r="G10" s="22"/>
    </row>
    <row r="11" spans="1:7" ht="57.75" customHeight="1" x14ac:dyDescent="0.25">
      <c r="A11" s="31" t="s">
        <v>590</v>
      </c>
      <c r="B11" s="20" t="s">
        <v>133</v>
      </c>
      <c r="C11" s="20" t="s">
        <v>228</v>
      </c>
      <c r="D11" s="294">
        <f>'пр.5.1.рдпрцс 21-22'!F9</f>
        <v>4268.5</v>
      </c>
      <c r="E11" s="294">
        <f>'пр.5.1.рдпрцс 21-22'!G9</f>
        <v>4268.5</v>
      </c>
    </row>
    <row r="12" spans="1:7" ht="85.5" customHeight="1" x14ac:dyDescent="0.25">
      <c r="A12" s="31" t="s">
        <v>593</v>
      </c>
      <c r="B12" s="20" t="s">
        <v>133</v>
      </c>
      <c r="C12" s="20" t="s">
        <v>230</v>
      </c>
      <c r="D12" s="294">
        <f>'пр.5.1.рдпрцс 21-22'!F28</f>
        <v>1091</v>
      </c>
      <c r="E12" s="294">
        <f>'пр.5.1.рдпрцс 21-22'!G28</f>
        <v>1091</v>
      </c>
    </row>
    <row r="13" spans="1:7" ht="76.5" customHeight="1" x14ac:dyDescent="0.25">
      <c r="A13" s="25" t="s">
        <v>164</v>
      </c>
      <c r="B13" s="20" t="s">
        <v>133</v>
      </c>
      <c r="C13" s="20" t="s">
        <v>165</v>
      </c>
      <c r="D13" s="294">
        <f>'пр.5.1.рдпрцс 21-22'!F39</f>
        <v>62536.4</v>
      </c>
      <c r="E13" s="294">
        <f>'пр.5.1.рдпрцс 21-22'!G39</f>
        <v>62593.1</v>
      </c>
    </row>
    <row r="14" spans="1:7" ht="66" customHeight="1" x14ac:dyDescent="0.25">
      <c r="A14" s="25" t="s">
        <v>134</v>
      </c>
      <c r="B14" s="20" t="s">
        <v>133</v>
      </c>
      <c r="C14" s="20" t="s">
        <v>135</v>
      </c>
      <c r="D14" s="294">
        <f>'пр.5.1.рдпрцс 21-22'!F97</f>
        <v>15283.5</v>
      </c>
      <c r="E14" s="294">
        <f>'пр.5.1.рдпрцс 21-22'!G97</f>
        <v>15283.5</v>
      </c>
    </row>
    <row r="15" spans="1:7" s="229" customFormat="1" ht="15.75" x14ac:dyDescent="0.25">
      <c r="A15" s="25" t="s">
        <v>1390</v>
      </c>
      <c r="B15" s="20" t="s">
        <v>133</v>
      </c>
      <c r="C15" s="20" t="s">
        <v>279</v>
      </c>
      <c r="D15" s="294">
        <f>'пр.5.1.рдпрцс 21-22'!F119</f>
        <v>0</v>
      </c>
      <c r="E15" s="294">
        <f>'пр.5.1.рдпрцс 21-22'!G119</f>
        <v>0</v>
      </c>
    </row>
    <row r="16" spans="1:7" ht="15.75" x14ac:dyDescent="0.25">
      <c r="A16" s="96" t="s">
        <v>154</v>
      </c>
      <c r="B16" s="20" t="s">
        <v>133</v>
      </c>
      <c r="C16" s="20" t="s">
        <v>155</v>
      </c>
      <c r="D16" s="294">
        <f>'пр.5.1.рдпрцс 21-22'!F127</f>
        <v>56032.32</v>
      </c>
      <c r="E16" s="294">
        <f>'пр.5.1.рдпрцс 21-22'!G127</f>
        <v>63886.92</v>
      </c>
    </row>
    <row r="17" spans="1:5" ht="15.75" hidden="1" x14ac:dyDescent="0.25">
      <c r="A17" s="19" t="s">
        <v>227</v>
      </c>
      <c r="B17" s="24" t="s">
        <v>228</v>
      </c>
      <c r="C17" s="20"/>
      <c r="D17" s="95">
        <f>'пр.4 Рд,пр 20'!D17</f>
        <v>0</v>
      </c>
      <c r="E17" s="95">
        <f>'пр.4 Рд,пр 20'!E17</f>
        <v>0</v>
      </c>
    </row>
    <row r="18" spans="1:5" ht="31.5" hidden="1" x14ac:dyDescent="0.25">
      <c r="A18" s="25" t="s">
        <v>233</v>
      </c>
      <c r="B18" s="20" t="s">
        <v>228</v>
      </c>
      <c r="C18" s="20" t="s">
        <v>234</v>
      </c>
      <c r="D18" s="294">
        <f>'пр.4 Рд,пр 20'!D18</f>
        <v>0</v>
      </c>
      <c r="E18" s="294">
        <f>'пр.4 Рд,пр 20'!E18</f>
        <v>0</v>
      </c>
    </row>
    <row r="19" spans="1:5" ht="42" customHeight="1" x14ac:dyDescent="0.25">
      <c r="A19" s="34" t="s">
        <v>237</v>
      </c>
      <c r="B19" s="24" t="s">
        <v>230</v>
      </c>
      <c r="C19" s="24"/>
      <c r="D19" s="95">
        <f>D20</f>
        <v>8029</v>
      </c>
      <c r="E19" s="95">
        <f>E20</f>
        <v>8029</v>
      </c>
    </row>
    <row r="20" spans="1:5" ht="63" customHeight="1" x14ac:dyDescent="0.25">
      <c r="A20" s="31" t="s">
        <v>238</v>
      </c>
      <c r="B20" s="20" t="s">
        <v>230</v>
      </c>
      <c r="C20" s="20" t="s">
        <v>234</v>
      </c>
      <c r="D20" s="294">
        <f>'пр.5.1.рдпрцс 21-22'!F223</f>
        <v>8029</v>
      </c>
      <c r="E20" s="294">
        <f>'пр.5.1.рдпрцс 21-22'!G223</f>
        <v>8029</v>
      </c>
    </row>
    <row r="21" spans="1:5" ht="15.75" x14ac:dyDescent="0.25">
      <c r="A21" s="47" t="s">
        <v>247</v>
      </c>
      <c r="B21" s="24" t="s">
        <v>165</v>
      </c>
      <c r="C21" s="24"/>
      <c r="D21" s="95">
        <f>SUM(D22:D25)</f>
        <v>7611.8</v>
      </c>
      <c r="E21" s="95">
        <f>SUM(E22:E25)</f>
        <v>7700.8</v>
      </c>
    </row>
    <row r="22" spans="1:5" ht="15.75" x14ac:dyDescent="0.25">
      <c r="A22" s="97" t="s">
        <v>248</v>
      </c>
      <c r="B22" s="20" t="s">
        <v>165</v>
      </c>
      <c r="C22" s="20" t="s">
        <v>249</v>
      </c>
      <c r="D22" s="294">
        <f>'пр.5.1.рдпрцс 21-22'!F242</f>
        <v>306</v>
      </c>
      <c r="E22" s="294">
        <f>'пр.5.1.рдпрцс 21-22'!G242</f>
        <v>306</v>
      </c>
    </row>
    <row r="23" spans="1:5" ht="15.75" x14ac:dyDescent="0.25">
      <c r="A23" s="96" t="s">
        <v>520</v>
      </c>
      <c r="B23" s="20" t="s">
        <v>165</v>
      </c>
      <c r="C23" s="20" t="s">
        <v>314</v>
      </c>
      <c r="D23" s="294">
        <f>'пр.5.1.рдпрцс 21-22'!F255</f>
        <v>3258</v>
      </c>
      <c r="E23" s="294">
        <f>'пр.5.1.рдпрцс 21-22'!G255</f>
        <v>3258</v>
      </c>
    </row>
    <row r="24" spans="1:5" ht="24" customHeight="1" x14ac:dyDescent="0.25">
      <c r="A24" s="96" t="s">
        <v>523</v>
      </c>
      <c r="B24" s="20" t="s">
        <v>165</v>
      </c>
      <c r="C24" s="20" t="s">
        <v>234</v>
      </c>
      <c r="D24" s="294">
        <f>'пр.5.1.рдпрцс 21-22'!F261</f>
        <v>3189</v>
      </c>
      <c r="E24" s="294">
        <f>'пр.5.1.рдпрцс 21-22'!G261</f>
        <v>3278</v>
      </c>
    </row>
    <row r="25" spans="1:5" ht="30.75" customHeight="1" x14ac:dyDescent="0.25">
      <c r="A25" s="98" t="s">
        <v>252</v>
      </c>
      <c r="B25" s="20" t="s">
        <v>165</v>
      </c>
      <c r="C25" s="20" t="s">
        <v>253</v>
      </c>
      <c r="D25" s="294">
        <f>'пр.5.1.рдпрцс 21-22'!F273</f>
        <v>858.8</v>
      </c>
      <c r="E25" s="294">
        <f>'пр.5.1.рдпрцс 21-22'!G273</f>
        <v>858.8</v>
      </c>
    </row>
    <row r="26" spans="1:5" ht="15.75" x14ac:dyDescent="0.25">
      <c r="A26" s="47" t="s">
        <v>405</v>
      </c>
      <c r="B26" s="24" t="s">
        <v>249</v>
      </c>
      <c r="C26" s="24"/>
      <c r="D26" s="95">
        <f>SUM(D27:D30)</f>
        <v>38717.5</v>
      </c>
      <c r="E26" s="95">
        <f>SUM(E27:E30)</f>
        <v>37475.9</v>
      </c>
    </row>
    <row r="27" spans="1:5" ht="24.75" customHeight="1" x14ac:dyDescent="0.25">
      <c r="A27" s="97" t="s">
        <v>406</v>
      </c>
      <c r="B27" s="20" t="s">
        <v>249</v>
      </c>
      <c r="C27" s="20" t="s">
        <v>133</v>
      </c>
      <c r="D27" s="294">
        <f>'пр.5.1.рдпрцс 21-22'!F317</f>
        <v>6341</v>
      </c>
      <c r="E27" s="294">
        <f>'пр.5.1.рдпрцс 21-22'!G317</f>
        <v>6341</v>
      </c>
    </row>
    <row r="28" spans="1:5" ht="30.75" customHeight="1" x14ac:dyDescent="0.25">
      <c r="A28" s="97" t="s">
        <v>532</v>
      </c>
      <c r="B28" s="20" t="s">
        <v>249</v>
      </c>
      <c r="C28" s="20" t="s">
        <v>228</v>
      </c>
      <c r="D28" s="294">
        <f>'пр.5.1.рдпрцс 21-22'!F331</f>
        <v>5935</v>
      </c>
      <c r="E28" s="294">
        <f>'пр.5.1.рдпрцс 21-22'!G331</f>
        <v>4693.3999999999996</v>
      </c>
    </row>
    <row r="29" spans="1:5" ht="26.25" customHeight="1" x14ac:dyDescent="0.25">
      <c r="A29" s="96" t="s">
        <v>556</v>
      </c>
      <c r="B29" s="20" t="s">
        <v>249</v>
      </c>
      <c r="C29" s="20" t="s">
        <v>230</v>
      </c>
      <c r="D29" s="294">
        <f>'пр.5.1.рдпрцс 21-22'!F395</f>
        <v>4134.5</v>
      </c>
      <c r="E29" s="294">
        <f>'пр.5.1.рдпрцс 21-22'!G395</f>
        <v>4134.5</v>
      </c>
    </row>
    <row r="30" spans="1:5" ht="42.75" customHeight="1" x14ac:dyDescent="0.25">
      <c r="A30" s="25" t="s">
        <v>584</v>
      </c>
      <c r="B30" s="20" t="s">
        <v>249</v>
      </c>
      <c r="C30" s="20" t="s">
        <v>249</v>
      </c>
      <c r="D30" s="294">
        <f>'пр.5.1.рдпрцс 21-22'!F444</f>
        <v>22307</v>
      </c>
      <c r="E30" s="294">
        <f>'пр.5.1.рдпрцс 21-22'!G444</f>
        <v>22307</v>
      </c>
    </row>
    <row r="31" spans="1:5" ht="15.75" x14ac:dyDescent="0.25">
      <c r="A31" s="47" t="s">
        <v>278</v>
      </c>
      <c r="B31" s="24" t="s">
        <v>279</v>
      </c>
      <c r="C31" s="24"/>
      <c r="D31" s="95">
        <f>SUM(D32:D36)</f>
        <v>378623.1</v>
      </c>
      <c r="E31" s="95">
        <f>SUM(E32:E36)</f>
        <v>378631.6</v>
      </c>
    </row>
    <row r="32" spans="1:5" ht="27" customHeight="1" x14ac:dyDescent="0.25">
      <c r="A32" s="96" t="s">
        <v>419</v>
      </c>
      <c r="B32" s="20" t="s">
        <v>279</v>
      </c>
      <c r="C32" s="20" t="s">
        <v>133</v>
      </c>
      <c r="D32" s="294">
        <f>'пр.5.1.рдпрцс 21-22'!F480</f>
        <v>109329.55</v>
      </c>
      <c r="E32" s="294">
        <f>'пр.5.1.рдпрцс 21-22'!G480</f>
        <v>109329.55</v>
      </c>
    </row>
    <row r="33" spans="1:7" ht="21" customHeight="1" x14ac:dyDescent="0.25">
      <c r="A33" s="96" t="s">
        <v>440</v>
      </c>
      <c r="B33" s="20" t="s">
        <v>279</v>
      </c>
      <c r="C33" s="20" t="s">
        <v>228</v>
      </c>
      <c r="D33" s="294">
        <f>'пр.5.1.рдпрцс 21-22'!F548</f>
        <v>190807.17999999996</v>
      </c>
      <c r="E33" s="294">
        <f>'пр.5.1.рдпрцс 21-22'!G548</f>
        <v>190815.67999999996</v>
      </c>
    </row>
    <row r="34" spans="1:7" ht="20.25" customHeight="1" x14ac:dyDescent="0.25">
      <c r="A34" s="96" t="s">
        <v>280</v>
      </c>
      <c r="B34" s="20" t="s">
        <v>279</v>
      </c>
      <c r="C34" s="20" t="s">
        <v>230</v>
      </c>
      <c r="D34" s="294">
        <f>'пр.5.1.рдпрцс 21-22'!F626</f>
        <v>52091.47</v>
      </c>
      <c r="E34" s="294">
        <f>'пр.5.1.рдпрцс 21-22'!G626</f>
        <v>52091.47</v>
      </c>
    </row>
    <row r="35" spans="1:7" ht="24.75" customHeight="1" x14ac:dyDescent="0.25">
      <c r="A35" s="96" t="s">
        <v>481</v>
      </c>
      <c r="B35" s="20" t="s">
        <v>279</v>
      </c>
      <c r="C35" s="20" t="s">
        <v>279</v>
      </c>
      <c r="D35" s="294">
        <f>'пр.5.1.рдпрцс 21-22'!F694</f>
        <v>6564.9</v>
      </c>
      <c r="E35" s="294">
        <f>'пр.5.1.рдпрцс 21-22'!G694</f>
        <v>6564.9</v>
      </c>
    </row>
    <row r="36" spans="1:7" ht="24.75" customHeight="1" x14ac:dyDescent="0.25">
      <c r="A36" s="96" t="s">
        <v>310</v>
      </c>
      <c r="B36" s="20" t="s">
        <v>279</v>
      </c>
      <c r="C36" s="20" t="s">
        <v>234</v>
      </c>
      <c r="D36" s="294">
        <f>'пр.5.1.рдпрцс 21-22'!F723</f>
        <v>19830</v>
      </c>
      <c r="E36" s="294">
        <f>'пр.5.1.рдпрцс 21-22'!G723</f>
        <v>19830</v>
      </c>
    </row>
    <row r="37" spans="1:7" ht="15.75" x14ac:dyDescent="0.25">
      <c r="A37" s="99" t="s">
        <v>313</v>
      </c>
      <c r="B37" s="24" t="s">
        <v>314</v>
      </c>
      <c r="C37" s="20"/>
      <c r="D37" s="95">
        <f>SUM(D38:D39)</f>
        <v>70196.600000000006</v>
      </c>
      <c r="E37" s="95">
        <f>SUM(E38:E39)</f>
        <v>67994.2</v>
      </c>
    </row>
    <row r="38" spans="1:7" ht="15.75" x14ac:dyDescent="0.25">
      <c r="A38" s="98" t="s">
        <v>315</v>
      </c>
      <c r="B38" s="20" t="s">
        <v>314</v>
      </c>
      <c r="C38" s="20" t="s">
        <v>133</v>
      </c>
      <c r="D38" s="294">
        <f>'пр.5.1.рдпрцс 21-22'!F751</f>
        <v>52857.599999999999</v>
      </c>
      <c r="E38" s="294">
        <f>'пр.5.1.рдпрцс 21-22'!G751</f>
        <v>50655.199999999997</v>
      </c>
    </row>
    <row r="39" spans="1:7" ht="40.5" customHeight="1" x14ac:dyDescent="0.25">
      <c r="A39" s="98" t="s">
        <v>348</v>
      </c>
      <c r="B39" s="20" t="s">
        <v>314</v>
      </c>
      <c r="C39" s="20" t="s">
        <v>165</v>
      </c>
      <c r="D39" s="294">
        <f>'пр.5.1.рдпрцс 21-22'!F821</f>
        <v>17339</v>
      </c>
      <c r="E39" s="294">
        <f>'пр.5.1.рдпрцс 21-22'!G821</f>
        <v>17339</v>
      </c>
    </row>
    <row r="40" spans="1:7" ht="15.75" x14ac:dyDescent="0.25">
      <c r="A40" s="47" t="s">
        <v>258</v>
      </c>
      <c r="B40" s="24" t="s">
        <v>259</v>
      </c>
      <c r="C40" s="24"/>
      <c r="D40" s="95">
        <f>SUM(D41:D43)</f>
        <v>19998.400000000001</v>
      </c>
      <c r="E40" s="95">
        <f>SUM(E41:E43)</f>
        <v>15008.4</v>
      </c>
      <c r="G40" s="22"/>
    </row>
    <row r="41" spans="1:7" ht="22.5" customHeight="1" x14ac:dyDescent="0.25">
      <c r="A41" s="96" t="s">
        <v>260</v>
      </c>
      <c r="B41" s="20" t="s">
        <v>259</v>
      </c>
      <c r="C41" s="20" t="s">
        <v>133</v>
      </c>
      <c r="D41" s="294">
        <f>'пр.5.1.рдпрцс 21-22'!F851</f>
        <v>9456</v>
      </c>
      <c r="E41" s="294">
        <f>'пр.5.1.рдпрцс 21-22'!G851</f>
        <v>9456</v>
      </c>
    </row>
    <row r="42" spans="1:7" ht="29.25" customHeight="1" x14ac:dyDescent="0.25">
      <c r="A42" s="25" t="s">
        <v>267</v>
      </c>
      <c r="B42" s="20" t="s">
        <v>259</v>
      </c>
      <c r="C42" s="20" t="s">
        <v>230</v>
      </c>
      <c r="D42" s="294">
        <f>'пр.5.1.рдпрцс 21-22'!F857</f>
        <v>6834</v>
      </c>
      <c r="E42" s="294">
        <f>'пр.5.1.рдпрцс 21-22'!G857</f>
        <v>1844</v>
      </c>
    </row>
    <row r="43" spans="1:7" ht="36.75" customHeight="1" x14ac:dyDescent="0.25">
      <c r="A43" s="25" t="s">
        <v>273</v>
      </c>
      <c r="B43" s="20" t="s">
        <v>259</v>
      </c>
      <c r="C43" s="20" t="s">
        <v>135</v>
      </c>
      <c r="D43" s="294">
        <f>'пр.5.1.рдпрцс 21-22'!F893</f>
        <v>3708.4</v>
      </c>
      <c r="E43" s="294">
        <f>'пр.5.1.рдпрцс 21-22'!G893</f>
        <v>3708.4</v>
      </c>
    </row>
    <row r="44" spans="1:7" ht="15.75" x14ac:dyDescent="0.25">
      <c r="A44" s="99" t="s">
        <v>505</v>
      </c>
      <c r="B44" s="24" t="s">
        <v>506</v>
      </c>
      <c r="C44" s="20"/>
      <c r="D44" s="95">
        <f>SUM(D45:D46)</f>
        <v>58483.6</v>
      </c>
      <c r="E44" s="95">
        <f>SUM(E45:E46)</f>
        <v>58483.6</v>
      </c>
      <c r="G44" s="22"/>
    </row>
    <row r="45" spans="1:7" ht="25.5" customHeight="1" x14ac:dyDescent="0.25">
      <c r="A45" s="98" t="s">
        <v>507</v>
      </c>
      <c r="B45" s="20" t="s">
        <v>506</v>
      </c>
      <c r="C45" s="20" t="s">
        <v>133</v>
      </c>
      <c r="D45" s="294">
        <f>'пр.5.1.рдпрцс 21-22'!F907</f>
        <v>46727.6</v>
      </c>
      <c r="E45" s="294">
        <f>'пр.5.1.рдпрцс 21-22'!G907</f>
        <v>46727.6</v>
      </c>
    </row>
    <row r="46" spans="1:7" ht="33" customHeight="1" x14ac:dyDescent="0.25">
      <c r="A46" s="98" t="s">
        <v>515</v>
      </c>
      <c r="B46" s="20" t="s">
        <v>506</v>
      </c>
      <c r="C46" s="20" t="s">
        <v>249</v>
      </c>
      <c r="D46" s="294">
        <f>'пр.5.1.рдпрцс 21-22'!F946</f>
        <v>11756</v>
      </c>
      <c r="E46" s="294">
        <f>'пр.5.1.рдпрцс 21-22'!G946</f>
        <v>11756</v>
      </c>
    </row>
    <row r="47" spans="1:7" ht="15.75" x14ac:dyDescent="0.25">
      <c r="A47" s="19" t="s">
        <v>597</v>
      </c>
      <c r="B47" s="24" t="s">
        <v>253</v>
      </c>
      <c r="C47" s="20"/>
      <c r="D47" s="95">
        <f>D48</f>
        <v>5479</v>
      </c>
      <c r="E47" s="95">
        <f>E48</f>
        <v>5479</v>
      </c>
    </row>
    <row r="48" spans="1:7" ht="32.25" customHeight="1" x14ac:dyDescent="0.25">
      <c r="A48" s="31" t="s">
        <v>598</v>
      </c>
      <c r="B48" s="20" t="s">
        <v>253</v>
      </c>
      <c r="C48" s="20" t="s">
        <v>228</v>
      </c>
      <c r="D48" s="294">
        <f>'пр.5.1.рдпрцс 21-22'!F976</f>
        <v>5479</v>
      </c>
      <c r="E48" s="294">
        <f>'пр.5.1.рдпрцс 21-22'!G976</f>
        <v>5479</v>
      </c>
    </row>
    <row r="49" spans="1:7" ht="15.75" x14ac:dyDescent="0.25">
      <c r="A49" s="94" t="s">
        <v>694</v>
      </c>
      <c r="B49" s="24"/>
      <c r="C49" s="24"/>
      <c r="D49" s="316">
        <f>D10+D19+D21+D26+D31+D37+D40+D44+D47</f>
        <v>726350.72</v>
      </c>
      <c r="E49" s="316">
        <f>E10+E19+E21+E26+E31+E37+E40+E44+E47</f>
        <v>725925.5199999999</v>
      </c>
      <c r="G49" s="22"/>
    </row>
    <row r="51" spans="1:7" hidden="1" x14ac:dyDescent="0.25">
      <c r="D51" s="306">
        <f>'Пр.1.1. дох.21-22'!C144</f>
        <v>726350.72</v>
      </c>
      <c r="E51">
        <f>'Пр.1.1. дох.21-22'!D144</f>
        <v>725925.52</v>
      </c>
    </row>
    <row r="52" spans="1:7" hidden="1" x14ac:dyDescent="0.25"/>
    <row r="53" spans="1:7" hidden="1" x14ac:dyDescent="0.25">
      <c r="D53" s="306">
        <f>D51-D49</f>
        <v>0</v>
      </c>
      <c r="E53" s="306">
        <f>E51-E49</f>
        <v>0</v>
      </c>
    </row>
  </sheetData>
  <mergeCells count="7">
    <mergeCell ref="A7:C7"/>
    <mergeCell ref="D3:E3"/>
    <mergeCell ref="D2:E2"/>
    <mergeCell ref="D1:E1"/>
    <mergeCell ref="A4:E4"/>
    <mergeCell ref="A5:E5"/>
    <mergeCell ref="A6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view="pageBreakPreview" zoomScaleNormal="100" zoomScaleSheetLayoutView="100" workbookViewId="0">
      <selection activeCell="A5" sqref="A5:F5"/>
    </sheetView>
  </sheetViews>
  <sheetFormatPr defaultRowHeight="15" x14ac:dyDescent="0.25"/>
  <cols>
    <col min="1" max="1" width="55.140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4.28515625" customWidth="1"/>
  </cols>
  <sheetData>
    <row r="1" spans="1:8" ht="15.75" x14ac:dyDescent="0.25">
      <c r="A1" s="56"/>
      <c r="B1" s="56"/>
      <c r="C1" s="56"/>
      <c r="D1" s="230"/>
      <c r="E1" s="467" t="s">
        <v>123</v>
      </c>
      <c r="F1" s="467"/>
    </row>
    <row r="2" spans="1:8" ht="15.75" x14ac:dyDescent="0.25">
      <c r="A2" s="56"/>
      <c r="B2" s="56"/>
      <c r="C2" s="56"/>
      <c r="D2" s="230"/>
      <c r="E2" s="467" t="s">
        <v>0</v>
      </c>
      <c r="F2" s="467"/>
    </row>
    <row r="3" spans="1:8" ht="18.75" customHeight="1" x14ac:dyDescent="0.25">
      <c r="A3" s="56"/>
      <c r="B3" s="56"/>
      <c r="C3" s="56"/>
      <c r="D3" s="230"/>
      <c r="E3" s="467" t="s">
        <v>1480</v>
      </c>
      <c r="F3" s="467"/>
    </row>
    <row r="4" spans="1:8" x14ac:dyDescent="0.25">
      <c r="A4" s="56"/>
      <c r="B4" s="56"/>
      <c r="C4" s="56"/>
      <c r="D4" s="56"/>
      <c r="E4" s="56"/>
      <c r="F4" s="230"/>
    </row>
    <row r="5" spans="1:8" ht="63.75" customHeight="1" x14ac:dyDescent="0.25">
      <c r="A5" s="471" t="s">
        <v>1491</v>
      </c>
      <c r="B5" s="471"/>
      <c r="C5" s="471"/>
      <c r="D5" s="471"/>
      <c r="E5" s="471"/>
      <c r="F5" s="471"/>
    </row>
    <row r="6" spans="1:8" x14ac:dyDescent="0.25">
      <c r="A6" s="56"/>
      <c r="B6" s="56"/>
      <c r="C6" s="56"/>
      <c r="D6" s="56"/>
      <c r="E6" s="56"/>
      <c r="F6" s="198" t="s">
        <v>1</v>
      </c>
    </row>
    <row r="7" spans="1:8" ht="30" customHeight="1" x14ac:dyDescent="0.25">
      <c r="A7" s="291" t="s">
        <v>608</v>
      </c>
      <c r="B7" s="292" t="s">
        <v>127</v>
      </c>
      <c r="C7" s="292" t="s">
        <v>128</v>
      </c>
      <c r="D7" s="292" t="s">
        <v>129</v>
      </c>
      <c r="E7" s="292" t="s">
        <v>130</v>
      </c>
      <c r="F7" s="291" t="s">
        <v>1286</v>
      </c>
    </row>
    <row r="8" spans="1:8" ht="15.75" x14ac:dyDescent="0.25">
      <c r="A8" s="41" t="s">
        <v>132</v>
      </c>
      <c r="B8" s="7" t="s">
        <v>133</v>
      </c>
      <c r="C8" s="7"/>
      <c r="D8" s="7"/>
      <c r="E8" s="7"/>
      <c r="F8" s="305">
        <f>F9+F28+F39+F100+F130+F122</f>
        <v>132972.80000000002</v>
      </c>
      <c r="G8" s="22"/>
      <c r="H8" s="22"/>
    </row>
    <row r="9" spans="1:8" ht="47.25" x14ac:dyDescent="0.25">
      <c r="A9" s="41" t="s">
        <v>590</v>
      </c>
      <c r="B9" s="7" t="s">
        <v>133</v>
      </c>
      <c r="C9" s="7" t="s">
        <v>228</v>
      </c>
      <c r="D9" s="7"/>
      <c r="E9" s="7"/>
      <c r="F9" s="305">
        <f>F10+F20</f>
        <v>4268.5</v>
      </c>
    </row>
    <row r="10" spans="1:8" ht="31.5" x14ac:dyDescent="0.25">
      <c r="A10" s="23" t="s">
        <v>992</v>
      </c>
      <c r="B10" s="7" t="s">
        <v>133</v>
      </c>
      <c r="C10" s="7" t="s">
        <v>228</v>
      </c>
      <c r="D10" s="7" t="s">
        <v>906</v>
      </c>
      <c r="E10" s="7"/>
      <c r="F10" s="305">
        <f t="shared" ref="F10" si="0">F11</f>
        <v>4243</v>
      </c>
    </row>
    <row r="11" spans="1:8" ht="31.5" x14ac:dyDescent="0.25">
      <c r="A11" s="23" t="s">
        <v>1139</v>
      </c>
      <c r="B11" s="7" t="s">
        <v>133</v>
      </c>
      <c r="C11" s="7" t="s">
        <v>228</v>
      </c>
      <c r="D11" s="7" t="s">
        <v>1140</v>
      </c>
      <c r="E11" s="7"/>
      <c r="F11" s="305">
        <f>F12+F17</f>
        <v>4243</v>
      </c>
    </row>
    <row r="12" spans="1:8" ht="31.5" x14ac:dyDescent="0.25">
      <c r="A12" s="29" t="s">
        <v>591</v>
      </c>
      <c r="B12" s="40" t="s">
        <v>133</v>
      </c>
      <c r="C12" s="40" t="s">
        <v>228</v>
      </c>
      <c r="D12" s="40" t="s">
        <v>1141</v>
      </c>
      <c r="E12" s="40"/>
      <c r="F12" s="411">
        <f t="shared" ref="F12" si="1">F13+F15</f>
        <v>4201</v>
      </c>
    </row>
    <row r="13" spans="1:8" ht="78.75" x14ac:dyDescent="0.25">
      <c r="A13" s="29" t="s">
        <v>142</v>
      </c>
      <c r="B13" s="40" t="s">
        <v>133</v>
      </c>
      <c r="C13" s="40" t="s">
        <v>228</v>
      </c>
      <c r="D13" s="40" t="s">
        <v>1141</v>
      </c>
      <c r="E13" s="40" t="s">
        <v>143</v>
      </c>
      <c r="F13" s="412">
        <f t="shared" ref="F13" si="2">F14</f>
        <v>4111</v>
      </c>
    </row>
    <row r="14" spans="1:8" ht="31.5" x14ac:dyDescent="0.25">
      <c r="A14" s="29" t="s">
        <v>144</v>
      </c>
      <c r="B14" s="40" t="s">
        <v>133</v>
      </c>
      <c r="C14" s="40" t="s">
        <v>228</v>
      </c>
      <c r="D14" s="40" t="s">
        <v>1141</v>
      </c>
      <c r="E14" s="40" t="s">
        <v>145</v>
      </c>
      <c r="F14" s="412">
        <f>'Пр.6 ведом.20'!G1055</f>
        <v>4111</v>
      </c>
    </row>
    <row r="15" spans="1:8" ht="31.5" x14ac:dyDescent="0.25">
      <c r="A15" s="29" t="s">
        <v>146</v>
      </c>
      <c r="B15" s="40" t="s">
        <v>133</v>
      </c>
      <c r="C15" s="40" t="s">
        <v>228</v>
      </c>
      <c r="D15" s="40" t="s">
        <v>1141</v>
      </c>
      <c r="E15" s="40" t="s">
        <v>147</v>
      </c>
      <c r="F15" s="413">
        <f t="shared" ref="F15" si="3">F16</f>
        <v>90</v>
      </c>
    </row>
    <row r="16" spans="1:8" ht="41.25" customHeight="1" x14ac:dyDescent="0.25">
      <c r="A16" s="29" t="s">
        <v>148</v>
      </c>
      <c r="B16" s="40" t="s">
        <v>133</v>
      </c>
      <c r="C16" s="40" t="s">
        <v>228</v>
      </c>
      <c r="D16" s="40" t="s">
        <v>1141</v>
      </c>
      <c r="E16" s="40" t="s">
        <v>149</v>
      </c>
      <c r="F16" s="413">
        <f>'Пр.6 ведом.20'!G1057</f>
        <v>90</v>
      </c>
    </row>
    <row r="17" spans="1:6" s="229" customFormat="1" ht="57" customHeight="1" x14ac:dyDescent="0.25">
      <c r="A17" s="25" t="s">
        <v>886</v>
      </c>
      <c r="B17" s="40" t="s">
        <v>133</v>
      </c>
      <c r="C17" s="40" t="s">
        <v>228</v>
      </c>
      <c r="D17" s="40" t="s">
        <v>1142</v>
      </c>
      <c r="E17" s="40"/>
      <c r="F17" s="413">
        <f>F18</f>
        <v>42</v>
      </c>
    </row>
    <row r="18" spans="1:6" s="229" customFormat="1" ht="93" customHeight="1" x14ac:dyDescent="0.25">
      <c r="A18" s="25" t="s">
        <v>142</v>
      </c>
      <c r="B18" s="40" t="s">
        <v>133</v>
      </c>
      <c r="C18" s="40" t="s">
        <v>228</v>
      </c>
      <c r="D18" s="40" t="s">
        <v>1142</v>
      </c>
      <c r="E18" s="40" t="s">
        <v>143</v>
      </c>
      <c r="F18" s="413">
        <f>F19</f>
        <v>42</v>
      </c>
    </row>
    <row r="19" spans="1:6" s="229" customFormat="1" ht="31.5" x14ac:dyDescent="0.25">
      <c r="A19" s="25" t="s">
        <v>144</v>
      </c>
      <c r="B19" s="40" t="s">
        <v>133</v>
      </c>
      <c r="C19" s="40" t="s">
        <v>228</v>
      </c>
      <c r="D19" s="40" t="s">
        <v>1142</v>
      </c>
      <c r="E19" s="40" t="s">
        <v>145</v>
      </c>
      <c r="F19" s="413">
        <f>'Пр.6 ведом.20'!G1060</f>
        <v>42</v>
      </c>
    </row>
    <row r="20" spans="1:6" s="229" customFormat="1" ht="47.25" x14ac:dyDescent="0.25">
      <c r="A20" s="23" t="s">
        <v>819</v>
      </c>
      <c r="B20" s="24" t="s">
        <v>133</v>
      </c>
      <c r="C20" s="7" t="s">
        <v>228</v>
      </c>
      <c r="D20" s="24" t="s">
        <v>177</v>
      </c>
      <c r="E20" s="7"/>
      <c r="F20" s="414">
        <f>F21</f>
        <v>25.5</v>
      </c>
    </row>
    <row r="21" spans="1:6" s="229" customFormat="1" ht="63" x14ac:dyDescent="0.25">
      <c r="A21" s="282" t="s">
        <v>891</v>
      </c>
      <c r="B21" s="24" t="s">
        <v>133</v>
      </c>
      <c r="C21" s="7" t="s">
        <v>228</v>
      </c>
      <c r="D21" s="7" t="s">
        <v>898</v>
      </c>
      <c r="E21" s="7"/>
      <c r="F21" s="414">
        <f>F22+F25</f>
        <v>25.5</v>
      </c>
    </row>
    <row r="22" spans="1:6" s="229" customFormat="1" ht="47.25" x14ac:dyDescent="0.25">
      <c r="A22" s="31" t="s">
        <v>711</v>
      </c>
      <c r="B22" s="20" t="s">
        <v>133</v>
      </c>
      <c r="C22" s="20" t="s">
        <v>228</v>
      </c>
      <c r="D22" s="40" t="s">
        <v>1147</v>
      </c>
      <c r="E22" s="20"/>
      <c r="F22" s="411">
        <f>F23</f>
        <v>0.5</v>
      </c>
    </row>
    <row r="23" spans="1:6" s="229" customFormat="1" ht="31.5" x14ac:dyDescent="0.25">
      <c r="A23" s="25" t="s">
        <v>146</v>
      </c>
      <c r="B23" s="20" t="s">
        <v>133</v>
      </c>
      <c r="C23" s="20" t="s">
        <v>228</v>
      </c>
      <c r="D23" s="40" t="s">
        <v>1147</v>
      </c>
      <c r="E23" s="20" t="s">
        <v>147</v>
      </c>
      <c r="F23" s="411">
        <f>F24</f>
        <v>0.5</v>
      </c>
    </row>
    <row r="24" spans="1:6" s="229" customFormat="1" ht="31.5" x14ac:dyDescent="0.25">
      <c r="A24" s="25" t="s">
        <v>148</v>
      </c>
      <c r="B24" s="20" t="s">
        <v>133</v>
      </c>
      <c r="C24" s="20" t="s">
        <v>228</v>
      </c>
      <c r="D24" s="40" t="s">
        <v>712</v>
      </c>
      <c r="E24" s="20" t="s">
        <v>149</v>
      </c>
      <c r="F24" s="411">
        <f>'Пр.6 ведом.20'!G1065</f>
        <v>0.5</v>
      </c>
    </row>
    <row r="25" spans="1:6" s="229" customFormat="1" ht="47.25" x14ac:dyDescent="0.25">
      <c r="A25" s="31" t="s">
        <v>711</v>
      </c>
      <c r="B25" s="20" t="s">
        <v>133</v>
      </c>
      <c r="C25" s="20" t="s">
        <v>228</v>
      </c>
      <c r="D25" s="20" t="s">
        <v>1146</v>
      </c>
      <c r="E25" s="20"/>
      <c r="F25" s="411">
        <f>F26</f>
        <v>25</v>
      </c>
    </row>
    <row r="26" spans="1:6" s="229" customFormat="1" ht="31.5" x14ac:dyDescent="0.25">
      <c r="A26" s="25" t="s">
        <v>146</v>
      </c>
      <c r="B26" s="20" t="s">
        <v>133</v>
      </c>
      <c r="C26" s="20" t="s">
        <v>228</v>
      </c>
      <c r="D26" s="20" t="s">
        <v>1146</v>
      </c>
      <c r="E26" s="20" t="s">
        <v>147</v>
      </c>
      <c r="F26" s="411">
        <f>F27</f>
        <v>25</v>
      </c>
    </row>
    <row r="27" spans="1:6" s="229" customFormat="1" ht="31.5" x14ac:dyDescent="0.25">
      <c r="A27" s="25" t="s">
        <v>148</v>
      </c>
      <c r="B27" s="20" t="s">
        <v>133</v>
      </c>
      <c r="C27" s="20" t="s">
        <v>228</v>
      </c>
      <c r="D27" s="20" t="s">
        <v>1146</v>
      </c>
      <c r="E27" s="20" t="s">
        <v>149</v>
      </c>
      <c r="F27" s="411">
        <f>'Пр.6 ведом.20'!G1068</f>
        <v>25</v>
      </c>
    </row>
    <row r="28" spans="1:6" ht="63" x14ac:dyDescent="0.25">
      <c r="A28" s="41" t="s">
        <v>593</v>
      </c>
      <c r="B28" s="7" t="s">
        <v>133</v>
      </c>
      <c r="C28" s="7" t="s">
        <v>230</v>
      </c>
      <c r="D28" s="7"/>
      <c r="E28" s="7"/>
      <c r="F28" s="305">
        <f t="shared" ref="F28:F29" si="4">F29</f>
        <v>1091</v>
      </c>
    </row>
    <row r="29" spans="1:6" ht="31.5" x14ac:dyDescent="0.25">
      <c r="A29" s="23" t="s">
        <v>992</v>
      </c>
      <c r="B29" s="7" t="s">
        <v>133</v>
      </c>
      <c r="C29" s="7" t="s">
        <v>230</v>
      </c>
      <c r="D29" s="7" t="s">
        <v>906</v>
      </c>
      <c r="E29" s="7"/>
      <c r="F29" s="305">
        <f t="shared" si="4"/>
        <v>1091</v>
      </c>
    </row>
    <row r="30" spans="1:6" ht="31.5" x14ac:dyDescent="0.25">
      <c r="A30" s="23" t="s">
        <v>1139</v>
      </c>
      <c r="B30" s="7" t="s">
        <v>133</v>
      </c>
      <c r="C30" s="7" t="s">
        <v>230</v>
      </c>
      <c r="D30" s="7" t="s">
        <v>1140</v>
      </c>
      <c r="E30" s="7"/>
      <c r="F30" s="305">
        <f>F31+F36</f>
        <v>1091</v>
      </c>
    </row>
    <row r="31" spans="1:6" ht="31.5" x14ac:dyDescent="0.25">
      <c r="A31" s="25" t="s">
        <v>1143</v>
      </c>
      <c r="B31" s="40" t="s">
        <v>133</v>
      </c>
      <c r="C31" s="40" t="s">
        <v>230</v>
      </c>
      <c r="D31" s="40" t="s">
        <v>1144</v>
      </c>
      <c r="E31" s="40"/>
      <c r="F31" s="411">
        <f t="shared" ref="F31" si="5">F32+F34</f>
        <v>1091</v>
      </c>
    </row>
    <row r="32" spans="1:6" ht="78.75" x14ac:dyDescent="0.25">
      <c r="A32" s="29" t="s">
        <v>142</v>
      </c>
      <c r="B32" s="40" t="s">
        <v>133</v>
      </c>
      <c r="C32" s="40" t="s">
        <v>230</v>
      </c>
      <c r="D32" s="40" t="s">
        <v>1144</v>
      </c>
      <c r="E32" s="40" t="s">
        <v>143</v>
      </c>
      <c r="F32" s="412">
        <f t="shared" ref="F32" si="6">F33</f>
        <v>998</v>
      </c>
    </row>
    <row r="33" spans="1:8" ht="31.5" x14ac:dyDescent="0.25">
      <c r="A33" s="29" t="s">
        <v>144</v>
      </c>
      <c r="B33" s="40" t="s">
        <v>133</v>
      </c>
      <c r="C33" s="40" t="s">
        <v>230</v>
      </c>
      <c r="D33" s="40" t="s">
        <v>1144</v>
      </c>
      <c r="E33" s="40" t="s">
        <v>145</v>
      </c>
      <c r="F33" s="412">
        <f>'Пр.6 ведом.20'!G1074</f>
        <v>998</v>
      </c>
    </row>
    <row r="34" spans="1:8" ht="31.5" x14ac:dyDescent="0.25">
      <c r="A34" s="29" t="s">
        <v>146</v>
      </c>
      <c r="B34" s="40" t="s">
        <v>133</v>
      </c>
      <c r="C34" s="40" t="s">
        <v>230</v>
      </c>
      <c r="D34" s="40" t="s">
        <v>1144</v>
      </c>
      <c r="E34" s="40" t="s">
        <v>147</v>
      </c>
      <c r="F34" s="411">
        <f t="shared" ref="F34" si="7">F35</f>
        <v>93</v>
      </c>
    </row>
    <row r="35" spans="1:8" ht="31.5" x14ac:dyDescent="0.25">
      <c r="A35" s="29" t="s">
        <v>148</v>
      </c>
      <c r="B35" s="40" t="s">
        <v>133</v>
      </c>
      <c r="C35" s="40" t="s">
        <v>230</v>
      </c>
      <c r="D35" s="40" t="s">
        <v>1144</v>
      </c>
      <c r="E35" s="40" t="s">
        <v>149</v>
      </c>
      <c r="F35" s="411">
        <f>'Пр.6 ведом.20'!G1076</f>
        <v>93</v>
      </c>
    </row>
    <row r="36" spans="1:8" s="229" customFormat="1" ht="30" hidden="1" customHeight="1" x14ac:dyDescent="0.25">
      <c r="A36" s="25" t="s">
        <v>886</v>
      </c>
      <c r="B36" s="40" t="s">
        <v>133</v>
      </c>
      <c r="C36" s="40" t="s">
        <v>230</v>
      </c>
      <c r="D36" s="40" t="s">
        <v>1142</v>
      </c>
      <c r="E36" s="40"/>
      <c r="F36" s="413">
        <f>F37</f>
        <v>0</v>
      </c>
    </row>
    <row r="37" spans="1:8" s="229" customFormat="1" ht="85.5" hidden="1" customHeight="1" x14ac:dyDescent="0.25">
      <c r="A37" s="25" t="s">
        <v>142</v>
      </c>
      <c r="B37" s="40" t="s">
        <v>133</v>
      </c>
      <c r="C37" s="40" t="s">
        <v>230</v>
      </c>
      <c r="D37" s="40" t="s">
        <v>1142</v>
      </c>
      <c r="E37" s="40" t="s">
        <v>143</v>
      </c>
      <c r="F37" s="413">
        <f>F38</f>
        <v>0</v>
      </c>
    </row>
    <row r="38" spans="1:8" s="229" customFormat="1" ht="38.25" hidden="1" customHeight="1" x14ac:dyDescent="0.25">
      <c r="A38" s="25" t="s">
        <v>144</v>
      </c>
      <c r="B38" s="40" t="s">
        <v>133</v>
      </c>
      <c r="C38" s="40" t="s">
        <v>230</v>
      </c>
      <c r="D38" s="40" t="s">
        <v>1142</v>
      </c>
      <c r="E38" s="40" t="s">
        <v>145</v>
      </c>
      <c r="F38" s="413">
        <f>'Пр.6 ведом.20'!G1079</f>
        <v>0</v>
      </c>
    </row>
    <row r="39" spans="1:8" ht="70.5" customHeight="1" x14ac:dyDescent="0.25">
      <c r="A39" s="41" t="s">
        <v>164</v>
      </c>
      <c r="B39" s="7" t="s">
        <v>133</v>
      </c>
      <c r="C39" s="7" t="s">
        <v>165</v>
      </c>
      <c r="D39" s="7"/>
      <c r="E39" s="7"/>
      <c r="F39" s="305">
        <f>F40+F82</f>
        <v>63509.1</v>
      </c>
      <c r="H39" s="22"/>
    </row>
    <row r="40" spans="1:8" ht="31.5" x14ac:dyDescent="0.25">
      <c r="A40" s="23" t="s">
        <v>992</v>
      </c>
      <c r="B40" s="7" t="s">
        <v>133</v>
      </c>
      <c r="C40" s="7" t="s">
        <v>165</v>
      </c>
      <c r="D40" s="7" t="s">
        <v>906</v>
      </c>
      <c r="E40" s="7"/>
      <c r="F40" s="305">
        <f>F41+F57</f>
        <v>62985.599999999999</v>
      </c>
    </row>
    <row r="41" spans="1:8" ht="15.75" x14ac:dyDescent="0.25">
      <c r="A41" s="23" t="s">
        <v>993</v>
      </c>
      <c r="B41" s="7" t="s">
        <v>133</v>
      </c>
      <c r="C41" s="7" t="s">
        <v>165</v>
      </c>
      <c r="D41" s="7" t="s">
        <v>907</v>
      </c>
      <c r="E41" s="7"/>
      <c r="F41" s="305">
        <f>F42+F51+F54</f>
        <v>59711</v>
      </c>
    </row>
    <row r="42" spans="1:8" ht="31.5" x14ac:dyDescent="0.25">
      <c r="A42" s="29" t="s">
        <v>969</v>
      </c>
      <c r="B42" s="40" t="s">
        <v>133</v>
      </c>
      <c r="C42" s="40" t="s">
        <v>165</v>
      </c>
      <c r="D42" s="40" t="s">
        <v>908</v>
      </c>
      <c r="E42" s="40"/>
      <c r="F42" s="411">
        <f>F43+F45+F49+F47</f>
        <v>54859</v>
      </c>
    </row>
    <row r="43" spans="1:8" ht="78.75" x14ac:dyDescent="0.25">
      <c r="A43" s="29" t="s">
        <v>142</v>
      </c>
      <c r="B43" s="40" t="s">
        <v>133</v>
      </c>
      <c r="C43" s="40" t="s">
        <v>165</v>
      </c>
      <c r="D43" s="40" t="s">
        <v>908</v>
      </c>
      <c r="E43" s="40" t="s">
        <v>143</v>
      </c>
      <c r="F43" s="412">
        <f t="shared" ref="F43" si="8">F44</f>
        <v>47546</v>
      </c>
    </row>
    <row r="44" spans="1:8" ht="31.5" x14ac:dyDescent="0.25">
      <c r="A44" s="29" t="s">
        <v>144</v>
      </c>
      <c r="B44" s="40" t="s">
        <v>133</v>
      </c>
      <c r="C44" s="40" t="s">
        <v>165</v>
      </c>
      <c r="D44" s="40" t="s">
        <v>908</v>
      </c>
      <c r="E44" s="40" t="s">
        <v>145</v>
      </c>
      <c r="F44" s="412">
        <f>'Пр.6 ведом.20'!G487+'Пр.6 ведом.20'!G31</f>
        <v>47546</v>
      </c>
    </row>
    <row r="45" spans="1:8" ht="31.5" x14ac:dyDescent="0.25">
      <c r="A45" s="29" t="s">
        <v>146</v>
      </c>
      <c r="B45" s="40" t="s">
        <v>133</v>
      </c>
      <c r="C45" s="40" t="s">
        <v>165</v>
      </c>
      <c r="D45" s="40" t="s">
        <v>908</v>
      </c>
      <c r="E45" s="40" t="s">
        <v>147</v>
      </c>
      <c r="F45" s="411">
        <f t="shared" ref="F45" si="9">F46</f>
        <v>6352</v>
      </c>
    </row>
    <row r="46" spans="1:8" ht="31.5" x14ac:dyDescent="0.25">
      <c r="A46" s="29" t="s">
        <v>148</v>
      </c>
      <c r="B46" s="40" t="s">
        <v>133</v>
      </c>
      <c r="C46" s="40" t="s">
        <v>165</v>
      </c>
      <c r="D46" s="40" t="s">
        <v>908</v>
      </c>
      <c r="E46" s="40" t="s">
        <v>149</v>
      </c>
      <c r="F46" s="411">
        <f>'Пр.6 ведом.20'!G33+'Пр.6 ведом.20'!G489</f>
        <v>6352</v>
      </c>
    </row>
    <row r="47" spans="1:8" s="229" customFormat="1" ht="21" customHeight="1" x14ac:dyDescent="0.25">
      <c r="A47" s="25" t="s">
        <v>263</v>
      </c>
      <c r="B47" s="40" t="s">
        <v>133</v>
      </c>
      <c r="C47" s="40" t="s">
        <v>165</v>
      </c>
      <c r="D47" s="40" t="s">
        <v>908</v>
      </c>
      <c r="E47" s="40" t="s">
        <v>264</v>
      </c>
      <c r="F47" s="411">
        <f>F48</f>
        <v>755</v>
      </c>
    </row>
    <row r="48" spans="1:8" s="229" customFormat="1" ht="31.5" x14ac:dyDescent="0.25">
      <c r="A48" s="25" t="s">
        <v>265</v>
      </c>
      <c r="B48" s="40" t="s">
        <v>133</v>
      </c>
      <c r="C48" s="40" t="s">
        <v>165</v>
      </c>
      <c r="D48" s="40" t="s">
        <v>908</v>
      </c>
      <c r="E48" s="40" t="s">
        <v>266</v>
      </c>
      <c r="F48" s="411">
        <f>'Пр.6 ведом.20'!G35</f>
        <v>755</v>
      </c>
    </row>
    <row r="49" spans="1:6" ht="15.75" x14ac:dyDescent="0.25">
      <c r="A49" s="29" t="s">
        <v>150</v>
      </c>
      <c r="B49" s="40" t="s">
        <v>133</v>
      </c>
      <c r="C49" s="40" t="s">
        <v>165</v>
      </c>
      <c r="D49" s="40" t="s">
        <v>908</v>
      </c>
      <c r="E49" s="40" t="s">
        <v>160</v>
      </c>
      <c r="F49" s="411">
        <f t="shared" ref="F49" si="10">F50</f>
        <v>206</v>
      </c>
    </row>
    <row r="50" spans="1:6" ht="15.75" x14ac:dyDescent="0.25">
      <c r="A50" s="29" t="s">
        <v>583</v>
      </c>
      <c r="B50" s="40" t="s">
        <v>133</v>
      </c>
      <c r="C50" s="40" t="s">
        <v>165</v>
      </c>
      <c r="D50" s="40" t="s">
        <v>908</v>
      </c>
      <c r="E50" s="40" t="s">
        <v>153</v>
      </c>
      <c r="F50" s="411">
        <f>'Пр.6 ведом.20'!G491+'Пр.6 ведом.20'!G37</f>
        <v>206</v>
      </c>
    </row>
    <row r="51" spans="1:6" ht="31.5" x14ac:dyDescent="0.25">
      <c r="A51" s="25" t="s">
        <v>168</v>
      </c>
      <c r="B51" s="20" t="s">
        <v>133</v>
      </c>
      <c r="C51" s="20" t="s">
        <v>165</v>
      </c>
      <c r="D51" s="40" t="s">
        <v>909</v>
      </c>
      <c r="E51" s="20"/>
      <c r="F51" s="412">
        <f>F52</f>
        <v>2962</v>
      </c>
    </row>
    <row r="52" spans="1:6" ht="78.75" x14ac:dyDescent="0.25">
      <c r="A52" s="25" t="s">
        <v>142</v>
      </c>
      <c r="B52" s="20" t="s">
        <v>133</v>
      </c>
      <c r="C52" s="20" t="s">
        <v>165</v>
      </c>
      <c r="D52" s="40" t="s">
        <v>909</v>
      </c>
      <c r="E52" s="20" t="s">
        <v>143</v>
      </c>
      <c r="F52" s="412">
        <f>F53</f>
        <v>2962</v>
      </c>
    </row>
    <row r="53" spans="1:6" ht="31.5" x14ac:dyDescent="0.25">
      <c r="A53" s="25" t="s">
        <v>144</v>
      </c>
      <c r="B53" s="20" t="s">
        <v>133</v>
      </c>
      <c r="C53" s="20" t="s">
        <v>165</v>
      </c>
      <c r="D53" s="40" t="s">
        <v>909</v>
      </c>
      <c r="E53" s="20" t="s">
        <v>145</v>
      </c>
      <c r="F53" s="412">
        <f>'Пр.6 ведом.20'!G40</f>
        <v>2962</v>
      </c>
    </row>
    <row r="54" spans="1:6" s="229" customFormat="1" ht="47.25" x14ac:dyDescent="0.25">
      <c r="A54" s="25" t="s">
        <v>886</v>
      </c>
      <c r="B54" s="40" t="s">
        <v>133</v>
      </c>
      <c r="C54" s="20" t="s">
        <v>165</v>
      </c>
      <c r="D54" s="40" t="s">
        <v>910</v>
      </c>
      <c r="E54" s="40"/>
      <c r="F54" s="413">
        <f>F55</f>
        <v>1890</v>
      </c>
    </row>
    <row r="55" spans="1:6" s="229" customFormat="1" ht="78.75" x14ac:dyDescent="0.25">
      <c r="A55" s="25" t="s">
        <v>142</v>
      </c>
      <c r="B55" s="40" t="s">
        <v>133</v>
      </c>
      <c r="C55" s="20" t="s">
        <v>165</v>
      </c>
      <c r="D55" s="40" t="s">
        <v>910</v>
      </c>
      <c r="E55" s="40" t="s">
        <v>143</v>
      </c>
      <c r="F55" s="413">
        <f>F56</f>
        <v>1890</v>
      </c>
    </row>
    <row r="56" spans="1:6" s="229" customFormat="1" ht="31.5" x14ac:dyDescent="0.25">
      <c r="A56" s="25" t="s">
        <v>144</v>
      </c>
      <c r="B56" s="40" t="s">
        <v>133</v>
      </c>
      <c r="C56" s="20" t="s">
        <v>165</v>
      </c>
      <c r="D56" s="40" t="s">
        <v>910</v>
      </c>
      <c r="E56" s="40" t="s">
        <v>145</v>
      </c>
      <c r="F56" s="413">
        <f>'Пр.6 ведом.20'!G494+'Пр.6 ведом.20'!G43</f>
        <v>1890</v>
      </c>
    </row>
    <row r="57" spans="1:6" s="229" customFormat="1" ht="31.5" x14ac:dyDescent="0.25">
      <c r="A57" s="23" t="s">
        <v>934</v>
      </c>
      <c r="B57" s="7" t="s">
        <v>133</v>
      </c>
      <c r="C57" s="24" t="s">
        <v>165</v>
      </c>
      <c r="D57" s="7" t="s">
        <v>911</v>
      </c>
      <c r="E57" s="7"/>
      <c r="F57" s="305">
        <f>F58+F64+F69+F74+F61+F79</f>
        <v>3274.6</v>
      </c>
    </row>
    <row r="58" spans="1:6" s="229" customFormat="1" ht="47.25" x14ac:dyDescent="0.25">
      <c r="A58" s="25" t="s">
        <v>202</v>
      </c>
      <c r="B58" s="40" t="s">
        <v>133</v>
      </c>
      <c r="C58" s="20" t="s">
        <v>165</v>
      </c>
      <c r="D58" s="40" t="s">
        <v>1269</v>
      </c>
      <c r="E58" s="7"/>
      <c r="F58" s="326">
        <f>F59</f>
        <v>6</v>
      </c>
    </row>
    <row r="59" spans="1:6" s="229" customFormat="1" ht="31.5" x14ac:dyDescent="0.25">
      <c r="A59" s="25" t="s">
        <v>146</v>
      </c>
      <c r="B59" s="40" t="s">
        <v>133</v>
      </c>
      <c r="C59" s="20" t="s">
        <v>165</v>
      </c>
      <c r="D59" s="40" t="s">
        <v>1269</v>
      </c>
      <c r="E59" s="40" t="s">
        <v>147</v>
      </c>
      <c r="F59" s="326">
        <f t="shared" ref="F59" si="11">F60</f>
        <v>6</v>
      </c>
    </row>
    <row r="60" spans="1:6" s="229" customFormat="1" ht="31.5" x14ac:dyDescent="0.25">
      <c r="A60" s="25" t="s">
        <v>148</v>
      </c>
      <c r="B60" s="40" t="s">
        <v>133</v>
      </c>
      <c r="C60" s="20" t="s">
        <v>165</v>
      </c>
      <c r="D60" s="40" t="s">
        <v>1269</v>
      </c>
      <c r="E60" s="40" t="s">
        <v>149</v>
      </c>
      <c r="F60" s="326">
        <f>'Пр.6 ведом.20'!G47</f>
        <v>6</v>
      </c>
    </row>
    <row r="61" spans="1:6" s="229" customFormat="1" ht="47.25" x14ac:dyDescent="0.25">
      <c r="A61" s="31" t="s">
        <v>1443</v>
      </c>
      <c r="B61" s="20" t="s">
        <v>133</v>
      </c>
      <c r="C61" s="20" t="s">
        <v>165</v>
      </c>
      <c r="D61" s="20" t="s">
        <v>1442</v>
      </c>
      <c r="E61" s="20"/>
      <c r="F61" s="415">
        <f>F62</f>
        <v>92.6</v>
      </c>
    </row>
    <row r="62" spans="1:6" s="229" customFormat="1" ht="78.75" x14ac:dyDescent="0.25">
      <c r="A62" s="25" t="s">
        <v>142</v>
      </c>
      <c r="B62" s="20" t="s">
        <v>133</v>
      </c>
      <c r="C62" s="20" t="s">
        <v>165</v>
      </c>
      <c r="D62" s="20" t="s">
        <v>1442</v>
      </c>
      <c r="E62" s="20" t="s">
        <v>143</v>
      </c>
      <c r="F62" s="415">
        <f>F63</f>
        <v>92.6</v>
      </c>
    </row>
    <row r="63" spans="1:6" s="229" customFormat="1" ht="31.5" x14ac:dyDescent="0.25">
      <c r="A63" s="25" t="s">
        <v>144</v>
      </c>
      <c r="B63" s="20" t="s">
        <v>133</v>
      </c>
      <c r="C63" s="20" t="s">
        <v>165</v>
      </c>
      <c r="D63" s="20" t="s">
        <v>1442</v>
      </c>
      <c r="E63" s="20" t="s">
        <v>145</v>
      </c>
      <c r="F63" s="415">
        <f>'Пр.6 ведом.20'!G50</f>
        <v>92.6</v>
      </c>
    </row>
    <row r="64" spans="1:6" s="229" customFormat="1" ht="47.25" x14ac:dyDescent="0.25">
      <c r="A64" s="45" t="s">
        <v>204</v>
      </c>
      <c r="B64" s="40" t="s">
        <v>133</v>
      </c>
      <c r="C64" s="20" t="s">
        <v>165</v>
      </c>
      <c r="D64" s="40" t="s">
        <v>997</v>
      </c>
      <c r="E64" s="40"/>
      <c r="F64" s="411">
        <f>F65+F67</f>
        <v>604.80000000000007</v>
      </c>
    </row>
    <row r="65" spans="1:6" s="229" customFormat="1" ht="78.75" x14ac:dyDescent="0.25">
      <c r="A65" s="29" t="s">
        <v>142</v>
      </c>
      <c r="B65" s="40" t="s">
        <v>133</v>
      </c>
      <c r="C65" s="20" t="s">
        <v>165</v>
      </c>
      <c r="D65" s="40" t="s">
        <v>997</v>
      </c>
      <c r="E65" s="40" t="s">
        <v>143</v>
      </c>
      <c r="F65" s="411">
        <f t="shared" ref="F65" si="12">F66</f>
        <v>528.70000000000005</v>
      </c>
    </row>
    <row r="66" spans="1:6" s="229" customFormat="1" ht="31.5" x14ac:dyDescent="0.25">
      <c r="A66" s="29" t="s">
        <v>144</v>
      </c>
      <c r="B66" s="40" t="s">
        <v>133</v>
      </c>
      <c r="C66" s="20" t="s">
        <v>165</v>
      </c>
      <c r="D66" s="40" t="s">
        <v>997</v>
      </c>
      <c r="E66" s="40" t="s">
        <v>145</v>
      </c>
      <c r="F66" s="411">
        <f>'Пр.6 ведом.20'!G53</f>
        <v>528.70000000000005</v>
      </c>
    </row>
    <row r="67" spans="1:6" s="229" customFormat="1" ht="31.5" x14ac:dyDescent="0.25">
      <c r="A67" s="25" t="s">
        <v>146</v>
      </c>
      <c r="B67" s="40" t="s">
        <v>133</v>
      </c>
      <c r="C67" s="20" t="s">
        <v>165</v>
      </c>
      <c r="D67" s="40" t="s">
        <v>997</v>
      </c>
      <c r="E67" s="40" t="s">
        <v>147</v>
      </c>
      <c r="F67" s="411">
        <f>F68</f>
        <v>76.099999999999994</v>
      </c>
    </row>
    <row r="68" spans="1:6" s="229" customFormat="1" ht="31.5" x14ac:dyDescent="0.25">
      <c r="A68" s="25" t="s">
        <v>148</v>
      </c>
      <c r="B68" s="40" t="s">
        <v>133</v>
      </c>
      <c r="C68" s="20" t="s">
        <v>165</v>
      </c>
      <c r="D68" s="40" t="s">
        <v>997</v>
      </c>
      <c r="E68" s="40" t="s">
        <v>149</v>
      </c>
      <c r="F68" s="411">
        <f>'Пр.6 ведом.20'!G55</f>
        <v>76.099999999999994</v>
      </c>
    </row>
    <row r="69" spans="1:6" s="229" customFormat="1" ht="47.25" x14ac:dyDescent="0.25">
      <c r="A69" s="31" t="s">
        <v>209</v>
      </c>
      <c r="B69" s="40" t="s">
        <v>133</v>
      </c>
      <c r="C69" s="20" t="s">
        <v>165</v>
      </c>
      <c r="D69" s="40" t="s">
        <v>1206</v>
      </c>
      <c r="E69" s="40"/>
      <c r="F69" s="411">
        <f>F70+F72</f>
        <v>1433.3</v>
      </c>
    </row>
    <row r="70" spans="1:6" s="229" customFormat="1" ht="78.75" x14ac:dyDescent="0.25">
      <c r="A70" s="29" t="s">
        <v>142</v>
      </c>
      <c r="B70" s="40" t="s">
        <v>133</v>
      </c>
      <c r="C70" s="20" t="s">
        <v>165</v>
      </c>
      <c r="D70" s="40" t="s">
        <v>1206</v>
      </c>
      <c r="E70" s="40" t="s">
        <v>143</v>
      </c>
      <c r="F70" s="411">
        <f t="shared" ref="F70" si="13">F71</f>
        <v>1372.1</v>
      </c>
    </row>
    <row r="71" spans="1:6" s="229" customFormat="1" ht="31.5" x14ac:dyDescent="0.25">
      <c r="A71" s="29" t="s">
        <v>144</v>
      </c>
      <c r="B71" s="40" t="s">
        <v>133</v>
      </c>
      <c r="C71" s="20" t="s">
        <v>165</v>
      </c>
      <c r="D71" s="40" t="s">
        <v>1206</v>
      </c>
      <c r="E71" s="40" t="s">
        <v>145</v>
      </c>
      <c r="F71" s="411">
        <f>'Пр.6 ведом.20'!G58</f>
        <v>1372.1</v>
      </c>
    </row>
    <row r="72" spans="1:6" s="229" customFormat="1" ht="31.5" x14ac:dyDescent="0.25">
      <c r="A72" s="25" t="s">
        <v>146</v>
      </c>
      <c r="B72" s="40" t="s">
        <v>133</v>
      </c>
      <c r="C72" s="20" t="s">
        <v>165</v>
      </c>
      <c r="D72" s="40" t="s">
        <v>1206</v>
      </c>
      <c r="E72" s="40" t="s">
        <v>147</v>
      </c>
      <c r="F72" s="411">
        <f>F73</f>
        <v>61.2</v>
      </c>
    </row>
    <row r="73" spans="1:6" s="229" customFormat="1" ht="31.5" x14ac:dyDescent="0.25">
      <c r="A73" s="25" t="s">
        <v>148</v>
      </c>
      <c r="B73" s="40" t="s">
        <v>133</v>
      </c>
      <c r="C73" s="20" t="s">
        <v>165</v>
      </c>
      <c r="D73" s="40" t="s">
        <v>1206</v>
      </c>
      <c r="E73" s="40" t="s">
        <v>149</v>
      </c>
      <c r="F73" s="411">
        <f>'Пр.6 ведом.20'!G60</f>
        <v>61.2</v>
      </c>
    </row>
    <row r="74" spans="1:6" ht="47.25" x14ac:dyDescent="0.25">
      <c r="A74" s="45" t="s">
        <v>211</v>
      </c>
      <c r="B74" s="40" t="s">
        <v>133</v>
      </c>
      <c r="C74" s="20" t="s">
        <v>165</v>
      </c>
      <c r="D74" s="40" t="s">
        <v>998</v>
      </c>
      <c r="E74" s="40"/>
      <c r="F74" s="411">
        <f t="shared" ref="F74" si="14">F75+F77</f>
        <v>1115.9000000000001</v>
      </c>
    </row>
    <row r="75" spans="1:6" ht="81.75" customHeight="1" x14ac:dyDescent="0.25">
      <c r="A75" s="29" t="s">
        <v>142</v>
      </c>
      <c r="B75" s="40" t="s">
        <v>133</v>
      </c>
      <c r="C75" s="20" t="s">
        <v>165</v>
      </c>
      <c r="D75" s="40" t="s">
        <v>998</v>
      </c>
      <c r="E75" s="40" t="s">
        <v>143</v>
      </c>
      <c r="F75" s="411">
        <f t="shared" ref="F75" si="15">F76</f>
        <v>1026.5</v>
      </c>
    </row>
    <row r="76" spans="1:6" ht="36" customHeight="1" x14ac:dyDescent="0.25">
      <c r="A76" s="29" t="s">
        <v>144</v>
      </c>
      <c r="B76" s="40" t="s">
        <v>133</v>
      </c>
      <c r="C76" s="20" t="s">
        <v>165</v>
      </c>
      <c r="D76" s="40" t="s">
        <v>998</v>
      </c>
      <c r="E76" s="40" t="s">
        <v>145</v>
      </c>
      <c r="F76" s="411">
        <f>'Пр.6 ведом.20'!G63</f>
        <v>1026.5</v>
      </c>
    </row>
    <row r="77" spans="1:6" ht="31.5" x14ac:dyDescent="0.25">
      <c r="A77" s="29" t="s">
        <v>146</v>
      </c>
      <c r="B77" s="40" t="s">
        <v>133</v>
      </c>
      <c r="C77" s="20" t="s">
        <v>165</v>
      </c>
      <c r="D77" s="40" t="s">
        <v>998</v>
      </c>
      <c r="E77" s="40" t="s">
        <v>147</v>
      </c>
      <c r="F77" s="411">
        <f t="shared" ref="F77" si="16">F78</f>
        <v>89.399999999999991</v>
      </c>
    </row>
    <row r="78" spans="1:6" ht="31.5" x14ac:dyDescent="0.25">
      <c r="A78" s="29" t="s">
        <v>148</v>
      </c>
      <c r="B78" s="40" t="s">
        <v>133</v>
      </c>
      <c r="C78" s="20" t="s">
        <v>165</v>
      </c>
      <c r="D78" s="40" t="s">
        <v>998</v>
      </c>
      <c r="E78" s="40" t="s">
        <v>149</v>
      </c>
      <c r="F78" s="411">
        <f>'Пр.6 ведом.20'!G65</f>
        <v>89.399999999999991</v>
      </c>
    </row>
    <row r="79" spans="1:6" s="229" customFormat="1" ht="94.5" x14ac:dyDescent="0.25">
      <c r="A79" s="31" t="s">
        <v>1435</v>
      </c>
      <c r="B79" s="20" t="s">
        <v>133</v>
      </c>
      <c r="C79" s="20" t="s">
        <v>165</v>
      </c>
      <c r="D79" s="20" t="s">
        <v>1434</v>
      </c>
      <c r="E79" s="20"/>
      <c r="F79" s="415">
        <f>F80</f>
        <v>22</v>
      </c>
    </row>
    <row r="80" spans="1:6" s="229" customFormat="1" ht="78.75" x14ac:dyDescent="0.25">
      <c r="A80" s="25" t="s">
        <v>142</v>
      </c>
      <c r="B80" s="20" t="s">
        <v>133</v>
      </c>
      <c r="C80" s="20" t="s">
        <v>165</v>
      </c>
      <c r="D80" s="20" t="s">
        <v>1434</v>
      </c>
      <c r="E80" s="20" t="s">
        <v>143</v>
      </c>
      <c r="F80" s="415">
        <f>F81</f>
        <v>22</v>
      </c>
    </row>
    <row r="81" spans="1:6" s="229" customFormat="1" ht="31.5" x14ac:dyDescent="0.25">
      <c r="A81" s="25" t="s">
        <v>144</v>
      </c>
      <c r="B81" s="20" t="s">
        <v>133</v>
      </c>
      <c r="C81" s="20" t="s">
        <v>165</v>
      </c>
      <c r="D81" s="20" t="s">
        <v>1434</v>
      </c>
      <c r="E81" s="20" t="s">
        <v>145</v>
      </c>
      <c r="F81" s="415">
        <f>'Пр.6 ведом.20'!G498</f>
        <v>22</v>
      </c>
    </row>
    <row r="82" spans="1:6" s="229" customFormat="1" ht="47.25" x14ac:dyDescent="0.25">
      <c r="A82" s="23" t="s">
        <v>819</v>
      </c>
      <c r="B82" s="24" t="s">
        <v>133</v>
      </c>
      <c r="C82" s="24" t="s">
        <v>165</v>
      </c>
      <c r="D82" s="24" t="s">
        <v>177</v>
      </c>
      <c r="E82" s="24"/>
      <c r="F82" s="305">
        <f>F83+F87+F93</f>
        <v>523.5</v>
      </c>
    </row>
    <row r="83" spans="1:6" s="229" customFormat="1" ht="63" x14ac:dyDescent="0.25">
      <c r="A83" s="283" t="s">
        <v>1161</v>
      </c>
      <c r="B83" s="24" t="s">
        <v>133</v>
      </c>
      <c r="C83" s="24" t="s">
        <v>165</v>
      </c>
      <c r="D83" s="7" t="s">
        <v>897</v>
      </c>
      <c r="E83" s="24"/>
      <c r="F83" s="305">
        <f>F84</f>
        <v>446</v>
      </c>
    </row>
    <row r="84" spans="1:6" s="229" customFormat="1" ht="31.5" x14ac:dyDescent="0.25">
      <c r="A84" s="29" t="s">
        <v>1160</v>
      </c>
      <c r="B84" s="20" t="s">
        <v>133</v>
      </c>
      <c r="C84" s="20" t="s">
        <v>165</v>
      </c>
      <c r="D84" s="40" t="s">
        <v>889</v>
      </c>
      <c r="E84" s="20"/>
      <c r="F84" s="411">
        <f>F85</f>
        <v>446</v>
      </c>
    </row>
    <row r="85" spans="1:6" s="229" customFormat="1" ht="31.5" x14ac:dyDescent="0.25">
      <c r="A85" s="25" t="s">
        <v>146</v>
      </c>
      <c r="B85" s="20" t="s">
        <v>133</v>
      </c>
      <c r="C85" s="20" t="s">
        <v>165</v>
      </c>
      <c r="D85" s="40" t="s">
        <v>889</v>
      </c>
      <c r="E85" s="20" t="s">
        <v>147</v>
      </c>
      <c r="F85" s="411">
        <f>F86</f>
        <v>446</v>
      </c>
    </row>
    <row r="86" spans="1:6" s="229" customFormat="1" ht="31.5" x14ac:dyDescent="0.25">
      <c r="A86" s="25" t="s">
        <v>148</v>
      </c>
      <c r="B86" s="20" t="s">
        <v>133</v>
      </c>
      <c r="C86" s="20" t="s">
        <v>165</v>
      </c>
      <c r="D86" s="40" t="s">
        <v>889</v>
      </c>
      <c r="E86" s="20" t="s">
        <v>149</v>
      </c>
      <c r="F86" s="411">
        <f>'Пр.6 ведом.20'!G70</f>
        <v>446</v>
      </c>
    </row>
    <row r="87" spans="1:6" s="229" customFormat="1" ht="63" x14ac:dyDescent="0.25">
      <c r="A87" s="282" t="s">
        <v>891</v>
      </c>
      <c r="B87" s="24" t="s">
        <v>133</v>
      </c>
      <c r="C87" s="24" t="s">
        <v>165</v>
      </c>
      <c r="D87" s="7" t="s">
        <v>898</v>
      </c>
      <c r="E87" s="24"/>
      <c r="F87" s="305">
        <f>F88</f>
        <v>77</v>
      </c>
    </row>
    <row r="88" spans="1:6" s="229" customFormat="1" ht="47.25" x14ac:dyDescent="0.25">
      <c r="A88" s="180" t="s">
        <v>180</v>
      </c>
      <c r="B88" s="20" t="s">
        <v>133</v>
      </c>
      <c r="C88" s="20" t="s">
        <v>165</v>
      </c>
      <c r="D88" s="40" t="s">
        <v>890</v>
      </c>
      <c r="E88" s="20"/>
      <c r="F88" s="411">
        <f>F89+F91</f>
        <v>77</v>
      </c>
    </row>
    <row r="89" spans="1:6" s="229" customFormat="1" ht="78.75" x14ac:dyDescent="0.25">
      <c r="A89" s="25" t="s">
        <v>142</v>
      </c>
      <c r="B89" s="20" t="s">
        <v>133</v>
      </c>
      <c r="C89" s="20" t="s">
        <v>165</v>
      </c>
      <c r="D89" s="40" t="s">
        <v>890</v>
      </c>
      <c r="E89" s="20" t="s">
        <v>143</v>
      </c>
      <c r="F89" s="411">
        <f>F90</f>
        <v>37</v>
      </c>
    </row>
    <row r="90" spans="1:6" s="229" customFormat="1" ht="31.5" x14ac:dyDescent="0.25">
      <c r="A90" s="25" t="s">
        <v>144</v>
      </c>
      <c r="B90" s="20" t="s">
        <v>133</v>
      </c>
      <c r="C90" s="20" t="s">
        <v>165</v>
      </c>
      <c r="D90" s="40" t="s">
        <v>890</v>
      </c>
      <c r="E90" s="20" t="s">
        <v>145</v>
      </c>
      <c r="F90" s="411">
        <f>'Пр.6 ведом.20'!G74</f>
        <v>37</v>
      </c>
    </row>
    <row r="91" spans="1:6" s="229" customFormat="1" ht="31.5" x14ac:dyDescent="0.25">
      <c r="A91" s="25" t="s">
        <v>146</v>
      </c>
      <c r="B91" s="20" t="s">
        <v>133</v>
      </c>
      <c r="C91" s="20" t="s">
        <v>165</v>
      </c>
      <c r="D91" s="40" t="s">
        <v>890</v>
      </c>
      <c r="E91" s="20" t="s">
        <v>147</v>
      </c>
      <c r="F91" s="411">
        <f>F92</f>
        <v>40</v>
      </c>
    </row>
    <row r="92" spans="1:6" s="229" customFormat="1" ht="31.5" x14ac:dyDescent="0.25">
      <c r="A92" s="25" t="s">
        <v>148</v>
      </c>
      <c r="B92" s="20" t="s">
        <v>133</v>
      </c>
      <c r="C92" s="20" t="s">
        <v>165</v>
      </c>
      <c r="D92" s="40" t="s">
        <v>890</v>
      </c>
      <c r="E92" s="20" t="s">
        <v>149</v>
      </c>
      <c r="F92" s="411">
        <f>'Пр.6 ведом.20'!G76</f>
        <v>40</v>
      </c>
    </row>
    <row r="93" spans="1:6" s="229" customFormat="1" ht="63" x14ac:dyDescent="0.25">
      <c r="A93" s="284" t="s">
        <v>1162</v>
      </c>
      <c r="B93" s="24" t="s">
        <v>133</v>
      </c>
      <c r="C93" s="24" t="s">
        <v>165</v>
      </c>
      <c r="D93" s="7" t="s">
        <v>899</v>
      </c>
      <c r="E93" s="24"/>
      <c r="F93" s="305">
        <f>F94+F97</f>
        <v>0.5</v>
      </c>
    </row>
    <row r="94" spans="1:6" s="229" customFormat="1" ht="47.25" x14ac:dyDescent="0.25">
      <c r="A94" s="33" t="s">
        <v>206</v>
      </c>
      <c r="B94" s="20" t="s">
        <v>133</v>
      </c>
      <c r="C94" s="20" t="s">
        <v>165</v>
      </c>
      <c r="D94" s="40" t="s">
        <v>892</v>
      </c>
      <c r="E94" s="20"/>
      <c r="F94" s="411">
        <f>F95</f>
        <v>0.5</v>
      </c>
    </row>
    <row r="95" spans="1:6" s="229" customFormat="1" ht="31.5" x14ac:dyDescent="0.25">
      <c r="A95" s="25" t="s">
        <v>146</v>
      </c>
      <c r="B95" s="20" t="s">
        <v>133</v>
      </c>
      <c r="C95" s="20" t="s">
        <v>165</v>
      </c>
      <c r="D95" s="40" t="s">
        <v>892</v>
      </c>
      <c r="E95" s="20" t="s">
        <v>147</v>
      </c>
      <c r="F95" s="411">
        <f>F96</f>
        <v>0.5</v>
      </c>
    </row>
    <row r="96" spans="1:6" s="229" customFormat="1" ht="31.5" x14ac:dyDescent="0.25">
      <c r="A96" s="25" t="s">
        <v>148</v>
      </c>
      <c r="B96" s="20" t="s">
        <v>133</v>
      </c>
      <c r="C96" s="20" t="s">
        <v>165</v>
      </c>
      <c r="D96" s="40" t="s">
        <v>892</v>
      </c>
      <c r="E96" s="20" t="s">
        <v>149</v>
      </c>
      <c r="F96" s="411">
        <f>'Пр.6 ведом.20'!G80</f>
        <v>0.5</v>
      </c>
    </row>
    <row r="97" spans="1:6" s="229" customFormat="1" ht="47.25" hidden="1" x14ac:dyDescent="0.25">
      <c r="A97" s="33" t="s">
        <v>206</v>
      </c>
      <c r="B97" s="20" t="s">
        <v>133</v>
      </c>
      <c r="C97" s="20" t="s">
        <v>165</v>
      </c>
      <c r="D97" s="20" t="s">
        <v>893</v>
      </c>
      <c r="E97" s="20"/>
      <c r="F97" s="411">
        <f>F98</f>
        <v>0</v>
      </c>
    </row>
    <row r="98" spans="1:6" s="229" customFormat="1" ht="31.5" hidden="1" x14ac:dyDescent="0.25">
      <c r="A98" s="25" t="s">
        <v>146</v>
      </c>
      <c r="B98" s="20" t="s">
        <v>133</v>
      </c>
      <c r="C98" s="20" t="s">
        <v>165</v>
      </c>
      <c r="D98" s="20" t="s">
        <v>893</v>
      </c>
      <c r="E98" s="20" t="s">
        <v>147</v>
      </c>
      <c r="F98" s="411">
        <f>F99</f>
        <v>0</v>
      </c>
    </row>
    <row r="99" spans="1:6" s="229" customFormat="1" ht="31.5" hidden="1" x14ac:dyDescent="0.25">
      <c r="A99" s="25" t="s">
        <v>148</v>
      </c>
      <c r="B99" s="20" t="s">
        <v>133</v>
      </c>
      <c r="C99" s="20" t="s">
        <v>165</v>
      </c>
      <c r="D99" s="20" t="s">
        <v>893</v>
      </c>
      <c r="E99" s="20" t="s">
        <v>149</v>
      </c>
      <c r="F99" s="411">
        <f>'Пр.6 ведом.20'!G83</f>
        <v>0</v>
      </c>
    </row>
    <row r="100" spans="1:6" ht="47.25" x14ac:dyDescent="0.25">
      <c r="A100" s="41" t="s">
        <v>134</v>
      </c>
      <c r="B100" s="7" t="s">
        <v>133</v>
      </c>
      <c r="C100" s="7" t="s">
        <v>135</v>
      </c>
      <c r="D100" s="7"/>
      <c r="E100" s="7"/>
      <c r="F100" s="305">
        <f t="shared" ref="F100" si="17">F101</f>
        <v>15460</v>
      </c>
    </row>
    <row r="101" spans="1:6" ht="31.5" x14ac:dyDescent="0.25">
      <c r="A101" s="23" t="s">
        <v>992</v>
      </c>
      <c r="B101" s="7" t="s">
        <v>133</v>
      </c>
      <c r="C101" s="7" t="s">
        <v>135</v>
      </c>
      <c r="D101" s="7" t="s">
        <v>906</v>
      </c>
      <c r="E101" s="7"/>
      <c r="F101" s="305">
        <f>F111+F102</f>
        <v>15460</v>
      </c>
    </row>
    <row r="102" spans="1:6" s="229" customFormat="1" ht="31.5" x14ac:dyDescent="0.25">
      <c r="A102" s="23" t="s">
        <v>1139</v>
      </c>
      <c r="B102" s="7" t="s">
        <v>133</v>
      </c>
      <c r="C102" s="7" t="s">
        <v>135</v>
      </c>
      <c r="D102" s="7" t="s">
        <v>1140</v>
      </c>
      <c r="E102" s="7"/>
      <c r="F102" s="305">
        <f>F103+F108</f>
        <v>1646</v>
      </c>
    </row>
    <row r="103" spans="1:6" s="229" customFormat="1" ht="31.5" x14ac:dyDescent="0.25">
      <c r="A103" s="25" t="s">
        <v>969</v>
      </c>
      <c r="B103" s="20" t="s">
        <v>133</v>
      </c>
      <c r="C103" s="20" t="s">
        <v>135</v>
      </c>
      <c r="D103" s="20" t="s">
        <v>1144</v>
      </c>
      <c r="E103" s="20"/>
      <c r="F103" s="411">
        <f>F104+F106</f>
        <v>1604</v>
      </c>
    </row>
    <row r="104" spans="1:6" s="229" customFormat="1" ht="78.75" x14ac:dyDescent="0.25">
      <c r="A104" s="25" t="s">
        <v>142</v>
      </c>
      <c r="B104" s="20" t="s">
        <v>133</v>
      </c>
      <c r="C104" s="20" t="s">
        <v>135</v>
      </c>
      <c r="D104" s="20" t="s">
        <v>1144</v>
      </c>
      <c r="E104" s="20" t="s">
        <v>143</v>
      </c>
      <c r="F104" s="411">
        <f>F105</f>
        <v>1586</v>
      </c>
    </row>
    <row r="105" spans="1:6" s="229" customFormat="1" ht="31.5" x14ac:dyDescent="0.25">
      <c r="A105" s="25" t="s">
        <v>144</v>
      </c>
      <c r="B105" s="20" t="s">
        <v>133</v>
      </c>
      <c r="C105" s="20" t="s">
        <v>135</v>
      </c>
      <c r="D105" s="20" t="s">
        <v>1144</v>
      </c>
      <c r="E105" s="20" t="s">
        <v>145</v>
      </c>
      <c r="F105" s="411">
        <f>'Пр.6 ведом.20'!G1085</f>
        <v>1586</v>
      </c>
    </row>
    <row r="106" spans="1:6" s="229" customFormat="1" ht="31.5" x14ac:dyDescent="0.25">
      <c r="A106" s="25" t="s">
        <v>213</v>
      </c>
      <c r="B106" s="20" t="s">
        <v>133</v>
      </c>
      <c r="C106" s="20" t="s">
        <v>135</v>
      </c>
      <c r="D106" s="20" t="s">
        <v>1144</v>
      </c>
      <c r="E106" s="20" t="s">
        <v>147</v>
      </c>
      <c r="F106" s="411">
        <f>F107</f>
        <v>18</v>
      </c>
    </row>
    <row r="107" spans="1:6" s="229" customFormat="1" ht="31.5" x14ac:dyDescent="0.25">
      <c r="A107" s="25" t="s">
        <v>148</v>
      </c>
      <c r="B107" s="20" t="s">
        <v>133</v>
      </c>
      <c r="C107" s="20" t="s">
        <v>135</v>
      </c>
      <c r="D107" s="20" t="s">
        <v>1144</v>
      </c>
      <c r="E107" s="20" t="s">
        <v>149</v>
      </c>
      <c r="F107" s="411">
        <f>'Пр.6 ведом.20'!G1087</f>
        <v>18</v>
      </c>
    </row>
    <row r="108" spans="1:6" s="229" customFormat="1" ht="47.25" x14ac:dyDescent="0.25">
      <c r="A108" s="25" t="s">
        <v>886</v>
      </c>
      <c r="B108" s="20" t="s">
        <v>133</v>
      </c>
      <c r="C108" s="20" t="s">
        <v>135</v>
      </c>
      <c r="D108" s="20" t="s">
        <v>1142</v>
      </c>
      <c r="E108" s="20"/>
      <c r="F108" s="411">
        <f>F109</f>
        <v>42</v>
      </c>
    </row>
    <row r="109" spans="1:6" s="229" customFormat="1" ht="78.75" x14ac:dyDescent="0.25">
      <c r="A109" s="25" t="s">
        <v>142</v>
      </c>
      <c r="B109" s="20" t="s">
        <v>133</v>
      </c>
      <c r="C109" s="20" t="s">
        <v>135</v>
      </c>
      <c r="D109" s="20" t="s">
        <v>1142</v>
      </c>
      <c r="E109" s="20" t="s">
        <v>143</v>
      </c>
      <c r="F109" s="411">
        <f>F110</f>
        <v>42</v>
      </c>
    </row>
    <row r="110" spans="1:6" s="229" customFormat="1" ht="31.5" x14ac:dyDescent="0.25">
      <c r="A110" s="25" t="s">
        <v>144</v>
      </c>
      <c r="B110" s="20" t="s">
        <v>133</v>
      </c>
      <c r="C110" s="20" t="s">
        <v>135</v>
      </c>
      <c r="D110" s="20" t="s">
        <v>1142</v>
      </c>
      <c r="E110" s="20" t="s">
        <v>145</v>
      </c>
      <c r="F110" s="411">
        <f>'Пр.6 ведом.20'!G1090</f>
        <v>42</v>
      </c>
    </row>
    <row r="111" spans="1:6" ht="15.75" x14ac:dyDescent="0.25">
      <c r="A111" s="23" t="s">
        <v>993</v>
      </c>
      <c r="B111" s="7" t="s">
        <v>133</v>
      </c>
      <c r="C111" s="7" t="s">
        <v>135</v>
      </c>
      <c r="D111" s="7" t="s">
        <v>907</v>
      </c>
      <c r="E111" s="7"/>
      <c r="F111" s="305">
        <f>F112+F119</f>
        <v>13814</v>
      </c>
    </row>
    <row r="112" spans="1:6" ht="37.5" customHeight="1" x14ac:dyDescent="0.25">
      <c r="A112" s="29" t="s">
        <v>969</v>
      </c>
      <c r="B112" s="40" t="s">
        <v>133</v>
      </c>
      <c r="C112" s="40" t="s">
        <v>135</v>
      </c>
      <c r="D112" s="40" t="s">
        <v>908</v>
      </c>
      <c r="E112" s="40"/>
      <c r="F112" s="411">
        <f t="shared" ref="F112" si="18">F113+F115+F117</f>
        <v>13479</v>
      </c>
    </row>
    <row r="113" spans="1:6" ht="78.75" x14ac:dyDescent="0.25">
      <c r="A113" s="29" t="s">
        <v>142</v>
      </c>
      <c r="B113" s="40" t="s">
        <v>133</v>
      </c>
      <c r="C113" s="40" t="s">
        <v>135</v>
      </c>
      <c r="D113" s="40" t="s">
        <v>908</v>
      </c>
      <c r="E113" s="40" t="s">
        <v>143</v>
      </c>
      <c r="F113" s="411">
        <f t="shared" ref="F113" si="19">F114</f>
        <v>12474</v>
      </c>
    </row>
    <row r="114" spans="1:6" ht="31.5" x14ac:dyDescent="0.25">
      <c r="A114" s="29" t="s">
        <v>144</v>
      </c>
      <c r="B114" s="40" t="s">
        <v>133</v>
      </c>
      <c r="C114" s="40" t="s">
        <v>135</v>
      </c>
      <c r="D114" s="40" t="s">
        <v>908</v>
      </c>
      <c r="E114" s="40" t="s">
        <v>145</v>
      </c>
      <c r="F114" s="412">
        <f>'Пр.6 ведом.20'!G16+'Пр.6 ведом.20'!G89</f>
        <v>12474</v>
      </c>
    </row>
    <row r="115" spans="1:6" ht="31.5" x14ac:dyDescent="0.25">
      <c r="A115" s="29" t="s">
        <v>146</v>
      </c>
      <c r="B115" s="40" t="s">
        <v>133</v>
      </c>
      <c r="C115" s="40" t="s">
        <v>135</v>
      </c>
      <c r="D115" s="40" t="s">
        <v>908</v>
      </c>
      <c r="E115" s="40" t="s">
        <v>147</v>
      </c>
      <c r="F115" s="411">
        <f t="shared" ref="F115" si="20">F116</f>
        <v>977</v>
      </c>
    </row>
    <row r="116" spans="1:6" ht="31.5" x14ac:dyDescent="0.25">
      <c r="A116" s="29" t="s">
        <v>148</v>
      </c>
      <c r="B116" s="40" t="s">
        <v>133</v>
      </c>
      <c r="C116" s="40" t="s">
        <v>135</v>
      </c>
      <c r="D116" s="40" t="s">
        <v>908</v>
      </c>
      <c r="E116" s="40" t="s">
        <v>149</v>
      </c>
      <c r="F116" s="411">
        <f>'Пр.6 ведом.20'!G18</f>
        <v>977</v>
      </c>
    </row>
    <row r="117" spans="1:6" ht="15.75" x14ac:dyDescent="0.25">
      <c r="A117" s="29" t="s">
        <v>150</v>
      </c>
      <c r="B117" s="40" t="s">
        <v>133</v>
      </c>
      <c r="C117" s="40" t="s">
        <v>135</v>
      </c>
      <c r="D117" s="40" t="s">
        <v>908</v>
      </c>
      <c r="E117" s="40" t="s">
        <v>160</v>
      </c>
      <c r="F117" s="411">
        <f t="shared" ref="F117" si="21">F118</f>
        <v>28</v>
      </c>
    </row>
    <row r="118" spans="1:6" ht="15.75" x14ac:dyDescent="0.25">
      <c r="A118" s="29" t="s">
        <v>583</v>
      </c>
      <c r="B118" s="40" t="s">
        <v>133</v>
      </c>
      <c r="C118" s="40" t="s">
        <v>135</v>
      </c>
      <c r="D118" s="40" t="s">
        <v>908</v>
      </c>
      <c r="E118" s="40" t="s">
        <v>153</v>
      </c>
      <c r="F118" s="411">
        <f>'Пр.6 ведом.20'!G20</f>
        <v>28</v>
      </c>
    </row>
    <row r="119" spans="1:6" s="229" customFormat="1" ht="54" customHeight="1" x14ac:dyDescent="0.25">
      <c r="A119" s="25" t="s">
        <v>886</v>
      </c>
      <c r="B119" s="20" t="s">
        <v>133</v>
      </c>
      <c r="C119" s="20" t="s">
        <v>135</v>
      </c>
      <c r="D119" s="20" t="s">
        <v>910</v>
      </c>
      <c r="E119" s="20"/>
      <c r="F119" s="411">
        <f>F120</f>
        <v>335</v>
      </c>
    </row>
    <row r="120" spans="1:6" s="229" customFormat="1" ht="80.25" customHeight="1" x14ac:dyDescent="0.25">
      <c r="A120" s="25" t="s">
        <v>142</v>
      </c>
      <c r="B120" s="20" t="s">
        <v>133</v>
      </c>
      <c r="C120" s="20" t="s">
        <v>135</v>
      </c>
      <c r="D120" s="20" t="s">
        <v>910</v>
      </c>
      <c r="E120" s="20" t="s">
        <v>143</v>
      </c>
      <c r="F120" s="411">
        <f>F121</f>
        <v>335</v>
      </c>
    </row>
    <row r="121" spans="1:6" s="229" customFormat="1" ht="36" customHeight="1" x14ac:dyDescent="0.25">
      <c r="A121" s="25" t="s">
        <v>144</v>
      </c>
      <c r="B121" s="20" t="s">
        <v>133</v>
      </c>
      <c r="C121" s="20" t="s">
        <v>135</v>
      </c>
      <c r="D121" s="20" t="s">
        <v>910</v>
      </c>
      <c r="E121" s="20" t="s">
        <v>145</v>
      </c>
      <c r="F121" s="411">
        <f>'Пр.6 ведом.20'!G23+'Пр.6 ведом.20'!G92</f>
        <v>335</v>
      </c>
    </row>
    <row r="122" spans="1:6" s="229" customFormat="1" ht="20.25" customHeight="1" x14ac:dyDescent="0.25">
      <c r="A122" s="23" t="s">
        <v>1390</v>
      </c>
      <c r="B122" s="24" t="s">
        <v>133</v>
      </c>
      <c r="C122" s="24" t="s">
        <v>279</v>
      </c>
      <c r="D122" s="24"/>
      <c r="E122" s="20"/>
      <c r="F122" s="416">
        <f>F123</f>
        <v>158.38</v>
      </c>
    </row>
    <row r="123" spans="1:6" s="229" customFormat="1" ht="23.25" customHeight="1" x14ac:dyDescent="0.25">
      <c r="A123" s="23" t="s">
        <v>156</v>
      </c>
      <c r="B123" s="24" t="s">
        <v>133</v>
      </c>
      <c r="C123" s="24" t="s">
        <v>279</v>
      </c>
      <c r="D123" s="24" t="s">
        <v>914</v>
      </c>
      <c r="E123" s="20"/>
      <c r="F123" s="416">
        <f>F124</f>
        <v>158.38</v>
      </c>
    </row>
    <row r="124" spans="1:6" s="229" customFormat="1" ht="36" customHeight="1" x14ac:dyDescent="0.25">
      <c r="A124" s="23" t="s">
        <v>918</v>
      </c>
      <c r="B124" s="24" t="s">
        <v>133</v>
      </c>
      <c r="C124" s="24" t="s">
        <v>279</v>
      </c>
      <c r="D124" s="24" t="s">
        <v>913</v>
      </c>
      <c r="E124" s="20"/>
      <c r="F124" s="416">
        <f>F125</f>
        <v>158.38</v>
      </c>
    </row>
    <row r="125" spans="1:6" s="229" customFormat="1" ht="24" customHeight="1" x14ac:dyDescent="0.25">
      <c r="A125" s="45" t="s">
        <v>214</v>
      </c>
      <c r="B125" s="20" t="s">
        <v>133</v>
      </c>
      <c r="C125" s="20" t="s">
        <v>279</v>
      </c>
      <c r="D125" s="20" t="s">
        <v>1389</v>
      </c>
      <c r="E125" s="20"/>
      <c r="F125" s="415">
        <f>F126+F128</f>
        <v>158.38</v>
      </c>
    </row>
    <row r="126" spans="1:6" s="229" customFormat="1" ht="78.75" customHeight="1" x14ac:dyDescent="0.25">
      <c r="A126" s="25" t="s">
        <v>142</v>
      </c>
      <c r="B126" s="20" t="s">
        <v>133</v>
      </c>
      <c r="C126" s="20" t="s">
        <v>279</v>
      </c>
      <c r="D126" s="20" t="s">
        <v>1389</v>
      </c>
      <c r="E126" s="20" t="s">
        <v>143</v>
      </c>
      <c r="F126" s="415">
        <f>F127</f>
        <v>158.38</v>
      </c>
    </row>
    <row r="127" spans="1:6" s="229" customFormat="1" ht="36" customHeight="1" x14ac:dyDescent="0.25">
      <c r="A127" s="25" t="s">
        <v>144</v>
      </c>
      <c r="B127" s="20" t="s">
        <v>133</v>
      </c>
      <c r="C127" s="20" t="s">
        <v>279</v>
      </c>
      <c r="D127" s="20" t="s">
        <v>1389</v>
      </c>
      <c r="E127" s="20" t="s">
        <v>145</v>
      </c>
      <c r="F127" s="415">
        <f>'Пр.6 ведом.20'!G98</f>
        <v>158.38</v>
      </c>
    </row>
    <row r="128" spans="1:6" s="229" customFormat="1" ht="36" hidden="1" customHeight="1" x14ac:dyDescent="0.25">
      <c r="A128" s="25" t="s">
        <v>213</v>
      </c>
      <c r="B128" s="20" t="s">
        <v>133</v>
      </c>
      <c r="C128" s="20" t="s">
        <v>279</v>
      </c>
      <c r="D128" s="20" t="s">
        <v>1389</v>
      </c>
      <c r="E128" s="20" t="s">
        <v>147</v>
      </c>
      <c r="F128" s="415">
        <f>F129</f>
        <v>0</v>
      </c>
    </row>
    <row r="129" spans="1:10" s="229" customFormat="1" ht="36" hidden="1" customHeight="1" x14ac:dyDescent="0.25">
      <c r="A129" s="25" t="s">
        <v>148</v>
      </c>
      <c r="B129" s="20" t="s">
        <v>133</v>
      </c>
      <c r="C129" s="20" t="s">
        <v>279</v>
      </c>
      <c r="D129" s="20" t="s">
        <v>1389</v>
      </c>
      <c r="E129" s="20" t="s">
        <v>149</v>
      </c>
      <c r="F129" s="415">
        <f>'Пр.6 ведом.20'!G100</f>
        <v>0</v>
      </c>
    </row>
    <row r="130" spans="1:10" ht="15.75" x14ac:dyDescent="0.25">
      <c r="A130" s="41" t="s">
        <v>154</v>
      </c>
      <c r="B130" s="7" t="s">
        <v>133</v>
      </c>
      <c r="C130" s="7" t="s">
        <v>155</v>
      </c>
      <c r="D130" s="7"/>
      <c r="E130" s="7"/>
      <c r="F130" s="305">
        <f>F131+F159+F168+F191+F200+F205+F210</f>
        <v>48485.82</v>
      </c>
      <c r="H130" s="22"/>
      <c r="J130" s="22"/>
    </row>
    <row r="131" spans="1:10" s="229" customFormat="1" ht="15.75" x14ac:dyDescent="0.25">
      <c r="A131" s="23" t="s">
        <v>156</v>
      </c>
      <c r="B131" s="24" t="s">
        <v>133</v>
      </c>
      <c r="C131" s="24" t="s">
        <v>155</v>
      </c>
      <c r="D131" s="24" t="s">
        <v>914</v>
      </c>
      <c r="E131" s="24"/>
      <c r="F131" s="305">
        <f>F132+F143+F150</f>
        <v>47853</v>
      </c>
      <c r="H131" s="22"/>
      <c r="J131" s="22"/>
    </row>
    <row r="132" spans="1:10" s="229" customFormat="1" ht="15.75" x14ac:dyDescent="0.25">
      <c r="A132" s="23" t="s">
        <v>1095</v>
      </c>
      <c r="B132" s="24" t="s">
        <v>133</v>
      </c>
      <c r="C132" s="24" t="s">
        <v>155</v>
      </c>
      <c r="D132" s="24" t="s">
        <v>1094</v>
      </c>
      <c r="E132" s="24"/>
      <c r="F132" s="417">
        <f>F136+F133</f>
        <v>38273</v>
      </c>
      <c r="H132" s="22"/>
      <c r="J132" s="22"/>
    </row>
    <row r="133" spans="1:10" s="229" customFormat="1" ht="47.25" x14ac:dyDescent="0.25">
      <c r="A133" s="25" t="s">
        <v>886</v>
      </c>
      <c r="B133" s="20" t="s">
        <v>133</v>
      </c>
      <c r="C133" s="20" t="s">
        <v>155</v>
      </c>
      <c r="D133" s="20" t="s">
        <v>1097</v>
      </c>
      <c r="E133" s="20"/>
      <c r="F133" s="411">
        <f>F134</f>
        <v>672</v>
      </c>
      <c r="H133" s="22"/>
      <c r="J133" s="22"/>
    </row>
    <row r="134" spans="1:10" s="229" customFormat="1" ht="78.75" x14ac:dyDescent="0.25">
      <c r="A134" s="25" t="s">
        <v>142</v>
      </c>
      <c r="B134" s="20" t="s">
        <v>133</v>
      </c>
      <c r="C134" s="20" t="s">
        <v>155</v>
      </c>
      <c r="D134" s="20" t="s">
        <v>1097</v>
      </c>
      <c r="E134" s="20" t="s">
        <v>143</v>
      </c>
      <c r="F134" s="411">
        <f>F135</f>
        <v>672</v>
      </c>
      <c r="H134" s="22"/>
      <c r="J134" s="22"/>
    </row>
    <row r="135" spans="1:10" s="229" customFormat="1" ht="31.5" x14ac:dyDescent="0.25">
      <c r="A135" s="25" t="s">
        <v>144</v>
      </c>
      <c r="B135" s="20" t="s">
        <v>133</v>
      </c>
      <c r="C135" s="20" t="s">
        <v>155</v>
      </c>
      <c r="D135" s="20" t="s">
        <v>1097</v>
      </c>
      <c r="E135" s="20" t="s">
        <v>224</v>
      </c>
      <c r="F135" s="411">
        <f>'Пр.6 ведом.20'!G843</f>
        <v>672</v>
      </c>
      <c r="H135" s="22"/>
      <c r="J135" s="22"/>
    </row>
    <row r="136" spans="1:10" s="229" customFormat="1" ht="15.75" x14ac:dyDescent="0.25">
      <c r="A136" s="25" t="s">
        <v>834</v>
      </c>
      <c r="B136" s="20" t="s">
        <v>133</v>
      </c>
      <c r="C136" s="20" t="s">
        <v>155</v>
      </c>
      <c r="D136" s="20" t="s">
        <v>1096</v>
      </c>
      <c r="E136" s="20"/>
      <c r="F136" s="412">
        <f t="shared" ref="F136" si="22">F137+F139+F141</f>
        <v>37601</v>
      </c>
      <c r="H136" s="22"/>
      <c r="J136" s="22"/>
    </row>
    <row r="137" spans="1:10" s="229" customFormat="1" ht="78.75" x14ac:dyDescent="0.25">
      <c r="A137" s="25" t="s">
        <v>142</v>
      </c>
      <c r="B137" s="20" t="s">
        <v>133</v>
      </c>
      <c r="C137" s="20" t="s">
        <v>155</v>
      </c>
      <c r="D137" s="20" t="s">
        <v>1096</v>
      </c>
      <c r="E137" s="20" t="s">
        <v>143</v>
      </c>
      <c r="F137" s="412">
        <f t="shared" ref="F137" si="23">F138</f>
        <v>30180</v>
      </c>
      <c r="H137" s="22"/>
      <c r="J137" s="22"/>
    </row>
    <row r="138" spans="1:10" s="229" customFormat="1" ht="31.5" x14ac:dyDescent="0.25">
      <c r="A138" s="46" t="s">
        <v>357</v>
      </c>
      <c r="B138" s="20" t="s">
        <v>133</v>
      </c>
      <c r="C138" s="20" t="s">
        <v>155</v>
      </c>
      <c r="D138" s="20" t="s">
        <v>1096</v>
      </c>
      <c r="E138" s="20" t="s">
        <v>224</v>
      </c>
      <c r="F138" s="412">
        <f>'Пр.6 ведом.20'!G846</f>
        <v>30180</v>
      </c>
      <c r="H138" s="22"/>
      <c r="J138" s="22"/>
    </row>
    <row r="139" spans="1:10" s="229" customFormat="1" ht="31.5" x14ac:dyDescent="0.25">
      <c r="A139" s="25" t="s">
        <v>146</v>
      </c>
      <c r="B139" s="20" t="s">
        <v>133</v>
      </c>
      <c r="C139" s="20" t="s">
        <v>155</v>
      </c>
      <c r="D139" s="20" t="s">
        <v>1096</v>
      </c>
      <c r="E139" s="20" t="s">
        <v>147</v>
      </c>
      <c r="F139" s="412">
        <f t="shared" ref="F139" si="24">F140</f>
        <v>7000</v>
      </c>
      <c r="H139" s="22"/>
      <c r="J139" s="22"/>
    </row>
    <row r="140" spans="1:10" s="229" customFormat="1" ht="31.5" x14ac:dyDescent="0.25">
      <c r="A140" s="25" t="s">
        <v>148</v>
      </c>
      <c r="B140" s="20" t="s">
        <v>133</v>
      </c>
      <c r="C140" s="20" t="s">
        <v>155</v>
      </c>
      <c r="D140" s="20" t="s">
        <v>1096</v>
      </c>
      <c r="E140" s="20" t="s">
        <v>149</v>
      </c>
      <c r="F140" s="412">
        <f>'Пр.6 ведом.20'!G848</f>
        <v>7000</v>
      </c>
      <c r="H140" s="22"/>
      <c r="J140" s="22"/>
    </row>
    <row r="141" spans="1:10" s="229" customFormat="1" ht="15.75" x14ac:dyDescent="0.25">
      <c r="A141" s="25" t="s">
        <v>150</v>
      </c>
      <c r="B141" s="20" t="s">
        <v>133</v>
      </c>
      <c r="C141" s="20" t="s">
        <v>155</v>
      </c>
      <c r="D141" s="20" t="s">
        <v>1096</v>
      </c>
      <c r="E141" s="20" t="s">
        <v>160</v>
      </c>
      <c r="F141" s="412">
        <f t="shared" ref="F141" si="25">F142</f>
        <v>421</v>
      </c>
      <c r="H141" s="22"/>
      <c r="J141" s="22"/>
    </row>
    <row r="142" spans="1:10" s="229" customFormat="1" ht="15.75" x14ac:dyDescent="0.25">
      <c r="A142" s="25" t="s">
        <v>726</v>
      </c>
      <c r="B142" s="20" t="s">
        <v>133</v>
      </c>
      <c r="C142" s="20" t="s">
        <v>155</v>
      </c>
      <c r="D142" s="20" t="s">
        <v>1096</v>
      </c>
      <c r="E142" s="20" t="s">
        <v>153</v>
      </c>
      <c r="F142" s="412">
        <f>'Пр.6 ведом.20'!G850</f>
        <v>421</v>
      </c>
      <c r="H142" s="22"/>
      <c r="J142" s="22"/>
    </row>
    <row r="143" spans="1:10" s="229" customFormat="1" ht="31.5" x14ac:dyDescent="0.25">
      <c r="A143" s="23" t="s">
        <v>918</v>
      </c>
      <c r="B143" s="24" t="s">
        <v>133</v>
      </c>
      <c r="C143" s="24" t="s">
        <v>155</v>
      </c>
      <c r="D143" s="24" t="s">
        <v>913</v>
      </c>
      <c r="E143" s="24"/>
      <c r="F143" s="305">
        <f>F144+F147</f>
        <v>2900</v>
      </c>
      <c r="H143" s="22"/>
      <c r="J143" s="22"/>
    </row>
    <row r="144" spans="1:10" s="229" customFormat="1" ht="47.25" x14ac:dyDescent="0.25">
      <c r="A144" s="25" t="s">
        <v>403</v>
      </c>
      <c r="B144" s="20" t="s">
        <v>133</v>
      </c>
      <c r="C144" s="20" t="s">
        <v>155</v>
      </c>
      <c r="D144" s="20" t="s">
        <v>1175</v>
      </c>
      <c r="E144" s="20"/>
      <c r="F144" s="411">
        <f>F145</f>
        <v>2900</v>
      </c>
      <c r="H144" s="22"/>
      <c r="J144" s="22"/>
    </row>
    <row r="145" spans="1:10" s="229" customFormat="1" ht="31.5" x14ac:dyDescent="0.25">
      <c r="A145" s="25" t="s">
        <v>146</v>
      </c>
      <c r="B145" s="20" t="s">
        <v>133</v>
      </c>
      <c r="C145" s="20" t="s">
        <v>155</v>
      </c>
      <c r="D145" s="20" t="s">
        <v>1175</v>
      </c>
      <c r="E145" s="20" t="s">
        <v>147</v>
      </c>
      <c r="F145" s="411">
        <f>F146</f>
        <v>2900</v>
      </c>
      <c r="H145" s="22"/>
      <c r="J145" s="22"/>
    </row>
    <row r="146" spans="1:10" s="229" customFormat="1" ht="31.5" x14ac:dyDescent="0.25">
      <c r="A146" s="25" t="s">
        <v>148</v>
      </c>
      <c r="B146" s="20" t="s">
        <v>133</v>
      </c>
      <c r="C146" s="20" t="s">
        <v>155</v>
      </c>
      <c r="D146" s="20" t="s">
        <v>1175</v>
      </c>
      <c r="E146" s="20" t="s">
        <v>149</v>
      </c>
      <c r="F146" s="411">
        <f>'Пр.6 ведом.20'!G504</f>
        <v>2900</v>
      </c>
      <c r="H146" s="22"/>
      <c r="J146" s="22"/>
    </row>
    <row r="147" spans="1:10" s="229" customFormat="1" ht="31.5" hidden="1" x14ac:dyDescent="0.25">
      <c r="A147" s="25" t="s">
        <v>1008</v>
      </c>
      <c r="B147" s="20" t="s">
        <v>133</v>
      </c>
      <c r="C147" s="20" t="s">
        <v>155</v>
      </c>
      <c r="D147" s="20" t="s">
        <v>1176</v>
      </c>
      <c r="E147" s="20"/>
      <c r="F147" s="411">
        <f>F148</f>
        <v>0</v>
      </c>
      <c r="H147" s="22"/>
      <c r="J147" s="22"/>
    </row>
    <row r="148" spans="1:10" s="229" customFormat="1" ht="31.5" hidden="1" x14ac:dyDescent="0.25">
      <c r="A148" s="25" t="s">
        <v>146</v>
      </c>
      <c r="B148" s="20" t="s">
        <v>133</v>
      </c>
      <c r="C148" s="20" t="s">
        <v>155</v>
      </c>
      <c r="D148" s="20" t="s">
        <v>1176</v>
      </c>
      <c r="E148" s="20" t="s">
        <v>147</v>
      </c>
      <c r="F148" s="411">
        <f>F149</f>
        <v>0</v>
      </c>
      <c r="H148" s="22"/>
      <c r="J148" s="22"/>
    </row>
    <row r="149" spans="1:10" s="229" customFormat="1" ht="31.5" hidden="1" x14ac:dyDescent="0.25">
      <c r="A149" s="25" t="s">
        <v>148</v>
      </c>
      <c r="B149" s="20" t="s">
        <v>133</v>
      </c>
      <c r="C149" s="20" t="s">
        <v>155</v>
      </c>
      <c r="D149" s="20" t="s">
        <v>1176</v>
      </c>
      <c r="E149" s="20" t="s">
        <v>149</v>
      </c>
      <c r="F149" s="411">
        <f>'Пр.6 ведом.20'!G507</f>
        <v>0</v>
      </c>
      <c r="H149" s="22"/>
      <c r="J149" s="22"/>
    </row>
    <row r="150" spans="1:10" s="229" customFormat="1" ht="31.5" x14ac:dyDescent="0.25">
      <c r="A150" s="23" t="s">
        <v>999</v>
      </c>
      <c r="B150" s="24" t="s">
        <v>133</v>
      </c>
      <c r="C150" s="24" t="s">
        <v>155</v>
      </c>
      <c r="D150" s="24" t="s">
        <v>915</v>
      </c>
      <c r="E150" s="24"/>
      <c r="F150" s="305">
        <f>F151+F156</f>
        <v>6680</v>
      </c>
      <c r="H150" s="22"/>
      <c r="J150" s="22"/>
    </row>
    <row r="151" spans="1:10" s="229" customFormat="1" ht="31.5" x14ac:dyDescent="0.25">
      <c r="A151" s="25" t="s">
        <v>1005</v>
      </c>
      <c r="B151" s="20" t="s">
        <v>133</v>
      </c>
      <c r="C151" s="20" t="s">
        <v>155</v>
      </c>
      <c r="D151" s="20" t="s">
        <v>916</v>
      </c>
      <c r="E151" s="20"/>
      <c r="F151" s="411">
        <f>F152+F154</f>
        <v>6554</v>
      </c>
      <c r="H151" s="22"/>
      <c r="J151" s="22"/>
    </row>
    <row r="152" spans="1:10" s="229" customFormat="1" ht="78.75" x14ac:dyDescent="0.25">
      <c r="A152" s="25" t="s">
        <v>142</v>
      </c>
      <c r="B152" s="20" t="s">
        <v>133</v>
      </c>
      <c r="C152" s="20" t="s">
        <v>155</v>
      </c>
      <c r="D152" s="20" t="s">
        <v>916</v>
      </c>
      <c r="E152" s="20" t="s">
        <v>143</v>
      </c>
      <c r="F152" s="411">
        <f>F153</f>
        <v>5343</v>
      </c>
      <c r="H152" s="22"/>
      <c r="J152" s="22"/>
    </row>
    <row r="153" spans="1:10" s="229" customFormat="1" ht="15.75" x14ac:dyDescent="0.25">
      <c r="A153" s="25" t="s">
        <v>223</v>
      </c>
      <c r="B153" s="20" t="s">
        <v>133</v>
      </c>
      <c r="C153" s="20" t="s">
        <v>155</v>
      </c>
      <c r="D153" s="20" t="s">
        <v>916</v>
      </c>
      <c r="E153" s="20" t="s">
        <v>224</v>
      </c>
      <c r="F153" s="411">
        <f>'Пр.6 ведом.20'!G106</f>
        <v>5343</v>
      </c>
      <c r="H153" s="22"/>
      <c r="J153" s="22"/>
    </row>
    <row r="154" spans="1:10" s="229" customFormat="1" ht="31.5" x14ac:dyDescent="0.25">
      <c r="A154" s="25" t="s">
        <v>213</v>
      </c>
      <c r="B154" s="20" t="s">
        <v>133</v>
      </c>
      <c r="C154" s="20" t="s">
        <v>155</v>
      </c>
      <c r="D154" s="20" t="s">
        <v>916</v>
      </c>
      <c r="E154" s="20" t="s">
        <v>147</v>
      </c>
      <c r="F154" s="411">
        <f>F155</f>
        <v>1211</v>
      </c>
      <c r="H154" s="22"/>
      <c r="J154" s="22"/>
    </row>
    <row r="155" spans="1:10" s="229" customFormat="1" ht="31.5" x14ac:dyDescent="0.25">
      <c r="A155" s="25" t="s">
        <v>148</v>
      </c>
      <c r="B155" s="20" t="s">
        <v>133</v>
      </c>
      <c r="C155" s="20" t="s">
        <v>155</v>
      </c>
      <c r="D155" s="20" t="s">
        <v>916</v>
      </c>
      <c r="E155" s="20" t="s">
        <v>149</v>
      </c>
      <c r="F155" s="411">
        <f>'Пр.6 ведом.20'!G108</f>
        <v>1211</v>
      </c>
      <c r="H155" s="22"/>
      <c r="J155" s="22"/>
    </row>
    <row r="156" spans="1:10" s="229" customFormat="1" ht="47.25" x14ac:dyDescent="0.25">
      <c r="A156" s="25" t="s">
        <v>886</v>
      </c>
      <c r="B156" s="20" t="s">
        <v>133</v>
      </c>
      <c r="C156" s="20" t="s">
        <v>155</v>
      </c>
      <c r="D156" s="20" t="s">
        <v>917</v>
      </c>
      <c r="E156" s="20"/>
      <c r="F156" s="411">
        <f>F157</f>
        <v>126</v>
      </c>
      <c r="H156" s="22"/>
      <c r="J156" s="22"/>
    </row>
    <row r="157" spans="1:10" s="229" customFormat="1" ht="78.75" x14ac:dyDescent="0.25">
      <c r="A157" s="25" t="s">
        <v>142</v>
      </c>
      <c r="B157" s="20" t="s">
        <v>133</v>
      </c>
      <c r="C157" s="20" t="s">
        <v>155</v>
      </c>
      <c r="D157" s="20" t="s">
        <v>917</v>
      </c>
      <c r="E157" s="20" t="s">
        <v>143</v>
      </c>
      <c r="F157" s="411">
        <f>F158</f>
        <v>126</v>
      </c>
      <c r="H157" s="22"/>
      <c r="J157" s="22"/>
    </row>
    <row r="158" spans="1:10" s="229" customFormat="1" ht="31.5" x14ac:dyDescent="0.25">
      <c r="A158" s="25" t="s">
        <v>144</v>
      </c>
      <c r="B158" s="20" t="s">
        <v>133</v>
      </c>
      <c r="C158" s="20" t="s">
        <v>155</v>
      </c>
      <c r="D158" s="20" t="s">
        <v>917</v>
      </c>
      <c r="E158" s="20" t="s">
        <v>145</v>
      </c>
      <c r="F158" s="411">
        <f>'Пр.6 ведом.20'!G111</f>
        <v>126</v>
      </c>
      <c r="H158" s="22"/>
      <c r="J158" s="22"/>
    </row>
    <row r="159" spans="1:10" ht="47.25" x14ac:dyDescent="0.25">
      <c r="A159" s="23" t="s">
        <v>358</v>
      </c>
      <c r="B159" s="7" t="s">
        <v>133</v>
      </c>
      <c r="C159" s="7" t="s">
        <v>155</v>
      </c>
      <c r="D159" s="7" t="s">
        <v>359</v>
      </c>
      <c r="E159" s="7"/>
      <c r="F159" s="305">
        <f>F160</f>
        <v>60</v>
      </c>
      <c r="G159" s="22"/>
    </row>
    <row r="160" spans="1:10" ht="94.5" x14ac:dyDescent="0.25">
      <c r="A160" s="41" t="s">
        <v>395</v>
      </c>
      <c r="B160" s="7" t="s">
        <v>133</v>
      </c>
      <c r="C160" s="7" t="s">
        <v>155</v>
      </c>
      <c r="D160" s="7" t="s">
        <v>396</v>
      </c>
      <c r="E160" s="7"/>
      <c r="F160" s="305">
        <f>F161</f>
        <v>60</v>
      </c>
      <c r="G160" s="22"/>
    </row>
    <row r="161" spans="1:10" s="229" customFormat="1" ht="63" x14ac:dyDescent="0.25">
      <c r="A161" s="349" t="s">
        <v>1230</v>
      </c>
      <c r="B161" s="7" t="s">
        <v>133</v>
      </c>
      <c r="C161" s="7" t="s">
        <v>155</v>
      </c>
      <c r="D161" s="7" t="s">
        <v>935</v>
      </c>
      <c r="E161" s="7"/>
      <c r="F161" s="305">
        <f>F162+F165</f>
        <v>60</v>
      </c>
      <c r="G161" s="22"/>
    </row>
    <row r="162" spans="1:10" ht="31.5" x14ac:dyDescent="0.25">
      <c r="A162" s="101" t="s">
        <v>1231</v>
      </c>
      <c r="B162" s="40" t="s">
        <v>133</v>
      </c>
      <c r="C162" s="40" t="s">
        <v>155</v>
      </c>
      <c r="D162" s="40" t="s">
        <v>936</v>
      </c>
      <c r="E162" s="40"/>
      <c r="F162" s="411">
        <f t="shared" ref="F162:F163" si="26">F163</f>
        <v>60</v>
      </c>
    </row>
    <row r="163" spans="1:10" ht="31.5" x14ac:dyDescent="0.25">
      <c r="A163" s="29" t="s">
        <v>146</v>
      </c>
      <c r="B163" s="40" t="s">
        <v>133</v>
      </c>
      <c r="C163" s="40" t="s">
        <v>155</v>
      </c>
      <c r="D163" s="40" t="s">
        <v>936</v>
      </c>
      <c r="E163" s="40" t="s">
        <v>147</v>
      </c>
      <c r="F163" s="411">
        <f t="shared" si="26"/>
        <v>60</v>
      </c>
    </row>
    <row r="164" spans="1:10" ht="31.5" x14ac:dyDescent="0.25">
      <c r="A164" s="29" t="s">
        <v>148</v>
      </c>
      <c r="B164" s="40" t="s">
        <v>133</v>
      </c>
      <c r="C164" s="40" t="s">
        <v>155</v>
      </c>
      <c r="D164" s="40" t="s">
        <v>936</v>
      </c>
      <c r="E164" s="40" t="s">
        <v>149</v>
      </c>
      <c r="F164" s="411">
        <f>'Пр.6 ведом.20'!G216</f>
        <v>60</v>
      </c>
    </row>
    <row r="165" spans="1:10" ht="47.25" hidden="1" x14ac:dyDescent="0.25">
      <c r="A165" s="35" t="s">
        <v>938</v>
      </c>
      <c r="B165" s="20" t="s">
        <v>133</v>
      </c>
      <c r="C165" s="20" t="s">
        <v>155</v>
      </c>
      <c r="D165" s="20" t="s">
        <v>937</v>
      </c>
      <c r="E165" s="24"/>
      <c r="F165" s="411">
        <f>F166</f>
        <v>0</v>
      </c>
    </row>
    <row r="166" spans="1:10" ht="31.5" hidden="1" x14ac:dyDescent="0.25">
      <c r="A166" s="25" t="s">
        <v>146</v>
      </c>
      <c r="B166" s="20" t="s">
        <v>133</v>
      </c>
      <c r="C166" s="20" t="s">
        <v>155</v>
      </c>
      <c r="D166" s="20" t="s">
        <v>937</v>
      </c>
      <c r="E166" s="20" t="s">
        <v>147</v>
      </c>
      <c r="F166" s="411">
        <f>F167</f>
        <v>0</v>
      </c>
      <c r="J166" s="22"/>
    </row>
    <row r="167" spans="1:10" ht="31.5" hidden="1" x14ac:dyDescent="0.25">
      <c r="A167" s="25" t="s">
        <v>148</v>
      </c>
      <c r="B167" s="20" t="s">
        <v>133</v>
      </c>
      <c r="C167" s="20" t="s">
        <v>155</v>
      </c>
      <c r="D167" s="20" t="s">
        <v>937</v>
      </c>
      <c r="E167" s="20" t="s">
        <v>149</v>
      </c>
      <c r="F167" s="411">
        <f>'Пр.6 ведом.20'!G219</f>
        <v>0</v>
      </c>
    </row>
    <row r="168" spans="1:10" ht="47.25" x14ac:dyDescent="0.25">
      <c r="A168" s="23" t="s">
        <v>349</v>
      </c>
      <c r="B168" s="24" t="s">
        <v>133</v>
      </c>
      <c r="C168" s="24" t="s">
        <v>155</v>
      </c>
      <c r="D168" s="24" t="s">
        <v>350</v>
      </c>
      <c r="E168" s="24"/>
      <c r="F168" s="325">
        <f>F169</f>
        <v>175</v>
      </c>
    </row>
    <row r="169" spans="1:10" ht="31.5" x14ac:dyDescent="0.25">
      <c r="A169" s="23" t="s">
        <v>1236</v>
      </c>
      <c r="B169" s="24" t="s">
        <v>133</v>
      </c>
      <c r="C169" s="24" t="s">
        <v>155</v>
      </c>
      <c r="D169" s="24" t="s">
        <v>1237</v>
      </c>
      <c r="E169" s="24"/>
      <c r="F169" s="325">
        <f>F170+F176+F179+F182+F188+F173+F185</f>
        <v>175</v>
      </c>
    </row>
    <row r="170" spans="1:10" ht="31.5" x14ac:dyDescent="0.25">
      <c r="A170" s="100" t="s">
        <v>351</v>
      </c>
      <c r="B170" s="20" t="s">
        <v>133</v>
      </c>
      <c r="C170" s="20" t="s">
        <v>155</v>
      </c>
      <c r="D170" s="20" t="s">
        <v>1238</v>
      </c>
      <c r="E170" s="20"/>
      <c r="F170" s="326">
        <f t="shared" ref="F170" si="27">F171</f>
        <v>120</v>
      </c>
    </row>
    <row r="171" spans="1:10" ht="31.5" x14ac:dyDescent="0.25">
      <c r="A171" s="25" t="s">
        <v>146</v>
      </c>
      <c r="B171" s="20" t="s">
        <v>133</v>
      </c>
      <c r="C171" s="20" t="s">
        <v>155</v>
      </c>
      <c r="D171" s="20" t="s">
        <v>1238</v>
      </c>
      <c r="E171" s="20" t="s">
        <v>147</v>
      </c>
      <c r="F171" s="326">
        <f>F172</f>
        <v>120</v>
      </c>
    </row>
    <row r="172" spans="1:10" ht="31.5" x14ac:dyDescent="0.25">
      <c r="A172" s="25" t="s">
        <v>148</v>
      </c>
      <c r="B172" s="20" t="s">
        <v>133</v>
      </c>
      <c r="C172" s="20" t="s">
        <v>155</v>
      </c>
      <c r="D172" s="20" t="s">
        <v>1238</v>
      </c>
      <c r="E172" s="20" t="s">
        <v>149</v>
      </c>
      <c r="F172" s="326">
        <f>'Пр.6 ведом.20'!G536+'Пр.6 ведом.20'!G224+'Пр.6 ведом.20'!G766</f>
        <v>120</v>
      </c>
    </row>
    <row r="173" spans="1:10" s="229" customFormat="1" ht="47.25" x14ac:dyDescent="0.25">
      <c r="A173" s="100" t="s">
        <v>833</v>
      </c>
      <c r="B173" s="20" t="s">
        <v>133</v>
      </c>
      <c r="C173" s="20" t="s">
        <v>155</v>
      </c>
      <c r="D173" s="20" t="s">
        <v>1243</v>
      </c>
      <c r="E173" s="20"/>
      <c r="F173" s="326">
        <f>F174</f>
        <v>0</v>
      </c>
    </row>
    <row r="174" spans="1:10" s="229" customFormat="1" ht="31.5" x14ac:dyDescent="0.25">
      <c r="A174" s="25" t="s">
        <v>146</v>
      </c>
      <c r="B174" s="20" t="s">
        <v>133</v>
      </c>
      <c r="C174" s="20" t="s">
        <v>155</v>
      </c>
      <c r="D174" s="20" t="s">
        <v>1243</v>
      </c>
      <c r="E174" s="20" t="s">
        <v>147</v>
      </c>
      <c r="F174" s="326">
        <f>F175</f>
        <v>0</v>
      </c>
    </row>
    <row r="175" spans="1:10" s="229" customFormat="1" ht="37.5" customHeight="1" x14ac:dyDescent="0.25">
      <c r="A175" s="25" t="s">
        <v>148</v>
      </c>
      <c r="B175" s="20" t="s">
        <v>133</v>
      </c>
      <c r="C175" s="20" t="s">
        <v>155</v>
      </c>
      <c r="D175" s="20" t="s">
        <v>1243</v>
      </c>
      <c r="E175" s="20" t="s">
        <v>149</v>
      </c>
      <c r="F175" s="326">
        <v>0</v>
      </c>
    </row>
    <row r="176" spans="1:10" ht="31.5" x14ac:dyDescent="0.25">
      <c r="A176" s="25" t="s">
        <v>353</v>
      </c>
      <c r="B176" s="20" t="s">
        <v>133</v>
      </c>
      <c r="C176" s="20" t="s">
        <v>155</v>
      </c>
      <c r="D176" s="20" t="s">
        <v>1239</v>
      </c>
      <c r="E176" s="20"/>
      <c r="F176" s="326">
        <f>F177</f>
        <v>25</v>
      </c>
    </row>
    <row r="177" spans="1:6" ht="31.5" x14ac:dyDescent="0.25">
      <c r="A177" s="25" t="s">
        <v>146</v>
      </c>
      <c r="B177" s="20" t="s">
        <v>133</v>
      </c>
      <c r="C177" s="20" t="s">
        <v>155</v>
      </c>
      <c r="D177" s="20" t="s">
        <v>1239</v>
      </c>
      <c r="E177" s="20" t="s">
        <v>147</v>
      </c>
      <c r="F177" s="326">
        <f>F178</f>
        <v>25</v>
      </c>
    </row>
    <row r="178" spans="1:6" ht="39" customHeight="1" x14ac:dyDescent="0.25">
      <c r="A178" s="25" t="s">
        <v>148</v>
      </c>
      <c r="B178" s="20" t="s">
        <v>133</v>
      </c>
      <c r="C178" s="20" t="s">
        <v>155</v>
      </c>
      <c r="D178" s="20" t="s">
        <v>1239</v>
      </c>
      <c r="E178" s="20" t="s">
        <v>149</v>
      </c>
      <c r="F178" s="326">
        <f>'Пр.6 ведом.20'!G227</f>
        <v>25</v>
      </c>
    </row>
    <row r="179" spans="1:6" ht="47.25" x14ac:dyDescent="0.25">
      <c r="A179" s="31" t="s">
        <v>793</v>
      </c>
      <c r="B179" s="20" t="s">
        <v>133</v>
      </c>
      <c r="C179" s="20" t="s">
        <v>155</v>
      </c>
      <c r="D179" s="20" t="s">
        <v>1240</v>
      </c>
      <c r="E179" s="20"/>
      <c r="F179" s="326">
        <f t="shared" ref="F179" si="28">F180</f>
        <v>10</v>
      </c>
    </row>
    <row r="180" spans="1:6" ht="31.5" x14ac:dyDescent="0.25">
      <c r="A180" s="25" t="s">
        <v>146</v>
      </c>
      <c r="B180" s="20" t="s">
        <v>133</v>
      </c>
      <c r="C180" s="20" t="s">
        <v>155</v>
      </c>
      <c r="D180" s="20" t="s">
        <v>1240</v>
      </c>
      <c r="E180" s="20" t="s">
        <v>147</v>
      </c>
      <c r="F180" s="326">
        <f>F181</f>
        <v>10</v>
      </c>
    </row>
    <row r="181" spans="1:6" ht="31.5" x14ac:dyDescent="0.25">
      <c r="A181" s="25" t="s">
        <v>148</v>
      </c>
      <c r="B181" s="20" t="s">
        <v>133</v>
      </c>
      <c r="C181" s="20" t="s">
        <v>155</v>
      </c>
      <c r="D181" s="20" t="s">
        <v>1240</v>
      </c>
      <c r="E181" s="20" t="s">
        <v>149</v>
      </c>
      <c r="F181" s="326">
        <f>'Пр.6 ведом.20'!G230</f>
        <v>10</v>
      </c>
    </row>
    <row r="182" spans="1:6" ht="15.75" hidden="1" x14ac:dyDescent="0.25">
      <c r="A182" s="25" t="s">
        <v>1149</v>
      </c>
      <c r="B182" s="20" t="s">
        <v>133</v>
      </c>
      <c r="C182" s="20" t="s">
        <v>155</v>
      </c>
      <c r="D182" s="20" t="s">
        <v>1241</v>
      </c>
      <c r="E182" s="20"/>
      <c r="F182" s="326">
        <f t="shared" ref="F182" si="29">F183</f>
        <v>0</v>
      </c>
    </row>
    <row r="183" spans="1:6" ht="31.5" hidden="1" x14ac:dyDescent="0.25">
      <c r="A183" s="25" t="s">
        <v>146</v>
      </c>
      <c r="B183" s="20" t="s">
        <v>133</v>
      </c>
      <c r="C183" s="20" t="s">
        <v>155</v>
      </c>
      <c r="D183" s="20" t="s">
        <v>1241</v>
      </c>
      <c r="E183" s="20" t="s">
        <v>147</v>
      </c>
      <c r="F183" s="326">
        <f>F184</f>
        <v>0</v>
      </c>
    </row>
    <row r="184" spans="1:6" ht="31.5" hidden="1" x14ac:dyDescent="0.25">
      <c r="A184" s="25" t="s">
        <v>148</v>
      </c>
      <c r="B184" s="20" t="s">
        <v>133</v>
      </c>
      <c r="C184" s="20" t="s">
        <v>155</v>
      </c>
      <c r="D184" s="20" t="s">
        <v>1241</v>
      </c>
      <c r="E184" s="20" t="s">
        <v>149</v>
      </c>
      <c r="F184" s="326">
        <f>'Пр.6 ведом.20'!G233</f>
        <v>0</v>
      </c>
    </row>
    <row r="185" spans="1:6" s="229" customFormat="1" ht="21.75" hidden="1" customHeight="1" x14ac:dyDescent="0.25">
      <c r="A185" s="31" t="s">
        <v>1270</v>
      </c>
      <c r="B185" s="20" t="s">
        <v>133</v>
      </c>
      <c r="C185" s="20" t="s">
        <v>155</v>
      </c>
      <c r="D185" s="20" t="s">
        <v>1271</v>
      </c>
      <c r="E185" s="20"/>
      <c r="F185" s="326">
        <f>F186</f>
        <v>0</v>
      </c>
    </row>
    <row r="186" spans="1:6" s="229" customFormat="1" ht="31.5" hidden="1" x14ac:dyDescent="0.25">
      <c r="A186" s="25" t="s">
        <v>146</v>
      </c>
      <c r="B186" s="20" t="s">
        <v>133</v>
      </c>
      <c r="C186" s="20" t="s">
        <v>155</v>
      </c>
      <c r="D186" s="20" t="s">
        <v>1271</v>
      </c>
      <c r="E186" s="20" t="s">
        <v>147</v>
      </c>
      <c r="F186" s="326">
        <f>F187</f>
        <v>0</v>
      </c>
    </row>
    <row r="187" spans="1:6" s="229" customFormat="1" ht="31.5" hidden="1" x14ac:dyDescent="0.25">
      <c r="A187" s="25" t="s">
        <v>148</v>
      </c>
      <c r="B187" s="20" t="s">
        <v>133</v>
      </c>
      <c r="C187" s="20" t="s">
        <v>155</v>
      </c>
      <c r="D187" s="20" t="s">
        <v>1271</v>
      </c>
      <c r="E187" s="20" t="s">
        <v>149</v>
      </c>
      <c r="F187" s="326">
        <v>0</v>
      </c>
    </row>
    <row r="188" spans="1:6" ht="31.5" x14ac:dyDescent="0.25">
      <c r="A188" s="31" t="s">
        <v>794</v>
      </c>
      <c r="B188" s="20" t="s">
        <v>133</v>
      </c>
      <c r="C188" s="20" t="s">
        <v>155</v>
      </c>
      <c r="D188" s="20" t="s">
        <v>1242</v>
      </c>
      <c r="E188" s="20"/>
      <c r="F188" s="326">
        <f>F189</f>
        <v>20</v>
      </c>
    </row>
    <row r="189" spans="1:6" ht="31.5" x14ac:dyDescent="0.25">
      <c r="A189" s="25" t="s">
        <v>146</v>
      </c>
      <c r="B189" s="20" t="s">
        <v>133</v>
      </c>
      <c r="C189" s="20" t="s">
        <v>155</v>
      </c>
      <c r="D189" s="20" t="s">
        <v>1242</v>
      </c>
      <c r="E189" s="20" t="s">
        <v>147</v>
      </c>
      <c r="F189" s="326">
        <f>F190</f>
        <v>20</v>
      </c>
    </row>
    <row r="190" spans="1:6" ht="31.5" x14ac:dyDescent="0.25">
      <c r="A190" s="25" t="s">
        <v>148</v>
      </c>
      <c r="B190" s="20" t="s">
        <v>133</v>
      </c>
      <c r="C190" s="20" t="s">
        <v>155</v>
      </c>
      <c r="D190" s="20" t="s">
        <v>1242</v>
      </c>
      <c r="E190" s="20" t="s">
        <v>149</v>
      </c>
      <c r="F190" s="326">
        <f>'Пр.6 ведом.20'!G236</f>
        <v>20</v>
      </c>
    </row>
    <row r="191" spans="1:6" ht="63" x14ac:dyDescent="0.25">
      <c r="A191" s="41" t="s">
        <v>729</v>
      </c>
      <c r="B191" s="8" t="s">
        <v>133</v>
      </c>
      <c r="C191" s="8" t="s">
        <v>155</v>
      </c>
      <c r="D191" s="24" t="s">
        <v>727</v>
      </c>
      <c r="E191" s="285"/>
      <c r="F191" s="325">
        <f>F192+F196</f>
        <v>48</v>
      </c>
    </row>
    <row r="192" spans="1:6" s="229" customFormat="1" ht="47.25" x14ac:dyDescent="0.25">
      <c r="A192" s="273" t="s">
        <v>894</v>
      </c>
      <c r="B192" s="24" t="s">
        <v>133</v>
      </c>
      <c r="C192" s="24" t="s">
        <v>155</v>
      </c>
      <c r="D192" s="24" t="s">
        <v>900</v>
      </c>
      <c r="E192" s="24"/>
      <c r="F192" s="325">
        <f>F193</f>
        <v>33</v>
      </c>
    </row>
    <row r="193" spans="1:6" ht="39.75" customHeight="1" x14ac:dyDescent="0.25">
      <c r="A193" s="101" t="s">
        <v>798</v>
      </c>
      <c r="B193" s="20" t="s">
        <v>133</v>
      </c>
      <c r="C193" s="20" t="s">
        <v>155</v>
      </c>
      <c r="D193" s="20" t="s">
        <v>895</v>
      </c>
      <c r="E193" s="20"/>
      <c r="F193" s="326">
        <f t="shared" ref="F193:F194" si="30">F194</f>
        <v>33</v>
      </c>
    </row>
    <row r="194" spans="1:6" ht="31.5" x14ac:dyDescent="0.25">
      <c r="A194" s="25" t="s">
        <v>146</v>
      </c>
      <c r="B194" s="20" t="s">
        <v>133</v>
      </c>
      <c r="C194" s="20" t="s">
        <v>155</v>
      </c>
      <c r="D194" s="20" t="s">
        <v>895</v>
      </c>
      <c r="E194" s="20" t="s">
        <v>147</v>
      </c>
      <c r="F194" s="326">
        <f t="shared" si="30"/>
        <v>33</v>
      </c>
    </row>
    <row r="195" spans="1:6" ht="31.5" x14ac:dyDescent="0.25">
      <c r="A195" s="25" t="s">
        <v>148</v>
      </c>
      <c r="B195" s="20" t="s">
        <v>133</v>
      </c>
      <c r="C195" s="20" t="s">
        <v>155</v>
      </c>
      <c r="D195" s="20" t="s">
        <v>895</v>
      </c>
      <c r="E195" s="20" t="s">
        <v>149</v>
      </c>
      <c r="F195" s="326">
        <f>'Пр.6 ведом.20'!G241+'Пр.6 ведом.20'!G116</f>
        <v>33</v>
      </c>
    </row>
    <row r="196" spans="1:6" s="229" customFormat="1" ht="31.5" x14ac:dyDescent="0.25">
      <c r="A196" s="274" t="s">
        <v>1195</v>
      </c>
      <c r="B196" s="24" t="s">
        <v>133</v>
      </c>
      <c r="C196" s="24" t="s">
        <v>155</v>
      </c>
      <c r="D196" s="24" t="s">
        <v>901</v>
      </c>
      <c r="E196" s="285"/>
      <c r="F196" s="325">
        <f>F197</f>
        <v>15</v>
      </c>
    </row>
    <row r="197" spans="1:6" ht="33" customHeight="1" x14ac:dyDescent="0.25">
      <c r="A197" s="101" t="s">
        <v>799</v>
      </c>
      <c r="B197" s="20" t="s">
        <v>133</v>
      </c>
      <c r="C197" s="20" t="s">
        <v>155</v>
      </c>
      <c r="D197" s="20" t="s">
        <v>896</v>
      </c>
      <c r="E197" s="32"/>
      <c r="F197" s="326">
        <f t="shared" ref="F197:F198" si="31">F198</f>
        <v>15</v>
      </c>
    </row>
    <row r="198" spans="1:6" ht="31.5" customHeight="1" x14ac:dyDescent="0.25">
      <c r="A198" s="25" t="s">
        <v>146</v>
      </c>
      <c r="B198" s="20" t="s">
        <v>133</v>
      </c>
      <c r="C198" s="20" t="s">
        <v>155</v>
      </c>
      <c r="D198" s="20" t="s">
        <v>896</v>
      </c>
      <c r="E198" s="32" t="s">
        <v>147</v>
      </c>
      <c r="F198" s="326">
        <f t="shared" si="31"/>
        <v>15</v>
      </c>
    </row>
    <row r="199" spans="1:6" ht="40.5" customHeight="1" x14ac:dyDescent="0.25">
      <c r="A199" s="25" t="s">
        <v>148</v>
      </c>
      <c r="B199" s="20" t="s">
        <v>133</v>
      </c>
      <c r="C199" s="20" t="s">
        <v>155</v>
      </c>
      <c r="D199" s="20" t="s">
        <v>896</v>
      </c>
      <c r="E199" s="32" t="s">
        <v>149</v>
      </c>
      <c r="F199" s="326">
        <f>'Пр.6 ведом.20'!G120</f>
        <v>15</v>
      </c>
    </row>
    <row r="200" spans="1:6" ht="63" x14ac:dyDescent="0.25">
      <c r="A200" s="279" t="s">
        <v>803</v>
      </c>
      <c r="B200" s="24" t="s">
        <v>133</v>
      </c>
      <c r="C200" s="24" t="s">
        <v>155</v>
      </c>
      <c r="D200" s="24" t="s">
        <v>805</v>
      </c>
      <c r="E200" s="285"/>
      <c r="F200" s="325">
        <f>F202</f>
        <v>239.82</v>
      </c>
    </row>
    <row r="201" spans="1:6" s="229" customFormat="1" ht="31.5" x14ac:dyDescent="0.25">
      <c r="A201" s="23" t="s">
        <v>1007</v>
      </c>
      <c r="B201" s="24" t="s">
        <v>133</v>
      </c>
      <c r="C201" s="24" t="s">
        <v>155</v>
      </c>
      <c r="D201" s="24" t="s">
        <v>1189</v>
      </c>
      <c r="E201" s="285"/>
      <c r="F201" s="325">
        <f>F202</f>
        <v>239.82</v>
      </c>
    </row>
    <row r="202" spans="1:6" ht="31.5" x14ac:dyDescent="0.25">
      <c r="A202" s="195" t="s">
        <v>815</v>
      </c>
      <c r="B202" s="20" t="s">
        <v>133</v>
      </c>
      <c r="C202" s="20" t="s">
        <v>155</v>
      </c>
      <c r="D202" s="20" t="s">
        <v>1190</v>
      </c>
      <c r="E202" s="32"/>
      <c r="F202" s="326">
        <f>F203</f>
        <v>239.82</v>
      </c>
    </row>
    <row r="203" spans="1:6" ht="31.5" x14ac:dyDescent="0.25">
      <c r="A203" s="195" t="s">
        <v>146</v>
      </c>
      <c r="B203" s="20" t="s">
        <v>133</v>
      </c>
      <c r="C203" s="20" t="s">
        <v>155</v>
      </c>
      <c r="D203" s="20" t="s">
        <v>1190</v>
      </c>
      <c r="E203" s="32" t="s">
        <v>147</v>
      </c>
      <c r="F203" s="326">
        <f>F204</f>
        <v>239.82</v>
      </c>
    </row>
    <row r="204" spans="1:6" ht="31.5" x14ac:dyDescent="0.25">
      <c r="A204" s="195" t="s">
        <v>148</v>
      </c>
      <c r="B204" s="20" t="s">
        <v>133</v>
      </c>
      <c r="C204" s="20" t="s">
        <v>155</v>
      </c>
      <c r="D204" s="20" t="s">
        <v>1190</v>
      </c>
      <c r="E204" s="32" t="s">
        <v>149</v>
      </c>
      <c r="F204" s="326">
        <f>'Пр.6 ведом.20'!G512</f>
        <v>239.82</v>
      </c>
    </row>
    <row r="205" spans="1:6" ht="78.75" x14ac:dyDescent="0.25">
      <c r="A205" s="41" t="s">
        <v>864</v>
      </c>
      <c r="B205" s="8" t="s">
        <v>133</v>
      </c>
      <c r="C205" s="8" t="s">
        <v>155</v>
      </c>
      <c r="D205" s="340" t="s">
        <v>862</v>
      </c>
      <c r="E205" s="8"/>
      <c r="F205" s="325">
        <f>F206</f>
        <v>30</v>
      </c>
    </row>
    <row r="206" spans="1:6" s="229" customFormat="1" ht="47.25" x14ac:dyDescent="0.25">
      <c r="A206" s="275" t="s">
        <v>902</v>
      </c>
      <c r="B206" s="8" t="s">
        <v>133</v>
      </c>
      <c r="C206" s="8" t="s">
        <v>155</v>
      </c>
      <c r="D206" s="214" t="s">
        <v>1273</v>
      </c>
      <c r="E206" s="8"/>
      <c r="F206" s="325">
        <f>F207</f>
        <v>30</v>
      </c>
    </row>
    <row r="207" spans="1:6" ht="31.5" x14ac:dyDescent="0.25">
      <c r="A207" s="100" t="s">
        <v>186</v>
      </c>
      <c r="B207" s="9" t="s">
        <v>133</v>
      </c>
      <c r="C207" s="9" t="s">
        <v>155</v>
      </c>
      <c r="D207" s="5" t="s">
        <v>903</v>
      </c>
      <c r="E207" s="9"/>
      <c r="F207" s="326">
        <f>F208</f>
        <v>30</v>
      </c>
    </row>
    <row r="208" spans="1:6" ht="31.5" x14ac:dyDescent="0.25">
      <c r="A208" s="25" t="s">
        <v>146</v>
      </c>
      <c r="B208" s="9" t="s">
        <v>133</v>
      </c>
      <c r="C208" s="9" t="s">
        <v>155</v>
      </c>
      <c r="D208" s="5" t="s">
        <v>903</v>
      </c>
      <c r="E208" s="9" t="s">
        <v>147</v>
      </c>
      <c r="F208" s="326">
        <f>F209</f>
        <v>30</v>
      </c>
    </row>
    <row r="209" spans="1:10" ht="31.5" x14ac:dyDescent="0.25">
      <c r="A209" s="25" t="s">
        <v>148</v>
      </c>
      <c r="B209" s="9" t="s">
        <v>133</v>
      </c>
      <c r="C209" s="9" t="s">
        <v>155</v>
      </c>
      <c r="D209" s="5" t="s">
        <v>903</v>
      </c>
      <c r="E209" s="9" t="s">
        <v>149</v>
      </c>
      <c r="F209" s="326">
        <f>'Пр.6 ведом.20'!G125</f>
        <v>30</v>
      </c>
    </row>
    <row r="210" spans="1:10" ht="63" x14ac:dyDescent="0.25">
      <c r="A210" s="41" t="s">
        <v>1193</v>
      </c>
      <c r="B210" s="8" t="s">
        <v>133</v>
      </c>
      <c r="C210" s="8" t="s">
        <v>155</v>
      </c>
      <c r="D210" s="214" t="s">
        <v>863</v>
      </c>
      <c r="E210" s="8"/>
      <c r="F210" s="305">
        <f>F211</f>
        <v>80</v>
      </c>
    </row>
    <row r="211" spans="1:10" ht="31.5" x14ac:dyDescent="0.25">
      <c r="A211" s="58" t="s">
        <v>904</v>
      </c>
      <c r="B211" s="8" t="s">
        <v>133</v>
      </c>
      <c r="C211" s="8" t="s">
        <v>155</v>
      </c>
      <c r="D211" s="214" t="s">
        <v>912</v>
      </c>
      <c r="E211" s="8"/>
      <c r="F211" s="305">
        <f t="shared" ref="F211:F212" si="32">F212</f>
        <v>80</v>
      </c>
    </row>
    <row r="212" spans="1:10" ht="15.75" x14ac:dyDescent="0.25">
      <c r="A212" s="45" t="s">
        <v>868</v>
      </c>
      <c r="B212" s="9" t="s">
        <v>133</v>
      </c>
      <c r="C212" s="9" t="s">
        <v>155</v>
      </c>
      <c r="D212" s="5" t="s">
        <v>905</v>
      </c>
      <c r="E212" s="9"/>
      <c r="F212" s="412">
        <f t="shared" si="32"/>
        <v>80</v>
      </c>
    </row>
    <row r="213" spans="1:10" ht="48" customHeight="1" x14ac:dyDescent="0.25">
      <c r="A213" s="25" t="s">
        <v>146</v>
      </c>
      <c r="B213" s="9" t="s">
        <v>133</v>
      </c>
      <c r="C213" s="9" t="s">
        <v>155</v>
      </c>
      <c r="D213" s="5" t="s">
        <v>905</v>
      </c>
      <c r="E213" s="9" t="s">
        <v>147</v>
      </c>
      <c r="F213" s="412">
        <f>F214</f>
        <v>80</v>
      </c>
      <c r="G213" s="22"/>
    </row>
    <row r="214" spans="1:10" ht="31.5" x14ac:dyDescent="0.25">
      <c r="A214" s="25" t="s">
        <v>148</v>
      </c>
      <c r="B214" s="9" t="s">
        <v>133</v>
      </c>
      <c r="C214" s="9" t="s">
        <v>155</v>
      </c>
      <c r="D214" s="5" t="s">
        <v>905</v>
      </c>
      <c r="E214" s="9" t="s">
        <v>149</v>
      </c>
      <c r="F214" s="411">
        <f>'Пр.6 ведом.20'!G130</f>
        <v>80</v>
      </c>
    </row>
    <row r="215" spans="1:10" s="229" customFormat="1" ht="15.75" hidden="1" x14ac:dyDescent="0.25">
      <c r="A215" s="23" t="s">
        <v>227</v>
      </c>
      <c r="B215" s="24" t="s">
        <v>228</v>
      </c>
      <c r="C215" s="24"/>
      <c r="D215" s="24"/>
      <c r="E215" s="24"/>
      <c r="F215" s="305">
        <f t="shared" ref="F215:F220" si="33">F216</f>
        <v>0</v>
      </c>
    </row>
    <row r="216" spans="1:10" s="229" customFormat="1" ht="19.5" hidden="1" customHeight="1" x14ac:dyDescent="0.25">
      <c r="A216" s="23" t="s">
        <v>233</v>
      </c>
      <c r="B216" s="24" t="s">
        <v>228</v>
      </c>
      <c r="C216" s="24" t="s">
        <v>234</v>
      </c>
      <c r="D216" s="24"/>
      <c r="E216" s="24"/>
      <c r="F216" s="305">
        <f t="shared" si="33"/>
        <v>0</v>
      </c>
    </row>
    <row r="217" spans="1:10" s="229" customFormat="1" ht="15.75" hidden="1" x14ac:dyDescent="0.25">
      <c r="A217" s="23" t="s">
        <v>156</v>
      </c>
      <c r="B217" s="24" t="s">
        <v>228</v>
      </c>
      <c r="C217" s="24" t="s">
        <v>234</v>
      </c>
      <c r="D217" s="24" t="s">
        <v>914</v>
      </c>
      <c r="E217" s="24"/>
      <c r="F217" s="305">
        <f t="shared" si="33"/>
        <v>0</v>
      </c>
    </row>
    <row r="218" spans="1:10" s="229" customFormat="1" ht="31.5" hidden="1" x14ac:dyDescent="0.25">
      <c r="A218" s="23" t="s">
        <v>918</v>
      </c>
      <c r="B218" s="24" t="s">
        <v>228</v>
      </c>
      <c r="C218" s="24" t="s">
        <v>234</v>
      </c>
      <c r="D218" s="24" t="s">
        <v>913</v>
      </c>
      <c r="E218" s="24"/>
      <c r="F218" s="305">
        <f t="shared" si="33"/>
        <v>0</v>
      </c>
    </row>
    <row r="219" spans="1:10" s="229" customFormat="1" ht="15.75" hidden="1" x14ac:dyDescent="0.25">
      <c r="A219" s="25" t="s">
        <v>235</v>
      </c>
      <c r="B219" s="20" t="s">
        <v>228</v>
      </c>
      <c r="C219" s="20" t="s">
        <v>234</v>
      </c>
      <c r="D219" s="20" t="s">
        <v>919</v>
      </c>
      <c r="E219" s="20"/>
      <c r="F219" s="411">
        <f t="shared" si="33"/>
        <v>0</v>
      </c>
    </row>
    <row r="220" spans="1:10" s="229" customFormat="1" ht="31.5" hidden="1" x14ac:dyDescent="0.25">
      <c r="A220" s="25" t="s">
        <v>213</v>
      </c>
      <c r="B220" s="20" t="s">
        <v>228</v>
      </c>
      <c r="C220" s="20" t="s">
        <v>234</v>
      </c>
      <c r="D220" s="20" t="s">
        <v>919</v>
      </c>
      <c r="E220" s="20" t="s">
        <v>147</v>
      </c>
      <c r="F220" s="411">
        <f t="shared" si="33"/>
        <v>0</v>
      </c>
    </row>
    <row r="221" spans="1:10" s="229" customFormat="1" ht="31.5" hidden="1" x14ac:dyDescent="0.25">
      <c r="A221" s="25" t="s">
        <v>148</v>
      </c>
      <c r="B221" s="20" t="s">
        <v>228</v>
      </c>
      <c r="C221" s="20" t="s">
        <v>234</v>
      </c>
      <c r="D221" s="20" t="s">
        <v>919</v>
      </c>
      <c r="E221" s="20" t="s">
        <v>149</v>
      </c>
      <c r="F221" s="411">
        <f>'Пр.6 ведом.20'!G137</f>
        <v>0</v>
      </c>
    </row>
    <row r="222" spans="1:10" ht="31.5" x14ac:dyDescent="0.25">
      <c r="A222" s="23" t="s">
        <v>237</v>
      </c>
      <c r="B222" s="24" t="s">
        <v>230</v>
      </c>
      <c r="C222" s="24"/>
      <c r="D222" s="24"/>
      <c r="E222" s="24"/>
      <c r="F222" s="305">
        <f t="shared" ref="F222:F223" si="34">F223</f>
        <v>8029</v>
      </c>
    </row>
    <row r="223" spans="1:10" ht="47.25" x14ac:dyDescent="0.25">
      <c r="A223" s="23" t="s">
        <v>238</v>
      </c>
      <c r="B223" s="24" t="s">
        <v>230</v>
      </c>
      <c r="C223" s="24" t="s">
        <v>234</v>
      </c>
      <c r="D223" s="20"/>
      <c r="E223" s="20"/>
      <c r="F223" s="305">
        <f t="shared" si="34"/>
        <v>8029</v>
      </c>
      <c r="G223" s="22"/>
      <c r="H223" s="22"/>
      <c r="I223" s="22"/>
      <c r="J223" s="22"/>
    </row>
    <row r="224" spans="1:10" ht="15.75" x14ac:dyDescent="0.25">
      <c r="A224" s="23" t="s">
        <v>156</v>
      </c>
      <c r="B224" s="24" t="s">
        <v>230</v>
      </c>
      <c r="C224" s="24" t="s">
        <v>234</v>
      </c>
      <c r="D224" s="24" t="s">
        <v>914</v>
      </c>
      <c r="E224" s="24"/>
      <c r="F224" s="305">
        <f>F225+F232</f>
        <v>8029</v>
      </c>
    </row>
    <row r="225" spans="1:6" ht="31.5" x14ac:dyDescent="0.25">
      <c r="A225" s="23" t="s">
        <v>918</v>
      </c>
      <c r="B225" s="24" t="s">
        <v>230</v>
      </c>
      <c r="C225" s="24" t="s">
        <v>234</v>
      </c>
      <c r="D225" s="24" t="s">
        <v>913</v>
      </c>
      <c r="E225" s="24"/>
      <c r="F225" s="305">
        <f>F226+F229</f>
        <v>2089</v>
      </c>
    </row>
    <row r="226" spans="1:6" ht="47.25" x14ac:dyDescent="0.25">
      <c r="A226" s="25" t="s">
        <v>239</v>
      </c>
      <c r="B226" s="20" t="s">
        <v>230</v>
      </c>
      <c r="C226" s="20" t="s">
        <v>234</v>
      </c>
      <c r="D226" s="20" t="s">
        <v>923</v>
      </c>
      <c r="E226" s="20"/>
      <c r="F226" s="411">
        <f t="shared" ref="F226:F227" si="35">F227</f>
        <v>1785</v>
      </c>
    </row>
    <row r="227" spans="1:6" ht="31.5" x14ac:dyDescent="0.25">
      <c r="A227" s="25" t="s">
        <v>213</v>
      </c>
      <c r="B227" s="20" t="s">
        <v>230</v>
      </c>
      <c r="C227" s="20" t="s">
        <v>234</v>
      </c>
      <c r="D227" s="20" t="s">
        <v>923</v>
      </c>
      <c r="E227" s="20" t="s">
        <v>147</v>
      </c>
      <c r="F227" s="411">
        <f t="shared" si="35"/>
        <v>1785</v>
      </c>
    </row>
    <row r="228" spans="1:6" ht="31.5" x14ac:dyDescent="0.25">
      <c r="A228" s="25" t="s">
        <v>148</v>
      </c>
      <c r="B228" s="20" t="s">
        <v>230</v>
      </c>
      <c r="C228" s="20" t="s">
        <v>234</v>
      </c>
      <c r="D228" s="20" t="s">
        <v>923</v>
      </c>
      <c r="E228" s="20" t="s">
        <v>149</v>
      </c>
      <c r="F228" s="418">
        <f>'Пр.6 ведом.20'!G144</f>
        <v>1785</v>
      </c>
    </row>
    <row r="229" spans="1:6" ht="15.75" x14ac:dyDescent="0.25">
      <c r="A229" s="25" t="s">
        <v>245</v>
      </c>
      <c r="B229" s="20" t="s">
        <v>230</v>
      </c>
      <c r="C229" s="20" t="s">
        <v>234</v>
      </c>
      <c r="D229" s="20" t="s">
        <v>924</v>
      </c>
      <c r="E229" s="20"/>
      <c r="F229" s="418">
        <f t="shared" ref="F229:F230" si="36">F230</f>
        <v>304</v>
      </c>
    </row>
    <row r="230" spans="1:6" ht="31.5" x14ac:dyDescent="0.25">
      <c r="A230" s="25" t="s">
        <v>213</v>
      </c>
      <c r="B230" s="20" t="s">
        <v>230</v>
      </c>
      <c r="C230" s="20" t="s">
        <v>234</v>
      </c>
      <c r="D230" s="20" t="s">
        <v>924</v>
      </c>
      <c r="E230" s="20" t="s">
        <v>147</v>
      </c>
      <c r="F230" s="418">
        <f t="shared" si="36"/>
        <v>304</v>
      </c>
    </row>
    <row r="231" spans="1:6" ht="31.5" x14ac:dyDescent="0.25">
      <c r="A231" s="25" t="s">
        <v>148</v>
      </c>
      <c r="B231" s="20" t="s">
        <v>230</v>
      </c>
      <c r="C231" s="20" t="s">
        <v>234</v>
      </c>
      <c r="D231" s="20" t="s">
        <v>924</v>
      </c>
      <c r="E231" s="20" t="s">
        <v>149</v>
      </c>
      <c r="F231" s="418">
        <f>'Пр.6 ведом.20'!G147+'Пр.6 ведом.20'!G857</f>
        <v>304</v>
      </c>
    </row>
    <row r="232" spans="1:6" ht="31.5" x14ac:dyDescent="0.25">
      <c r="A232" s="23" t="s">
        <v>1000</v>
      </c>
      <c r="B232" s="24" t="s">
        <v>230</v>
      </c>
      <c r="C232" s="24" t="s">
        <v>234</v>
      </c>
      <c r="D232" s="24" t="s">
        <v>920</v>
      </c>
      <c r="E232" s="24"/>
      <c r="F232" s="305">
        <f>F233+F238</f>
        <v>5940</v>
      </c>
    </row>
    <row r="233" spans="1:6" ht="31.5" x14ac:dyDescent="0.25">
      <c r="A233" s="25" t="s">
        <v>1004</v>
      </c>
      <c r="B233" s="20" t="s">
        <v>230</v>
      </c>
      <c r="C233" s="20" t="s">
        <v>234</v>
      </c>
      <c r="D233" s="20" t="s">
        <v>921</v>
      </c>
      <c r="E233" s="20"/>
      <c r="F233" s="412">
        <f>F234+F236</f>
        <v>5688</v>
      </c>
    </row>
    <row r="234" spans="1:6" ht="78.75" x14ac:dyDescent="0.25">
      <c r="A234" s="25" t="s">
        <v>142</v>
      </c>
      <c r="B234" s="20" t="s">
        <v>230</v>
      </c>
      <c r="C234" s="20" t="s">
        <v>234</v>
      </c>
      <c r="D234" s="20" t="s">
        <v>921</v>
      </c>
      <c r="E234" s="20" t="s">
        <v>143</v>
      </c>
      <c r="F234" s="412">
        <f>'Пр.6 ведом.20'!G151</f>
        <v>5525</v>
      </c>
    </row>
    <row r="235" spans="1:6" ht="15.75" x14ac:dyDescent="0.25">
      <c r="A235" s="25" t="s">
        <v>223</v>
      </c>
      <c r="B235" s="20" t="s">
        <v>230</v>
      </c>
      <c r="C235" s="20" t="s">
        <v>234</v>
      </c>
      <c r="D235" s="20" t="s">
        <v>921</v>
      </c>
      <c r="E235" s="20" t="s">
        <v>224</v>
      </c>
      <c r="F235" s="411">
        <f>'Пр.6 ведом.20'!G151</f>
        <v>5525</v>
      </c>
    </row>
    <row r="236" spans="1:6" ht="31.5" x14ac:dyDescent="0.25">
      <c r="A236" s="25" t="s">
        <v>213</v>
      </c>
      <c r="B236" s="20" t="s">
        <v>230</v>
      </c>
      <c r="C236" s="20" t="s">
        <v>234</v>
      </c>
      <c r="D236" s="20" t="s">
        <v>921</v>
      </c>
      <c r="E236" s="20" t="s">
        <v>147</v>
      </c>
      <c r="F236" s="411">
        <f>'Пр.6 ведом.20'!G153</f>
        <v>163</v>
      </c>
    </row>
    <row r="237" spans="1:6" ht="31.5" x14ac:dyDescent="0.25">
      <c r="A237" s="25" t="s">
        <v>148</v>
      </c>
      <c r="B237" s="20" t="s">
        <v>230</v>
      </c>
      <c r="C237" s="20" t="s">
        <v>234</v>
      </c>
      <c r="D237" s="20" t="s">
        <v>921</v>
      </c>
      <c r="E237" s="20" t="s">
        <v>149</v>
      </c>
      <c r="F237" s="411">
        <f>'Пр.6 ведом.20'!G153</f>
        <v>163</v>
      </c>
    </row>
    <row r="238" spans="1:6" ht="47.25" x14ac:dyDescent="0.25">
      <c r="A238" s="25" t="s">
        <v>886</v>
      </c>
      <c r="B238" s="20" t="s">
        <v>230</v>
      </c>
      <c r="C238" s="20" t="s">
        <v>234</v>
      </c>
      <c r="D238" s="20" t="s">
        <v>922</v>
      </c>
      <c r="E238" s="20"/>
      <c r="F238" s="411">
        <f t="shared" ref="F238" si="37">F239</f>
        <v>252</v>
      </c>
    </row>
    <row r="239" spans="1:6" ht="78.75" x14ac:dyDescent="0.25">
      <c r="A239" s="25" t="s">
        <v>142</v>
      </c>
      <c r="B239" s="20" t="s">
        <v>230</v>
      </c>
      <c r="C239" s="20" t="s">
        <v>234</v>
      </c>
      <c r="D239" s="20" t="s">
        <v>922</v>
      </c>
      <c r="E239" s="20" t="s">
        <v>143</v>
      </c>
      <c r="F239" s="411">
        <f>F240</f>
        <v>252</v>
      </c>
    </row>
    <row r="240" spans="1:6" s="229" customFormat="1" ht="31.5" x14ac:dyDescent="0.25">
      <c r="A240" s="25" t="s">
        <v>144</v>
      </c>
      <c r="B240" s="20" t="s">
        <v>230</v>
      </c>
      <c r="C240" s="20" t="s">
        <v>234</v>
      </c>
      <c r="D240" s="20" t="s">
        <v>922</v>
      </c>
      <c r="E240" s="20" t="s">
        <v>145</v>
      </c>
      <c r="F240" s="411">
        <f>'Пр.6 ведом.20'!G156</f>
        <v>252</v>
      </c>
    </row>
    <row r="241" spans="1:6" ht="15.75" x14ac:dyDescent="0.25">
      <c r="A241" s="23" t="s">
        <v>247</v>
      </c>
      <c r="B241" s="24" t="s">
        <v>165</v>
      </c>
      <c r="C241" s="24"/>
      <c r="D241" s="24"/>
      <c r="E241" s="20"/>
      <c r="F241" s="305">
        <f t="shared" ref="F241" si="38">F255+F261+F273+F242</f>
        <v>7868.8</v>
      </c>
    </row>
    <row r="242" spans="1:6" ht="15.75" x14ac:dyDescent="0.25">
      <c r="A242" s="23" t="s">
        <v>248</v>
      </c>
      <c r="B242" s="24" t="s">
        <v>165</v>
      </c>
      <c r="C242" s="24" t="s">
        <v>249</v>
      </c>
      <c r="D242" s="24"/>
      <c r="E242" s="20"/>
      <c r="F242" s="305">
        <f>F243</f>
        <v>306</v>
      </c>
    </row>
    <row r="243" spans="1:6" ht="47.25" x14ac:dyDescent="0.25">
      <c r="A243" s="34" t="s">
        <v>196</v>
      </c>
      <c r="B243" s="24" t="s">
        <v>165</v>
      </c>
      <c r="C243" s="24" t="s">
        <v>249</v>
      </c>
      <c r="D243" s="214" t="s">
        <v>197</v>
      </c>
      <c r="E243" s="285"/>
      <c r="F243" s="305">
        <f>F244+F251</f>
        <v>306</v>
      </c>
    </row>
    <row r="244" spans="1:6" ht="31.5" x14ac:dyDescent="0.25">
      <c r="A244" s="34" t="s">
        <v>1165</v>
      </c>
      <c r="B244" s="24" t="s">
        <v>165</v>
      </c>
      <c r="C244" s="24" t="s">
        <v>249</v>
      </c>
      <c r="D244" s="350" t="s">
        <v>925</v>
      </c>
      <c r="E244" s="285"/>
      <c r="F244" s="305">
        <f>F245+F248</f>
        <v>256</v>
      </c>
    </row>
    <row r="245" spans="1:6" ht="15.75" x14ac:dyDescent="0.25">
      <c r="A245" s="25" t="s">
        <v>926</v>
      </c>
      <c r="B245" s="20" t="s">
        <v>165</v>
      </c>
      <c r="C245" s="20" t="s">
        <v>249</v>
      </c>
      <c r="D245" s="20" t="s">
        <v>970</v>
      </c>
      <c r="E245" s="32"/>
      <c r="F245" s="411">
        <f>F246</f>
        <v>1</v>
      </c>
    </row>
    <row r="246" spans="1:6" ht="15.75" x14ac:dyDescent="0.25">
      <c r="A246" s="29" t="s">
        <v>150</v>
      </c>
      <c r="B246" s="20" t="s">
        <v>165</v>
      </c>
      <c r="C246" s="20" t="s">
        <v>249</v>
      </c>
      <c r="D246" s="20" t="s">
        <v>970</v>
      </c>
      <c r="E246" s="32" t="s">
        <v>160</v>
      </c>
      <c r="F246" s="411">
        <f>F247</f>
        <v>1</v>
      </c>
    </row>
    <row r="247" spans="1:6" ht="47.25" x14ac:dyDescent="0.25">
      <c r="A247" s="29" t="s">
        <v>199</v>
      </c>
      <c r="B247" s="20" t="s">
        <v>165</v>
      </c>
      <c r="C247" s="20" t="s">
        <v>249</v>
      </c>
      <c r="D247" s="20" t="s">
        <v>970</v>
      </c>
      <c r="E247" s="32" t="s">
        <v>175</v>
      </c>
      <c r="F247" s="411">
        <f>'Пр.6 ведом.20'!G163</f>
        <v>1</v>
      </c>
    </row>
    <row r="248" spans="1:6" ht="31.5" x14ac:dyDescent="0.25">
      <c r="A248" s="25" t="s">
        <v>250</v>
      </c>
      <c r="B248" s="20" t="s">
        <v>165</v>
      </c>
      <c r="C248" s="20" t="s">
        <v>249</v>
      </c>
      <c r="D248" s="20" t="s">
        <v>929</v>
      </c>
      <c r="E248" s="20"/>
      <c r="F248" s="411">
        <f t="shared" ref="F248" si="39">F249</f>
        <v>255</v>
      </c>
    </row>
    <row r="249" spans="1:6" ht="15.75" x14ac:dyDescent="0.25">
      <c r="A249" s="25" t="s">
        <v>150</v>
      </c>
      <c r="B249" s="20" t="s">
        <v>165</v>
      </c>
      <c r="C249" s="20" t="s">
        <v>249</v>
      </c>
      <c r="D249" s="20" t="s">
        <v>929</v>
      </c>
      <c r="E249" s="20" t="s">
        <v>160</v>
      </c>
      <c r="F249" s="411">
        <f>F250</f>
        <v>255</v>
      </c>
    </row>
    <row r="250" spans="1:6" ht="47.25" x14ac:dyDescent="0.25">
      <c r="A250" s="25" t="s">
        <v>199</v>
      </c>
      <c r="B250" s="20" t="s">
        <v>165</v>
      </c>
      <c r="C250" s="20" t="s">
        <v>249</v>
      </c>
      <c r="D250" s="20" t="s">
        <v>929</v>
      </c>
      <c r="E250" s="20" t="s">
        <v>175</v>
      </c>
      <c r="F250" s="411">
        <f>'Пр.6 ведом.20'!G166</f>
        <v>255</v>
      </c>
    </row>
    <row r="251" spans="1:6" ht="47.25" x14ac:dyDescent="0.25">
      <c r="A251" s="276" t="s">
        <v>1166</v>
      </c>
      <c r="B251" s="24" t="s">
        <v>165</v>
      </c>
      <c r="C251" s="24" t="s">
        <v>249</v>
      </c>
      <c r="D251" s="214" t="s">
        <v>928</v>
      </c>
      <c r="E251" s="285"/>
      <c r="F251" s="305">
        <f>F252</f>
        <v>50</v>
      </c>
    </row>
    <row r="252" spans="1:6" s="229" customFormat="1" ht="15.75" x14ac:dyDescent="0.25">
      <c r="A252" s="25" t="s">
        <v>927</v>
      </c>
      <c r="B252" s="20" t="s">
        <v>165</v>
      </c>
      <c r="C252" s="20" t="s">
        <v>249</v>
      </c>
      <c r="D252" s="5" t="s">
        <v>971</v>
      </c>
      <c r="E252" s="32"/>
      <c r="F252" s="411">
        <f>F253</f>
        <v>50</v>
      </c>
    </row>
    <row r="253" spans="1:6" s="229" customFormat="1" ht="15.75" x14ac:dyDescent="0.25">
      <c r="A253" s="29" t="s">
        <v>150</v>
      </c>
      <c r="B253" s="20" t="s">
        <v>165</v>
      </c>
      <c r="C253" s="20" t="s">
        <v>249</v>
      </c>
      <c r="D253" s="5" t="s">
        <v>971</v>
      </c>
      <c r="E253" s="32" t="s">
        <v>160</v>
      </c>
      <c r="F253" s="411">
        <f>F254</f>
        <v>50</v>
      </c>
    </row>
    <row r="254" spans="1:6" s="229" customFormat="1" ht="47.25" x14ac:dyDescent="0.25">
      <c r="A254" s="29" t="s">
        <v>199</v>
      </c>
      <c r="B254" s="20" t="s">
        <v>165</v>
      </c>
      <c r="C254" s="20" t="s">
        <v>249</v>
      </c>
      <c r="D254" s="5" t="s">
        <v>971</v>
      </c>
      <c r="E254" s="32" t="s">
        <v>175</v>
      </c>
      <c r="F254" s="411">
        <f>'Пр.6 ведом.20'!G170</f>
        <v>50</v>
      </c>
    </row>
    <row r="255" spans="1:6" ht="15.75" x14ac:dyDescent="0.25">
      <c r="A255" s="23" t="s">
        <v>520</v>
      </c>
      <c r="B255" s="24" t="s">
        <v>165</v>
      </c>
      <c r="C255" s="24" t="s">
        <v>314</v>
      </c>
      <c r="D255" s="24"/>
      <c r="E255" s="24"/>
      <c r="F255" s="305">
        <f t="shared" ref="F255:F259" si="40">F256</f>
        <v>3258</v>
      </c>
    </row>
    <row r="256" spans="1:6" ht="15.75" x14ac:dyDescent="0.25">
      <c r="A256" s="23" t="s">
        <v>156</v>
      </c>
      <c r="B256" s="24" t="s">
        <v>165</v>
      </c>
      <c r="C256" s="24" t="s">
        <v>314</v>
      </c>
      <c r="D256" s="24" t="s">
        <v>914</v>
      </c>
      <c r="E256" s="24"/>
      <c r="F256" s="305">
        <f t="shared" si="40"/>
        <v>3258</v>
      </c>
    </row>
    <row r="257" spans="1:6" ht="31.5" x14ac:dyDescent="0.25">
      <c r="A257" s="23" t="s">
        <v>918</v>
      </c>
      <c r="B257" s="24" t="s">
        <v>165</v>
      </c>
      <c r="C257" s="24" t="s">
        <v>314</v>
      </c>
      <c r="D257" s="24" t="s">
        <v>913</v>
      </c>
      <c r="E257" s="24"/>
      <c r="F257" s="305">
        <f t="shared" si="40"/>
        <v>3258</v>
      </c>
    </row>
    <row r="258" spans="1:6" ht="17.25" customHeight="1" x14ac:dyDescent="0.25">
      <c r="A258" s="25" t="s">
        <v>521</v>
      </c>
      <c r="B258" s="20" t="s">
        <v>165</v>
      </c>
      <c r="C258" s="20" t="s">
        <v>314</v>
      </c>
      <c r="D258" s="20" t="s">
        <v>1098</v>
      </c>
      <c r="E258" s="20"/>
      <c r="F258" s="411">
        <f t="shared" si="40"/>
        <v>3258</v>
      </c>
    </row>
    <row r="259" spans="1:6" ht="34.5" customHeight="1" x14ac:dyDescent="0.25">
      <c r="A259" s="25" t="s">
        <v>146</v>
      </c>
      <c r="B259" s="20" t="s">
        <v>165</v>
      </c>
      <c r="C259" s="20" t="s">
        <v>314</v>
      </c>
      <c r="D259" s="20" t="s">
        <v>1098</v>
      </c>
      <c r="E259" s="20" t="s">
        <v>147</v>
      </c>
      <c r="F259" s="411">
        <f t="shared" si="40"/>
        <v>3258</v>
      </c>
    </row>
    <row r="260" spans="1:6" ht="38.25" customHeight="1" x14ac:dyDescent="0.25">
      <c r="A260" s="25" t="s">
        <v>148</v>
      </c>
      <c r="B260" s="20" t="s">
        <v>165</v>
      </c>
      <c r="C260" s="20" t="s">
        <v>314</v>
      </c>
      <c r="D260" s="20" t="s">
        <v>1098</v>
      </c>
      <c r="E260" s="20" t="s">
        <v>149</v>
      </c>
      <c r="F260" s="412">
        <f>'Пр.6 ведом.20'!G864</f>
        <v>3258</v>
      </c>
    </row>
    <row r="261" spans="1:6" ht="15.75" x14ac:dyDescent="0.25">
      <c r="A261" s="23" t="s">
        <v>523</v>
      </c>
      <c r="B261" s="24" t="s">
        <v>165</v>
      </c>
      <c r="C261" s="24" t="s">
        <v>234</v>
      </c>
      <c r="D261" s="20"/>
      <c r="E261" s="24"/>
      <c r="F261" s="305">
        <f t="shared" ref="F261" si="41">F262</f>
        <v>3446</v>
      </c>
    </row>
    <row r="262" spans="1:6" ht="47.25" x14ac:dyDescent="0.25">
      <c r="A262" s="34" t="s">
        <v>1187</v>
      </c>
      <c r="B262" s="24" t="s">
        <v>165</v>
      </c>
      <c r="C262" s="24" t="s">
        <v>234</v>
      </c>
      <c r="D262" s="24" t="s">
        <v>525</v>
      </c>
      <c r="E262" s="24"/>
      <c r="F262" s="325">
        <f>F263+F267</f>
        <v>3446</v>
      </c>
    </row>
    <row r="263" spans="1:6" ht="31.5" hidden="1" x14ac:dyDescent="0.25">
      <c r="A263" s="34" t="s">
        <v>1156</v>
      </c>
      <c r="B263" s="24" t="s">
        <v>165</v>
      </c>
      <c r="C263" s="24" t="s">
        <v>234</v>
      </c>
      <c r="D263" s="7" t="s">
        <v>1099</v>
      </c>
      <c r="E263" s="24"/>
      <c r="F263" s="325">
        <f>F264</f>
        <v>0</v>
      </c>
    </row>
    <row r="264" spans="1:6" ht="15.75" hidden="1" x14ac:dyDescent="0.25">
      <c r="A264" s="29" t="s">
        <v>1158</v>
      </c>
      <c r="B264" s="20" t="s">
        <v>165</v>
      </c>
      <c r="C264" s="20" t="s">
        <v>234</v>
      </c>
      <c r="D264" s="40" t="s">
        <v>1157</v>
      </c>
      <c r="E264" s="20"/>
      <c r="F264" s="326">
        <f>F265</f>
        <v>0</v>
      </c>
    </row>
    <row r="265" spans="1:6" ht="31.5" hidden="1" x14ac:dyDescent="0.25">
      <c r="A265" s="25" t="s">
        <v>146</v>
      </c>
      <c r="B265" s="20" t="s">
        <v>165</v>
      </c>
      <c r="C265" s="20" t="s">
        <v>234</v>
      </c>
      <c r="D265" s="40" t="s">
        <v>1157</v>
      </c>
      <c r="E265" s="20" t="s">
        <v>147</v>
      </c>
      <c r="F265" s="412">
        <f>F266</f>
        <v>0</v>
      </c>
    </row>
    <row r="266" spans="1:6" ht="31.5" hidden="1" x14ac:dyDescent="0.25">
      <c r="A266" s="25" t="s">
        <v>148</v>
      </c>
      <c r="B266" s="20" t="s">
        <v>165</v>
      </c>
      <c r="C266" s="20" t="s">
        <v>234</v>
      </c>
      <c r="D266" s="40" t="s">
        <v>1157</v>
      </c>
      <c r="E266" s="20" t="s">
        <v>149</v>
      </c>
      <c r="F266" s="412">
        <f>'Пр.6 ведом.20'!G870</f>
        <v>0</v>
      </c>
    </row>
    <row r="267" spans="1:6" ht="31.5" x14ac:dyDescent="0.25">
      <c r="A267" s="34" t="s">
        <v>1248</v>
      </c>
      <c r="B267" s="24" t="s">
        <v>165</v>
      </c>
      <c r="C267" s="24" t="s">
        <v>234</v>
      </c>
      <c r="D267" s="24" t="s">
        <v>1100</v>
      </c>
      <c r="E267" s="24"/>
      <c r="F267" s="417">
        <f>F268</f>
        <v>3446</v>
      </c>
    </row>
    <row r="268" spans="1:6" s="229" customFormat="1" ht="15.75" x14ac:dyDescent="0.25">
      <c r="A268" s="29" t="s">
        <v>526</v>
      </c>
      <c r="B268" s="20" t="s">
        <v>165</v>
      </c>
      <c r="C268" s="20" t="s">
        <v>234</v>
      </c>
      <c r="D268" s="40" t="s">
        <v>1159</v>
      </c>
      <c r="E268" s="20"/>
      <c r="F268" s="412">
        <f>F269+F271</f>
        <v>3446</v>
      </c>
    </row>
    <row r="269" spans="1:6" s="229" customFormat="1" ht="31.5" x14ac:dyDescent="0.25">
      <c r="A269" s="25" t="s">
        <v>146</v>
      </c>
      <c r="B269" s="20" t="s">
        <v>165</v>
      </c>
      <c r="C269" s="20" t="s">
        <v>234</v>
      </c>
      <c r="D269" s="40" t="s">
        <v>1159</v>
      </c>
      <c r="E269" s="20" t="s">
        <v>147</v>
      </c>
      <c r="F269" s="412">
        <f>F270</f>
        <v>3446</v>
      </c>
    </row>
    <row r="270" spans="1:6" s="229" customFormat="1" ht="35.25" customHeight="1" x14ac:dyDescent="0.25">
      <c r="A270" s="25" t="s">
        <v>148</v>
      </c>
      <c r="B270" s="20" t="s">
        <v>165</v>
      </c>
      <c r="C270" s="20" t="s">
        <v>234</v>
      </c>
      <c r="D270" s="40" t="s">
        <v>1159</v>
      </c>
      <c r="E270" s="20" t="s">
        <v>149</v>
      </c>
      <c r="F270" s="412">
        <f>'Пр.6 ведом.20'!G874</f>
        <v>3446</v>
      </c>
    </row>
    <row r="271" spans="1:6" s="229" customFormat="1" ht="15.75" x14ac:dyDescent="0.25">
      <c r="A271" s="25" t="s">
        <v>150</v>
      </c>
      <c r="B271" s="20" t="s">
        <v>165</v>
      </c>
      <c r="C271" s="20" t="s">
        <v>234</v>
      </c>
      <c r="D271" s="40" t="s">
        <v>1159</v>
      </c>
      <c r="E271" s="20" t="s">
        <v>160</v>
      </c>
      <c r="F271" s="412">
        <f>F272</f>
        <v>0</v>
      </c>
    </row>
    <row r="272" spans="1:6" s="229" customFormat="1" ht="15.75" x14ac:dyDescent="0.25">
      <c r="A272" s="25" t="s">
        <v>583</v>
      </c>
      <c r="B272" s="20" t="s">
        <v>165</v>
      </c>
      <c r="C272" s="20" t="s">
        <v>234</v>
      </c>
      <c r="D272" s="40" t="s">
        <v>1159</v>
      </c>
      <c r="E272" s="20" t="s">
        <v>153</v>
      </c>
      <c r="F272" s="412">
        <f>'Пр.6 ведом.20'!G876</f>
        <v>0</v>
      </c>
    </row>
    <row r="273" spans="1:6" ht="22.5" customHeight="1" x14ac:dyDescent="0.25">
      <c r="A273" s="23" t="s">
        <v>252</v>
      </c>
      <c r="B273" s="24" t="s">
        <v>165</v>
      </c>
      <c r="C273" s="24" t="s">
        <v>253</v>
      </c>
      <c r="D273" s="24"/>
      <c r="E273" s="24"/>
      <c r="F273" s="325">
        <f>F274+F281+F308</f>
        <v>858.8</v>
      </c>
    </row>
    <row r="274" spans="1:6" ht="31.5" x14ac:dyDescent="0.25">
      <c r="A274" s="23" t="s">
        <v>992</v>
      </c>
      <c r="B274" s="24" t="s">
        <v>165</v>
      </c>
      <c r="C274" s="24" t="s">
        <v>253</v>
      </c>
      <c r="D274" s="24" t="s">
        <v>906</v>
      </c>
      <c r="E274" s="24"/>
      <c r="F274" s="325">
        <f>F275</f>
        <v>288.8</v>
      </c>
    </row>
    <row r="275" spans="1:6" ht="31.5" x14ac:dyDescent="0.25">
      <c r="A275" s="23" t="s">
        <v>934</v>
      </c>
      <c r="B275" s="24" t="s">
        <v>165</v>
      </c>
      <c r="C275" s="24" t="s">
        <v>253</v>
      </c>
      <c r="D275" s="24" t="s">
        <v>911</v>
      </c>
      <c r="E275" s="24"/>
      <c r="F275" s="325">
        <f>F276</f>
        <v>288.8</v>
      </c>
    </row>
    <row r="276" spans="1:6" ht="63" x14ac:dyDescent="0.25">
      <c r="A276" s="31" t="s">
        <v>256</v>
      </c>
      <c r="B276" s="20" t="s">
        <v>165</v>
      </c>
      <c r="C276" s="20" t="s">
        <v>253</v>
      </c>
      <c r="D276" s="20" t="s">
        <v>1001</v>
      </c>
      <c r="E276" s="20"/>
      <c r="F276" s="326">
        <f>F277+F279</f>
        <v>288.8</v>
      </c>
    </row>
    <row r="277" spans="1:6" ht="78.75" x14ac:dyDescent="0.25">
      <c r="A277" s="25" t="s">
        <v>142</v>
      </c>
      <c r="B277" s="20" t="s">
        <v>165</v>
      </c>
      <c r="C277" s="20" t="s">
        <v>253</v>
      </c>
      <c r="D277" s="20" t="s">
        <v>1001</v>
      </c>
      <c r="E277" s="20" t="s">
        <v>143</v>
      </c>
      <c r="F277" s="326">
        <f>F278</f>
        <v>187</v>
      </c>
    </row>
    <row r="278" spans="1:6" ht="32.25" customHeight="1" x14ac:dyDescent="0.25">
      <c r="A278" s="25" t="s">
        <v>144</v>
      </c>
      <c r="B278" s="20" t="s">
        <v>165</v>
      </c>
      <c r="C278" s="20" t="s">
        <v>253</v>
      </c>
      <c r="D278" s="20" t="s">
        <v>1001</v>
      </c>
      <c r="E278" s="20" t="s">
        <v>145</v>
      </c>
      <c r="F278" s="326">
        <f>'Пр.6 ведом.20'!G176</f>
        <v>187</v>
      </c>
    </row>
    <row r="279" spans="1:6" ht="31.5" x14ac:dyDescent="0.25">
      <c r="A279" s="25" t="s">
        <v>146</v>
      </c>
      <c r="B279" s="20" t="s">
        <v>165</v>
      </c>
      <c r="C279" s="20" t="s">
        <v>253</v>
      </c>
      <c r="D279" s="20" t="s">
        <v>1001</v>
      </c>
      <c r="E279" s="20" t="s">
        <v>147</v>
      </c>
      <c r="F279" s="326">
        <f>F280</f>
        <v>101.8</v>
      </c>
    </row>
    <row r="280" spans="1:6" ht="31.5" x14ac:dyDescent="0.25">
      <c r="A280" s="25" t="s">
        <v>148</v>
      </c>
      <c r="B280" s="20" t="s">
        <v>165</v>
      </c>
      <c r="C280" s="20" t="s">
        <v>253</v>
      </c>
      <c r="D280" s="20" t="s">
        <v>1001</v>
      </c>
      <c r="E280" s="20" t="s">
        <v>149</v>
      </c>
      <c r="F280" s="326">
        <f>'Пр.6 ведом.20'!G178</f>
        <v>101.8</v>
      </c>
    </row>
    <row r="281" spans="1:6" s="229" customFormat="1" ht="47.25" x14ac:dyDescent="0.25">
      <c r="A281" s="23" t="s">
        <v>358</v>
      </c>
      <c r="B281" s="24" t="s">
        <v>165</v>
      </c>
      <c r="C281" s="24" t="s">
        <v>253</v>
      </c>
      <c r="D281" s="24" t="s">
        <v>359</v>
      </c>
      <c r="E281" s="285"/>
      <c r="F281" s="325">
        <f>F282</f>
        <v>570</v>
      </c>
    </row>
    <row r="282" spans="1:6" s="229" customFormat="1" ht="63" x14ac:dyDescent="0.25">
      <c r="A282" s="23" t="s">
        <v>382</v>
      </c>
      <c r="B282" s="24" t="s">
        <v>165</v>
      </c>
      <c r="C282" s="24" t="s">
        <v>253</v>
      </c>
      <c r="D282" s="24" t="s">
        <v>383</v>
      </c>
      <c r="E282" s="24"/>
      <c r="F282" s="325">
        <f>F283+F290+F297+F304</f>
        <v>570</v>
      </c>
    </row>
    <row r="283" spans="1:6" s="229" customFormat="1" ht="47.25" hidden="1" x14ac:dyDescent="0.25">
      <c r="A283" s="277" t="s">
        <v>1222</v>
      </c>
      <c r="B283" s="24" t="s">
        <v>165</v>
      </c>
      <c r="C283" s="24" t="s">
        <v>253</v>
      </c>
      <c r="D283" s="24" t="s">
        <v>939</v>
      </c>
      <c r="E283" s="24"/>
      <c r="F283" s="325">
        <f>F284+F287</f>
        <v>0</v>
      </c>
    </row>
    <row r="284" spans="1:6" s="229" customFormat="1" ht="47.25" hidden="1" x14ac:dyDescent="0.25">
      <c r="A284" s="25" t="s">
        <v>390</v>
      </c>
      <c r="B284" s="20" t="s">
        <v>165</v>
      </c>
      <c r="C284" s="20" t="s">
        <v>253</v>
      </c>
      <c r="D284" s="20" t="s">
        <v>1223</v>
      </c>
      <c r="E284" s="20"/>
      <c r="F284" s="326">
        <f>F285</f>
        <v>0</v>
      </c>
    </row>
    <row r="285" spans="1:6" s="229" customFormat="1" ht="21" hidden="1" customHeight="1" x14ac:dyDescent="0.25">
      <c r="A285" s="25" t="s">
        <v>263</v>
      </c>
      <c r="B285" s="20" t="s">
        <v>165</v>
      </c>
      <c r="C285" s="20" t="s">
        <v>253</v>
      </c>
      <c r="D285" s="20" t="s">
        <v>1223</v>
      </c>
      <c r="E285" s="20" t="s">
        <v>264</v>
      </c>
      <c r="F285" s="326">
        <f>F286</f>
        <v>0</v>
      </c>
    </row>
    <row r="286" spans="1:6" s="229" customFormat="1" ht="31.5" hidden="1" x14ac:dyDescent="0.25">
      <c r="A286" s="25" t="s">
        <v>265</v>
      </c>
      <c r="B286" s="20" t="s">
        <v>165</v>
      </c>
      <c r="C286" s="20" t="s">
        <v>253</v>
      </c>
      <c r="D286" s="20" t="s">
        <v>1223</v>
      </c>
      <c r="E286" s="20" t="s">
        <v>266</v>
      </c>
      <c r="F286" s="326">
        <f>'Пр.6 ведом.20'!G249</f>
        <v>0</v>
      </c>
    </row>
    <row r="287" spans="1:6" s="229" customFormat="1" ht="47.25" hidden="1" x14ac:dyDescent="0.25">
      <c r="A287" s="25" t="s">
        <v>390</v>
      </c>
      <c r="B287" s="20" t="s">
        <v>165</v>
      </c>
      <c r="C287" s="20" t="s">
        <v>253</v>
      </c>
      <c r="D287" s="20" t="s">
        <v>1224</v>
      </c>
      <c r="E287" s="20"/>
      <c r="F287" s="326">
        <f>F288</f>
        <v>0</v>
      </c>
    </row>
    <row r="288" spans="1:6" s="229" customFormat="1" ht="18.75" hidden="1" customHeight="1" x14ac:dyDescent="0.25">
      <c r="A288" s="25" t="s">
        <v>263</v>
      </c>
      <c r="B288" s="20" t="s">
        <v>165</v>
      </c>
      <c r="C288" s="20" t="s">
        <v>253</v>
      </c>
      <c r="D288" s="20" t="s">
        <v>1224</v>
      </c>
      <c r="E288" s="20" t="s">
        <v>264</v>
      </c>
      <c r="F288" s="326">
        <f>F289</f>
        <v>0</v>
      </c>
    </row>
    <row r="289" spans="1:6" s="229" customFormat="1" ht="31.5" hidden="1" x14ac:dyDescent="0.25">
      <c r="A289" s="25" t="s">
        <v>265</v>
      </c>
      <c r="B289" s="20" t="s">
        <v>165</v>
      </c>
      <c r="C289" s="20" t="s">
        <v>253</v>
      </c>
      <c r="D289" s="20" t="s">
        <v>1224</v>
      </c>
      <c r="E289" s="20" t="s">
        <v>266</v>
      </c>
      <c r="F289" s="326">
        <f>'Пр.6 ведом.20'!G252</f>
        <v>0</v>
      </c>
    </row>
    <row r="290" spans="1:6" s="229" customFormat="1" ht="31.5" x14ac:dyDescent="0.25">
      <c r="A290" s="23" t="s">
        <v>1220</v>
      </c>
      <c r="B290" s="24" t="s">
        <v>165</v>
      </c>
      <c r="C290" s="24" t="s">
        <v>253</v>
      </c>
      <c r="D290" s="24" t="s">
        <v>940</v>
      </c>
      <c r="E290" s="24"/>
      <c r="F290" s="325">
        <f>F291+F294</f>
        <v>560</v>
      </c>
    </row>
    <row r="291" spans="1:6" s="229" customFormat="1" ht="31.5" x14ac:dyDescent="0.25">
      <c r="A291" s="25" t="s">
        <v>1221</v>
      </c>
      <c r="B291" s="20" t="s">
        <v>165</v>
      </c>
      <c r="C291" s="20" t="s">
        <v>253</v>
      </c>
      <c r="D291" s="20" t="s">
        <v>1225</v>
      </c>
      <c r="E291" s="20"/>
      <c r="F291" s="326">
        <f>F292</f>
        <v>60</v>
      </c>
    </row>
    <row r="292" spans="1:6" s="229" customFormat="1" ht="15.75" x14ac:dyDescent="0.25">
      <c r="A292" s="25" t="s">
        <v>150</v>
      </c>
      <c r="B292" s="20" t="s">
        <v>165</v>
      </c>
      <c r="C292" s="20" t="s">
        <v>253</v>
      </c>
      <c r="D292" s="20" t="s">
        <v>1225</v>
      </c>
      <c r="E292" s="20" t="s">
        <v>160</v>
      </c>
      <c r="F292" s="326">
        <f>F293</f>
        <v>60</v>
      </c>
    </row>
    <row r="293" spans="1:6" s="229" customFormat="1" ht="47.25" x14ac:dyDescent="0.25">
      <c r="A293" s="25" t="s">
        <v>199</v>
      </c>
      <c r="B293" s="20" t="s">
        <v>165</v>
      </c>
      <c r="C293" s="20" t="s">
        <v>253</v>
      </c>
      <c r="D293" s="20" t="s">
        <v>1225</v>
      </c>
      <c r="E293" s="20" t="s">
        <v>175</v>
      </c>
      <c r="F293" s="326">
        <f>'Пр.6 ведом.20'!G256</f>
        <v>60</v>
      </c>
    </row>
    <row r="294" spans="1:6" s="229" customFormat="1" ht="110.25" x14ac:dyDescent="0.25">
      <c r="A294" s="25" t="s">
        <v>388</v>
      </c>
      <c r="B294" s="20" t="s">
        <v>165</v>
      </c>
      <c r="C294" s="20" t="s">
        <v>253</v>
      </c>
      <c r="D294" s="20" t="s">
        <v>1226</v>
      </c>
      <c r="E294" s="20"/>
      <c r="F294" s="326">
        <f>F295</f>
        <v>500</v>
      </c>
    </row>
    <row r="295" spans="1:6" s="229" customFormat="1" ht="15.75" x14ac:dyDescent="0.25">
      <c r="A295" s="25" t="s">
        <v>150</v>
      </c>
      <c r="B295" s="20" t="s">
        <v>165</v>
      </c>
      <c r="C295" s="20" t="s">
        <v>253</v>
      </c>
      <c r="D295" s="20" t="s">
        <v>1226</v>
      </c>
      <c r="E295" s="20" t="s">
        <v>160</v>
      </c>
      <c r="F295" s="326">
        <f>F296</f>
        <v>500</v>
      </c>
    </row>
    <row r="296" spans="1:6" s="229" customFormat="1" ht="47.25" x14ac:dyDescent="0.25">
      <c r="A296" s="25" t="s">
        <v>199</v>
      </c>
      <c r="B296" s="20" t="s">
        <v>165</v>
      </c>
      <c r="C296" s="20" t="s">
        <v>253</v>
      </c>
      <c r="D296" s="20" t="s">
        <v>1226</v>
      </c>
      <c r="E296" s="20" t="s">
        <v>175</v>
      </c>
      <c r="F296" s="326">
        <f>'Пр.6 ведом.20'!G259</f>
        <v>500</v>
      </c>
    </row>
    <row r="297" spans="1:6" s="229" customFormat="1" ht="31.5" hidden="1" x14ac:dyDescent="0.25">
      <c r="A297" s="23" t="s">
        <v>1150</v>
      </c>
      <c r="B297" s="24" t="s">
        <v>165</v>
      </c>
      <c r="C297" s="24" t="s">
        <v>253</v>
      </c>
      <c r="D297" s="24" t="s">
        <v>941</v>
      </c>
      <c r="E297" s="24"/>
      <c r="F297" s="325">
        <f>F298+F301</f>
        <v>0</v>
      </c>
    </row>
    <row r="298" spans="1:6" s="229" customFormat="1" ht="31.5" hidden="1" x14ac:dyDescent="0.25">
      <c r="A298" s="351" t="s">
        <v>1229</v>
      </c>
      <c r="B298" s="20" t="s">
        <v>165</v>
      </c>
      <c r="C298" s="20" t="s">
        <v>253</v>
      </c>
      <c r="D298" s="20" t="s">
        <v>1227</v>
      </c>
      <c r="E298" s="20"/>
      <c r="F298" s="326">
        <f>F299</f>
        <v>0</v>
      </c>
    </row>
    <row r="299" spans="1:6" s="229" customFormat="1" ht="31.5" hidden="1" x14ac:dyDescent="0.25">
      <c r="A299" s="25" t="s">
        <v>146</v>
      </c>
      <c r="B299" s="20" t="s">
        <v>165</v>
      </c>
      <c r="C299" s="20" t="s">
        <v>253</v>
      </c>
      <c r="D299" s="20" t="s">
        <v>1227</v>
      </c>
      <c r="E299" s="20" t="s">
        <v>147</v>
      </c>
      <c r="F299" s="326">
        <f>F300</f>
        <v>0</v>
      </c>
    </row>
    <row r="300" spans="1:6" s="229" customFormat="1" ht="31.5" hidden="1" x14ac:dyDescent="0.25">
      <c r="A300" s="25" t="s">
        <v>148</v>
      </c>
      <c r="B300" s="20" t="s">
        <v>165</v>
      </c>
      <c r="C300" s="20" t="s">
        <v>253</v>
      </c>
      <c r="D300" s="20" t="s">
        <v>1227</v>
      </c>
      <c r="E300" s="20" t="s">
        <v>149</v>
      </c>
      <c r="F300" s="326">
        <f>'Пр.6 ведом.20'!G263</f>
        <v>0</v>
      </c>
    </row>
    <row r="301" spans="1:6" s="229" customFormat="1" ht="31.5" hidden="1" x14ac:dyDescent="0.25">
      <c r="A301" s="25" t="s">
        <v>392</v>
      </c>
      <c r="B301" s="20" t="s">
        <v>165</v>
      </c>
      <c r="C301" s="20" t="s">
        <v>253</v>
      </c>
      <c r="D301" s="20" t="s">
        <v>1228</v>
      </c>
      <c r="E301" s="20"/>
      <c r="F301" s="326">
        <f>F302</f>
        <v>0</v>
      </c>
    </row>
    <row r="302" spans="1:6" s="229" customFormat="1" ht="31.5" hidden="1" x14ac:dyDescent="0.25">
      <c r="A302" s="25" t="s">
        <v>146</v>
      </c>
      <c r="B302" s="20" t="s">
        <v>165</v>
      </c>
      <c r="C302" s="20" t="s">
        <v>253</v>
      </c>
      <c r="D302" s="20" t="s">
        <v>1228</v>
      </c>
      <c r="E302" s="20" t="s">
        <v>147</v>
      </c>
      <c r="F302" s="326">
        <f>F303</f>
        <v>0</v>
      </c>
    </row>
    <row r="303" spans="1:6" s="229" customFormat="1" ht="31.5" hidden="1" x14ac:dyDescent="0.25">
      <c r="A303" s="25" t="s">
        <v>148</v>
      </c>
      <c r="B303" s="20" t="s">
        <v>165</v>
      </c>
      <c r="C303" s="20" t="s">
        <v>253</v>
      </c>
      <c r="D303" s="20" t="s">
        <v>1228</v>
      </c>
      <c r="E303" s="20" t="s">
        <v>149</v>
      </c>
      <c r="F303" s="326">
        <f>'Пр.6 ведом.20'!G266</f>
        <v>0</v>
      </c>
    </row>
    <row r="304" spans="1:6" s="229" customFormat="1" ht="31.5" x14ac:dyDescent="0.25">
      <c r="A304" s="274" t="s">
        <v>1323</v>
      </c>
      <c r="B304" s="24" t="s">
        <v>165</v>
      </c>
      <c r="C304" s="24" t="s">
        <v>253</v>
      </c>
      <c r="D304" s="24" t="s">
        <v>1322</v>
      </c>
      <c r="E304" s="24"/>
      <c r="F304" s="416">
        <f>F305</f>
        <v>10</v>
      </c>
    </row>
    <row r="305" spans="1:12" s="229" customFormat="1" ht="31.5" x14ac:dyDescent="0.25">
      <c r="A305" s="303" t="s">
        <v>1324</v>
      </c>
      <c r="B305" s="20" t="s">
        <v>165</v>
      </c>
      <c r="C305" s="20" t="s">
        <v>253</v>
      </c>
      <c r="D305" s="20" t="s">
        <v>1381</v>
      </c>
      <c r="E305" s="20"/>
      <c r="F305" s="415">
        <f>F306</f>
        <v>10</v>
      </c>
    </row>
    <row r="306" spans="1:12" s="229" customFormat="1" ht="31.5" x14ac:dyDescent="0.25">
      <c r="A306" s="25" t="s">
        <v>146</v>
      </c>
      <c r="B306" s="20" t="s">
        <v>165</v>
      </c>
      <c r="C306" s="20" t="s">
        <v>253</v>
      </c>
      <c r="D306" s="20" t="s">
        <v>1381</v>
      </c>
      <c r="E306" s="20" t="s">
        <v>147</v>
      </c>
      <c r="F306" s="415">
        <f>F307</f>
        <v>10</v>
      </c>
    </row>
    <row r="307" spans="1:12" s="229" customFormat="1" ht="31.5" x14ac:dyDescent="0.25">
      <c r="A307" s="25" t="s">
        <v>148</v>
      </c>
      <c r="B307" s="20" t="s">
        <v>165</v>
      </c>
      <c r="C307" s="20" t="s">
        <v>253</v>
      </c>
      <c r="D307" s="20" t="s">
        <v>1381</v>
      </c>
      <c r="E307" s="20" t="s">
        <v>149</v>
      </c>
      <c r="F307" s="415">
        <f>'Пр.6 ведом.20'!G270</f>
        <v>10</v>
      </c>
    </row>
    <row r="308" spans="1:12" ht="47.25" hidden="1" x14ac:dyDescent="0.25">
      <c r="A308" s="23" t="s">
        <v>1250</v>
      </c>
      <c r="B308" s="24" t="s">
        <v>165</v>
      </c>
      <c r="C308" s="24" t="s">
        <v>253</v>
      </c>
      <c r="D308" s="24" t="s">
        <v>171</v>
      </c>
      <c r="E308" s="24"/>
      <c r="F308" s="325">
        <f>F309</f>
        <v>0</v>
      </c>
    </row>
    <row r="309" spans="1:12" ht="47.25" hidden="1" x14ac:dyDescent="0.25">
      <c r="A309" s="23" t="s">
        <v>1254</v>
      </c>
      <c r="B309" s="24" t="s">
        <v>165</v>
      </c>
      <c r="C309" s="24" t="s">
        <v>253</v>
      </c>
      <c r="D309" s="24" t="s">
        <v>1251</v>
      </c>
      <c r="E309" s="24"/>
      <c r="F309" s="325">
        <f>F310+F313</f>
        <v>0</v>
      </c>
    </row>
    <row r="310" spans="1:12" ht="31.5" hidden="1" x14ac:dyDescent="0.25">
      <c r="A310" s="25" t="s">
        <v>1255</v>
      </c>
      <c r="B310" s="20" t="s">
        <v>165</v>
      </c>
      <c r="C310" s="20" t="s">
        <v>253</v>
      </c>
      <c r="D310" s="20" t="s">
        <v>1252</v>
      </c>
      <c r="E310" s="20"/>
      <c r="F310" s="326">
        <f>F311</f>
        <v>0</v>
      </c>
    </row>
    <row r="311" spans="1:12" ht="15.75" hidden="1" x14ac:dyDescent="0.25">
      <c r="A311" s="25" t="s">
        <v>150</v>
      </c>
      <c r="B311" s="20" t="s">
        <v>165</v>
      </c>
      <c r="C311" s="20" t="s">
        <v>253</v>
      </c>
      <c r="D311" s="20" t="s">
        <v>1252</v>
      </c>
      <c r="E311" s="20" t="s">
        <v>160</v>
      </c>
      <c r="F311" s="326">
        <f>F312</f>
        <v>0</v>
      </c>
    </row>
    <row r="312" spans="1:12" ht="47.25" hidden="1" x14ac:dyDescent="0.25">
      <c r="A312" s="25" t="s">
        <v>199</v>
      </c>
      <c r="B312" s="20" t="s">
        <v>165</v>
      </c>
      <c r="C312" s="20" t="s">
        <v>253</v>
      </c>
      <c r="D312" s="20" t="s">
        <v>1252</v>
      </c>
      <c r="E312" s="20" t="s">
        <v>175</v>
      </c>
      <c r="F312" s="326">
        <f>'Пр.6 ведом.20'!G183</f>
        <v>0</v>
      </c>
    </row>
    <row r="313" spans="1:12" ht="31.5" hidden="1" x14ac:dyDescent="0.25">
      <c r="A313" s="25" t="s">
        <v>254</v>
      </c>
      <c r="B313" s="20" t="s">
        <v>165</v>
      </c>
      <c r="C313" s="20" t="s">
        <v>253</v>
      </c>
      <c r="D313" s="20" t="s">
        <v>1253</v>
      </c>
      <c r="E313" s="24"/>
      <c r="F313" s="326">
        <f>F314</f>
        <v>0</v>
      </c>
    </row>
    <row r="314" spans="1:12" ht="15.75" hidden="1" x14ac:dyDescent="0.25">
      <c r="A314" s="25" t="s">
        <v>150</v>
      </c>
      <c r="B314" s="20" t="s">
        <v>165</v>
      </c>
      <c r="C314" s="20" t="s">
        <v>253</v>
      </c>
      <c r="D314" s="20" t="s">
        <v>1253</v>
      </c>
      <c r="E314" s="20" t="s">
        <v>160</v>
      </c>
      <c r="F314" s="326">
        <f>F315</f>
        <v>0</v>
      </c>
    </row>
    <row r="315" spans="1:12" ht="47.25" hidden="1" x14ac:dyDescent="0.25">
      <c r="A315" s="25" t="s">
        <v>199</v>
      </c>
      <c r="B315" s="20" t="s">
        <v>165</v>
      </c>
      <c r="C315" s="20" t="s">
        <v>253</v>
      </c>
      <c r="D315" s="20" t="s">
        <v>1253</v>
      </c>
      <c r="E315" s="20" t="s">
        <v>175</v>
      </c>
      <c r="F315" s="326">
        <f>'Пр.6 ведом.20'!G186</f>
        <v>0</v>
      </c>
    </row>
    <row r="316" spans="1:12" ht="15.75" x14ac:dyDescent="0.25">
      <c r="A316" s="23" t="s">
        <v>405</v>
      </c>
      <c r="B316" s="24" t="s">
        <v>249</v>
      </c>
      <c r="C316" s="24"/>
      <c r="D316" s="24"/>
      <c r="E316" s="24"/>
      <c r="F316" s="305">
        <f>F317++F331+F395+F444</f>
        <v>37959.5</v>
      </c>
      <c r="H316" s="22"/>
    </row>
    <row r="317" spans="1:12" ht="15.75" x14ac:dyDescent="0.25">
      <c r="A317" s="23" t="s">
        <v>406</v>
      </c>
      <c r="B317" s="24" t="s">
        <v>249</v>
      </c>
      <c r="C317" s="24" t="s">
        <v>133</v>
      </c>
      <c r="D317" s="24"/>
      <c r="E317" s="24"/>
      <c r="F317" s="305">
        <f t="shared" ref="F317:F318" si="42">F318</f>
        <v>6341</v>
      </c>
      <c r="G317" s="22"/>
      <c r="H317" s="22"/>
      <c r="I317" s="22"/>
      <c r="L317" s="22"/>
    </row>
    <row r="318" spans="1:12" ht="15.75" x14ac:dyDescent="0.25">
      <c r="A318" s="23" t="s">
        <v>156</v>
      </c>
      <c r="B318" s="24" t="s">
        <v>249</v>
      </c>
      <c r="C318" s="24" t="s">
        <v>133</v>
      </c>
      <c r="D318" s="24" t="s">
        <v>914</v>
      </c>
      <c r="E318" s="24"/>
      <c r="F318" s="305">
        <f t="shared" si="42"/>
        <v>6341</v>
      </c>
    </row>
    <row r="319" spans="1:12" ht="31.5" x14ac:dyDescent="0.25">
      <c r="A319" s="23" t="s">
        <v>918</v>
      </c>
      <c r="B319" s="24" t="s">
        <v>249</v>
      </c>
      <c r="C319" s="24" t="s">
        <v>133</v>
      </c>
      <c r="D319" s="24" t="s">
        <v>913</v>
      </c>
      <c r="E319" s="24"/>
      <c r="F319" s="305">
        <f>F320+F325+F328</f>
        <v>6341</v>
      </c>
    </row>
    <row r="320" spans="1:12" ht="15.75" hidden="1" x14ac:dyDescent="0.25">
      <c r="A320" s="25" t="s">
        <v>530</v>
      </c>
      <c r="B320" s="20" t="s">
        <v>796</v>
      </c>
      <c r="C320" s="20" t="s">
        <v>133</v>
      </c>
      <c r="D320" s="20" t="s">
        <v>1101</v>
      </c>
      <c r="E320" s="24"/>
      <c r="F320" s="411">
        <f t="shared" ref="F320" si="43">F321+F323</f>
        <v>0</v>
      </c>
    </row>
    <row r="321" spans="1:8" ht="31.5" hidden="1" x14ac:dyDescent="0.25">
      <c r="A321" s="25" t="s">
        <v>146</v>
      </c>
      <c r="B321" s="20" t="s">
        <v>249</v>
      </c>
      <c r="C321" s="20" t="s">
        <v>133</v>
      </c>
      <c r="D321" s="20" t="s">
        <v>1101</v>
      </c>
      <c r="E321" s="20" t="s">
        <v>147</v>
      </c>
      <c r="F321" s="411">
        <f t="shared" ref="F321" si="44">F322</f>
        <v>0</v>
      </c>
    </row>
    <row r="322" spans="1:8" ht="31.5" hidden="1" x14ac:dyDescent="0.25">
      <c r="A322" s="25" t="s">
        <v>148</v>
      </c>
      <c r="B322" s="20" t="s">
        <v>249</v>
      </c>
      <c r="C322" s="20" t="s">
        <v>133</v>
      </c>
      <c r="D322" s="20" t="s">
        <v>1101</v>
      </c>
      <c r="E322" s="20" t="s">
        <v>149</v>
      </c>
      <c r="F322" s="411">
        <f>'Пр.6 ведом.20'!G883</f>
        <v>0</v>
      </c>
    </row>
    <row r="323" spans="1:8" ht="15.75" hidden="1" x14ac:dyDescent="0.25">
      <c r="A323" s="25" t="s">
        <v>150</v>
      </c>
      <c r="B323" s="20" t="s">
        <v>249</v>
      </c>
      <c r="C323" s="20" t="s">
        <v>133</v>
      </c>
      <c r="D323" s="20" t="s">
        <v>1101</v>
      </c>
      <c r="E323" s="20" t="s">
        <v>160</v>
      </c>
      <c r="F323" s="411">
        <f t="shared" ref="F323" si="45">F324</f>
        <v>0</v>
      </c>
    </row>
    <row r="324" spans="1:8" ht="47.25" hidden="1" x14ac:dyDescent="0.25">
      <c r="A324" s="25" t="s">
        <v>199</v>
      </c>
      <c r="B324" s="20" t="s">
        <v>249</v>
      </c>
      <c r="C324" s="20" t="s">
        <v>133</v>
      </c>
      <c r="D324" s="20" t="s">
        <v>1101</v>
      </c>
      <c r="E324" s="20" t="s">
        <v>175</v>
      </c>
      <c r="F324" s="411">
        <f>'Пр.6 ведом.20'!G885</f>
        <v>0</v>
      </c>
    </row>
    <row r="325" spans="1:8" ht="31.5" x14ac:dyDescent="0.25">
      <c r="A325" s="29" t="s">
        <v>413</v>
      </c>
      <c r="B325" s="20" t="s">
        <v>249</v>
      </c>
      <c r="C325" s="20" t="s">
        <v>133</v>
      </c>
      <c r="D325" s="20" t="s">
        <v>1102</v>
      </c>
      <c r="E325" s="24"/>
      <c r="F325" s="411">
        <f t="shared" ref="F325:F326" si="46">F326</f>
        <v>4290.3999999999996</v>
      </c>
    </row>
    <row r="326" spans="1:8" ht="31.5" x14ac:dyDescent="0.25">
      <c r="A326" s="25" t="s">
        <v>146</v>
      </c>
      <c r="B326" s="20" t="s">
        <v>249</v>
      </c>
      <c r="C326" s="20" t="s">
        <v>133</v>
      </c>
      <c r="D326" s="20" t="s">
        <v>1102</v>
      </c>
      <c r="E326" s="20" t="s">
        <v>147</v>
      </c>
      <c r="F326" s="411">
        <f t="shared" si="46"/>
        <v>4290.3999999999996</v>
      </c>
    </row>
    <row r="327" spans="1:8" ht="31.5" x14ac:dyDescent="0.25">
      <c r="A327" s="25" t="s">
        <v>148</v>
      </c>
      <c r="B327" s="20" t="s">
        <v>249</v>
      </c>
      <c r="C327" s="20" t="s">
        <v>133</v>
      </c>
      <c r="D327" s="20" t="s">
        <v>1102</v>
      </c>
      <c r="E327" s="20" t="s">
        <v>149</v>
      </c>
      <c r="F327" s="411">
        <f>'Пр.6 ведом.20'!G519+'Пр.6 ведом.20'!G888</f>
        <v>4290.3999999999996</v>
      </c>
    </row>
    <row r="328" spans="1:8" ht="31.5" x14ac:dyDescent="0.25">
      <c r="A328" s="29" t="s">
        <v>1009</v>
      </c>
      <c r="B328" s="20" t="s">
        <v>249</v>
      </c>
      <c r="C328" s="20" t="s">
        <v>133</v>
      </c>
      <c r="D328" s="20" t="s">
        <v>1103</v>
      </c>
      <c r="E328" s="24"/>
      <c r="F328" s="411">
        <f>F329</f>
        <v>2050.6</v>
      </c>
    </row>
    <row r="329" spans="1:8" ht="31.5" x14ac:dyDescent="0.25">
      <c r="A329" s="25" t="s">
        <v>146</v>
      </c>
      <c r="B329" s="20" t="s">
        <v>249</v>
      </c>
      <c r="C329" s="20" t="s">
        <v>133</v>
      </c>
      <c r="D329" s="20" t="s">
        <v>1103</v>
      </c>
      <c r="E329" s="20" t="s">
        <v>147</v>
      </c>
      <c r="F329" s="411">
        <f>F330</f>
        <v>2050.6</v>
      </c>
    </row>
    <row r="330" spans="1:8" ht="31.5" x14ac:dyDescent="0.25">
      <c r="A330" s="25" t="s">
        <v>148</v>
      </c>
      <c r="B330" s="20" t="s">
        <v>249</v>
      </c>
      <c r="C330" s="20" t="s">
        <v>133</v>
      </c>
      <c r="D330" s="20" t="s">
        <v>1103</v>
      </c>
      <c r="E330" s="20" t="s">
        <v>149</v>
      </c>
      <c r="F330" s="411">
        <f>'Пр.6 ведом.20'!G891+'Пр.6 ведом.20'!G522</f>
        <v>2050.6</v>
      </c>
    </row>
    <row r="331" spans="1:8" ht="15.75" x14ac:dyDescent="0.25">
      <c r="A331" s="23" t="s">
        <v>532</v>
      </c>
      <c r="B331" s="24" t="s">
        <v>249</v>
      </c>
      <c r="C331" s="24" t="s">
        <v>228</v>
      </c>
      <c r="D331" s="24"/>
      <c r="E331" s="24"/>
      <c r="F331" s="305">
        <f>F361+F332+F390</f>
        <v>5120</v>
      </c>
      <c r="H331" s="22"/>
    </row>
    <row r="332" spans="1:8" ht="15.75" x14ac:dyDescent="0.25">
      <c r="A332" s="23" t="s">
        <v>156</v>
      </c>
      <c r="B332" s="24" t="s">
        <v>249</v>
      </c>
      <c r="C332" s="24" t="s">
        <v>228</v>
      </c>
      <c r="D332" s="24" t="s">
        <v>914</v>
      </c>
      <c r="E332" s="24"/>
      <c r="F332" s="305">
        <f>F333+F344</f>
        <v>5000</v>
      </c>
    </row>
    <row r="333" spans="1:8" ht="33" customHeight="1" x14ac:dyDescent="0.25">
      <c r="A333" s="23" t="s">
        <v>918</v>
      </c>
      <c r="B333" s="24" t="s">
        <v>249</v>
      </c>
      <c r="C333" s="24" t="s">
        <v>228</v>
      </c>
      <c r="D333" s="24" t="s">
        <v>913</v>
      </c>
      <c r="E333" s="24"/>
      <c r="F333" s="305">
        <f>F334+F339</f>
        <v>5000</v>
      </c>
    </row>
    <row r="334" spans="1:8" ht="17.25" hidden="1" customHeight="1" x14ac:dyDescent="0.25">
      <c r="A334" s="35" t="s">
        <v>552</v>
      </c>
      <c r="B334" s="20" t="s">
        <v>249</v>
      </c>
      <c r="C334" s="20" t="s">
        <v>228</v>
      </c>
      <c r="D334" s="20" t="s">
        <v>1120</v>
      </c>
      <c r="E334" s="20"/>
      <c r="F334" s="411">
        <f>F335+F337</f>
        <v>0</v>
      </c>
    </row>
    <row r="335" spans="1:8" ht="35.25" hidden="1" customHeight="1" x14ac:dyDescent="0.25">
      <c r="A335" s="25" t="s">
        <v>146</v>
      </c>
      <c r="B335" s="20" t="s">
        <v>249</v>
      </c>
      <c r="C335" s="20" t="s">
        <v>228</v>
      </c>
      <c r="D335" s="20" t="s">
        <v>1120</v>
      </c>
      <c r="E335" s="20" t="s">
        <v>147</v>
      </c>
      <c r="F335" s="411">
        <f>F336</f>
        <v>0</v>
      </c>
    </row>
    <row r="336" spans="1:8" ht="31.5" hidden="1" x14ac:dyDescent="0.25">
      <c r="A336" s="25" t="s">
        <v>148</v>
      </c>
      <c r="B336" s="20" t="s">
        <v>249</v>
      </c>
      <c r="C336" s="20" t="s">
        <v>228</v>
      </c>
      <c r="D336" s="20" t="s">
        <v>1120</v>
      </c>
      <c r="E336" s="20" t="s">
        <v>149</v>
      </c>
      <c r="F336" s="411">
        <f>'Пр.6 ведом.20'!G897</f>
        <v>0</v>
      </c>
    </row>
    <row r="337" spans="1:6" ht="15.75" hidden="1" x14ac:dyDescent="0.25">
      <c r="A337" s="25" t="s">
        <v>150</v>
      </c>
      <c r="B337" s="20" t="s">
        <v>249</v>
      </c>
      <c r="C337" s="20" t="s">
        <v>228</v>
      </c>
      <c r="D337" s="20" t="s">
        <v>1120</v>
      </c>
      <c r="E337" s="20" t="s">
        <v>160</v>
      </c>
      <c r="F337" s="411">
        <f t="shared" ref="F337" si="47">F338</f>
        <v>0</v>
      </c>
    </row>
    <row r="338" spans="1:6" ht="47.25" hidden="1" x14ac:dyDescent="0.25">
      <c r="A338" s="25" t="s">
        <v>199</v>
      </c>
      <c r="B338" s="20" t="s">
        <v>249</v>
      </c>
      <c r="C338" s="20" t="s">
        <v>228</v>
      </c>
      <c r="D338" s="20" t="s">
        <v>1120</v>
      </c>
      <c r="E338" s="20" t="s">
        <v>175</v>
      </c>
      <c r="F338" s="411">
        <f>'Пр.6 ведом.20'!G899</f>
        <v>0</v>
      </c>
    </row>
    <row r="339" spans="1:6" ht="31.5" x14ac:dyDescent="0.25">
      <c r="A339" s="29" t="s">
        <v>1009</v>
      </c>
      <c r="B339" s="20" t="s">
        <v>249</v>
      </c>
      <c r="C339" s="20" t="s">
        <v>228</v>
      </c>
      <c r="D339" s="20" t="s">
        <v>1103</v>
      </c>
      <c r="E339" s="20"/>
      <c r="F339" s="411">
        <f>F340+F342</f>
        <v>5000</v>
      </c>
    </row>
    <row r="340" spans="1:6" ht="31.5" x14ac:dyDescent="0.25">
      <c r="A340" s="25" t="s">
        <v>146</v>
      </c>
      <c r="B340" s="20" t="s">
        <v>249</v>
      </c>
      <c r="C340" s="20" t="s">
        <v>228</v>
      </c>
      <c r="D340" s="20" t="s">
        <v>1103</v>
      </c>
      <c r="E340" s="20" t="s">
        <v>147</v>
      </c>
      <c r="F340" s="411">
        <f t="shared" ref="F340" si="48">F341</f>
        <v>5000</v>
      </c>
    </row>
    <row r="341" spans="1:6" ht="31.5" x14ac:dyDescent="0.25">
      <c r="A341" s="25" t="s">
        <v>148</v>
      </c>
      <c r="B341" s="20" t="s">
        <v>249</v>
      </c>
      <c r="C341" s="20" t="s">
        <v>228</v>
      </c>
      <c r="D341" s="20" t="s">
        <v>1103</v>
      </c>
      <c r="E341" s="20" t="s">
        <v>149</v>
      </c>
      <c r="F341" s="411">
        <f>'Пр.6 ведом.20'!G902</f>
        <v>5000</v>
      </c>
    </row>
    <row r="342" spans="1:6" ht="15.75" hidden="1" x14ac:dyDescent="0.25">
      <c r="A342" s="25" t="s">
        <v>150</v>
      </c>
      <c r="B342" s="20" t="s">
        <v>249</v>
      </c>
      <c r="C342" s="20" t="s">
        <v>228</v>
      </c>
      <c r="D342" s="20" t="s">
        <v>1103</v>
      </c>
      <c r="E342" s="20" t="s">
        <v>160</v>
      </c>
      <c r="F342" s="411">
        <f>F343</f>
        <v>0</v>
      </c>
    </row>
    <row r="343" spans="1:6" ht="15.75" hidden="1" x14ac:dyDescent="0.25">
      <c r="A343" s="25" t="s">
        <v>161</v>
      </c>
      <c r="B343" s="20" t="s">
        <v>249</v>
      </c>
      <c r="C343" s="20" t="s">
        <v>228</v>
      </c>
      <c r="D343" s="20" t="s">
        <v>1103</v>
      </c>
      <c r="E343" s="20" t="s">
        <v>162</v>
      </c>
      <c r="F343" s="411">
        <f>'Пр.6 ведом.20'!G904</f>
        <v>0</v>
      </c>
    </row>
    <row r="344" spans="1:6" ht="47.25" hidden="1" x14ac:dyDescent="0.25">
      <c r="A344" s="23" t="s">
        <v>1177</v>
      </c>
      <c r="B344" s="24" t="s">
        <v>249</v>
      </c>
      <c r="C344" s="24" t="s">
        <v>228</v>
      </c>
      <c r="D344" s="24" t="s">
        <v>1121</v>
      </c>
      <c r="E344" s="24"/>
      <c r="F344" s="305">
        <f>F345+F350+F353+F358</f>
        <v>0</v>
      </c>
    </row>
    <row r="345" spans="1:6" ht="47.25" hidden="1" x14ac:dyDescent="0.25">
      <c r="A345" s="25" t="s">
        <v>874</v>
      </c>
      <c r="B345" s="20" t="s">
        <v>249</v>
      </c>
      <c r="C345" s="20" t="s">
        <v>228</v>
      </c>
      <c r="D345" s="20" t="s">
        <v>1122</v>
      </c>
      <c r="E345" s="20"/>
      <c r="F345" s="411">
        <f>F346+F348</f>
        <v>0</v>
      </c>
    </row>
    <row r="346" spans="1:6" ht="31.5" hidden="1" x14ac:dyDescent="0.25">
      <c r="A346" s="25" t="s">
        <v>146</v>
      </c>
      <c r="B346" s="20" t="s">
        <v>249</v>
      </c>
      <c r="C346" s="20" t="s">
        <v>228</v>
      </c>
      <c r="D346" s="20" t="s">
        <v>1122</v>
      </c>
      <c r="E346" s="20" t="s">
        <v>147</v>
      </c>
      <c r="F346" s="411">
        <f>F347</f>
        <v>0</v>
      </c>
    </row>
    <row r="347" spans="1:6" ht="31.5" hidden="1" x14ac:dyDescent="0.25">
      <c r="A347" s="25" t="s">
        <v>148</v>
      </c>
      <c r="B347" s="20" t="s">
        <v>249</v>
      </c>
      <c r="C347" s="20" t="s">
        <v>228</v>
      </c>
      <c r="D347" s="20" t="s">
        <v>1122</v>
      </c>
      <c r="E347" s="20" t="s">
        <v>149</v>
      </c>
      <c r="F347" s="411">
        <f>'Пр.6 ведом.20'!G908</f>
        <v>0</v>
      </c>
    </row>
    <row r="348" spans="1:6" ht="15.75" hidden="1" x14ac:dyDescent="0.25">
      <c r="A348" s="25" t="s">
        <v>150</v>
      </c>
      <c r="B348" s="20" t="s">
        <v>249</v>
      </c>
      <c r="C348" s="20" t="s">
        <v>228</v>
      </c>
      <c r="D348" s="20" t="s">
        <v>1122</v>
      </c>
      <c r="E348" s="20" t="s">
        <v>884</v>
      </c>
      <c r="F348" s="411">
        <f>F349</f>
        <v>0</v>
      </c>
    </row>
    <row r="349" spans="1:6" ht="15.75" hidden="1" x14ac:dyDescent="0.25">
      <c r="A349" s="25" t="s">
        <v>583</v>
      </c>
      <c r="B349" s="20" t="s">
        <v>249</v>
      </c>
      <c r="C349" s="20" t="s">
        <v>228</v>
      </c>
      <c r="D349" s="20" t="s">
        <v>1122</v>
      </c>
      <c r="E349" s="20" t="s">
        <v>1257</v>
      </c>
      <c r="F349" s="411">
        <f>'Пр.6 ведом.20'!G910</f>
        <v>0</v>
      </c>
    </row>
    <row r="350" spans="1:6" ht="49.5" hidden="1" customHeight="1" x14ac:dyDescent="0.25">
      <c r="A350" s="25" t="s">
        <v>823</v>
      </c>
      <c r="B350" s="20" t="s">
        <v>249</v>
      </c>
      <c r="C350" s="20" t="s">
        <v>228</v>
      </c>
      <c r="D350" s="20" t="s">
        <v>1123</v>
      </c>
      <c r="E350" s="20"/>
      <c r="F350" s="411">
        <f>F351</f>
        <v>0</v>
      </c>
    </row>
    <row r="351" spans="1:6" ht="31.5" hidden="1" x14ac:dyDescent="0.25">
      <c r="A351" s="25" t="s">
        <v>146</v>
      </c>
      <c r="B351" s="20" t="s">
        <v>249</v>
      </c>
      <c r="C351" s="20" t="s">
        <v>228</v>
      </c>
      <c r="D351" s="20" t="s">
        <v>1123</v>
      </c>
      <c r="E351" s="20" t="s">
        <v>147</v>
      </c>
      <c r="F351" s="411">
        <f>F352</f>
        <v>0</v>
      </c>
    </row>
    <row r="352" spans="1:6" ht="31.5" hidden="1" x14ac:dyDescent="0.25">
      <c r="A352" s="25" t="s">
        <v>148</v>
      </c>
      <c r="B352" s="20" t="s">
        <v>249</v>
      </c>
      <c r="C352" s="20" t="s">
        <v>228</v>
      </c>
      <c r="D352" s="20" t="s">
        <v>1123</v>
      </c>
      <c r="E352" s="20" t="s">
        <v>149</v>
      </c>
      <c r="F352" s="411">
        <f>'Пр.6 ведом.20'!G913</f>
        <v>0</v>
      </c>
    </row>
    <row r="353" spans="1:6" ht="47.25" hidden="1" x14ac:dyDescent="0.25">
      <c r="A353" s="100" t="s">
        <v>880</v>
      </c>
      <c r="B353" s="20" t="s">
        <v>249</v>
      </c>
      <c r="C353" s="20" t="s">
        <v>228</v>
      </c>
      <c r="D353" s="20" t="s">
        <v>1124</v>
      </c>
      <c r="E353" s="20"/>
      <c r="F353" s="411">
        <f>F354+F356</f>
        <v>0</v>
      </c>
    </row>
    <row r="354" spans="1:6" ht="31.5" hidden="1" x14ac:dyDescent="0.25">
      <c r="A354" s="25" t="s">
        <v>885</v>
      </c>
      <c r="B354" s="20" t="s">
        <v>249</v>
      </c>
      <c r="C354" s="20" t="s">
        <v>228</v>
      </c>
      <c r="D354" s="20" t="s">
        <v>1124</v>
      </c>
      <c r="E354" s="20" t="s">
        <v>884</v>
      </c>
      <c r="F354" s="411">
        <f>F355</f>
        <v>0</v>
      </c>
    </row>
    <row r="355" spans="1:6" ht="31.5" hidden="1" customHeight="1" x14ac:dyDescent="0.25">
      <c r="A355" s="25" t="s">
        <v>1235</v>
      </c>
      <c r="B355" s="20" t="s">
        <v>249</v>
      </c>
      <c r="C355" s="20" t="s">
        <v>228</v>
      </c>
      <c r="D355" s="20" t="s">
        <v>1124</v>
      </c>
      <c r="E355" s="20" t="s">
        <v>1257</v>
      </c>
      <c r="F355" s="411">
        <f>'Пр.6 ведом.20'!G916</f>
        <v>0</v>
      </c>
    </row>
    <row r="356" spans="1:6" ht="21" hidden="1" customHeight="1" x14ac:dyDescent="0.25">
      <c r="A356" s="25" t="s">
        <v>150</v>
      </c>
      <c r="B356" s="20" t="s">
        <v>249</v>
      </c>
      <c r="C356" s="20" t="s">
        <v>228</v>
      </c>
      <c r="D356" s="20" t="s">
        <v>1124</v>
      </c>
      <c r="E356" s="20" t="s">
        <v>160</v>
      </c>
      <c r="F356" s="411">
        <f>F357</f>
        <v>0</v>
      </c>
    </row>
    <row r="357" spans="1:6" ht="21.75" hidden="1" customHeight="1" x14ac:dyDescent="0.25">
      <c r="A357" s="25" t="s">
        <v>726</v>
      </c>
      <c r="B357" s="20" t="s">
        <v>249</v>
      </c>
      <c r="C357" s="20" t="s">
        <v>228</v>
      </c>
      <c r="D357" s="20" t="s">
        <v>1124</v>
      </c>
      <c r="E357" s="20" t="s">
        <v>153</v>
      </c>
      <c r="F357" s="411">
        <f>'Пр.6 ведом.20'!G918</f>
        <v>0</v>
      </c>
    </row>
    <row r="358" spans="1:6" ht="31.5" hidden="1" x14ac:dyDescent="0.25">
      <c r="A358" s="25" t="s">
        <v>1258</v>
      </c>
      <c r="B358" s="20" t="s">
        <v>249</v>
      </c>
      <c r="C358" s="20" t="s">
        <v>228</v>
      </c>
      <c r="D358" s="20" t="s">
        <v>1259</v>
      </c>
      <c r="E358" s="20"/>
      <c r="F358" s="411">
        <f t="shared" ref="F358:F359" si="49">F359</f>
        <v>0</v>
      </c>
    </row>
    <row r="359" spans="1:6" ht="31.5" hidden="1" x14ac:dyDescent="0.25">
      <c r="A359" s="25" t="s">
        <v>146</v>
      </c>
      <c r="B359" s="20" t="s">
        <v>249</v>
      </c>
      <c r="C359" s="20" t="s">
        <v>228</v>
      </c>
      <c r="D359" s="20" t="s">
        <v>1259</v>
      </c>
      <c r="E359" s="20" t="s">
        <v>147</v>
      </c>
      <c r="F359" s="411">
        <f t="shared" si="49"/>
        <v>0</v>
      </c>
    </row>
    <row r="360" spans="1:6" ht="31.5" hidden="1" x14ac:dyDescent="0.25">
      <c r="A360" s="25" t="s">
        <v>148</v>
      </c>
      <c r="B360" s="20" t="s">
        <v>249</v>
      </c>
      <c r="C360" s="20" t="s">
        <v>228</v>
      </c>
      <c r="D360" s="20" t="s">
        <v>1259</v>
      </c>
      <c r="E360" s="20" t="s">
        <v>149</v>
      </c>
      <c r="F360" s="411">
        <f>'Пр.6 ведом.20'!G921</f>
        <v>0</v>
      </c>
    </row>
    <row r="361" spans="1:6" ht="63" hidden="1" x14ac:dyDescent="0.25">
      <c r="A361" s="23" t="s">
        <v>1184</v>
      </c>
      <c r="B361" s="24" t="s">
        <v>249</v>
      </c>
      <c r="C361" s="24" t="s">
        <v>228</v>
      </c>
      <c r="D361" s="24" t="s">
        <v>533</v>
      </c>
      <c r="E361" s="24"/>
      <c r="F361" s="305">
        <f>F362+F366+F370+F374+F378+F382+F386</f>
        <v>0</v>
      </c>
    </row>
    <row r="362" spans="1:6" ht="31.5" hidden="1" x14ac:dyDescent="0.25">
      <c r="A362" s="23" t="s">
        <v>1104</v>
      </c>
      <c r="B362" s="24" t="s">
        <v>249</v>
      </c>
      <c r="C362" s="24" t="s">
        <v>228</v>
      </c>
      <c r="D362" s="24" t="s">
        <v>1106</v>
      </c>
      <c r="E362" s="24"/>
      <c r="F362" s="305">
        <f>F363</f>
        <v>0</v>
      </c>
    </row>
    <row r="363" spans="1:6" ht="15.75" hidden="1" x14ac:dyDescent="0.25">
      <c r="A363" s="45" t="s">
        <v>1105</v>
      </c>
      <c r="B363" s="40" t="s">
        <v>249</v>
      </c>
      <c r="C363" s="40" t="s">
        <v>228</v>
      </c>
      <c r="D363" s="20" t="s">
        <v>1107</v>
      </c>
      <c r="E363" s="40"/>
      <c r="F363" s="411">
        <f t="shared" ref="F363:F364" si="50">F364</f>
        <v>0</v>
      </c>
    </row>
    <row r="364" spans="1:6" ht="31.5" hidden="1" x14ac:dyDescent="0.25">
      <c r="A364" s="31" t="s">
        <v>146</v>
      </c>
      <c r="B364" s="40" t="s">
        <v>249</v>
      </c>
      <c r="C364" s="40" t="s">
        <v>228</v>
      </c>
      <c r="D364" s="20" t="s">
        <v>1107</v>
      </c>
      <c r="E364" s="40" t="s">
        <v>147</v>
      </c>
      <c r="F364" s="411">
        <f t="shared" si="50"/>
        <v>0</v>
      </c>
    </row>
    <row r="365" spans="1:6" ht="31.5" hidden="1" x14ac:dyDescent="0.25">
      <c r="A365" s="31" t="s">
        <v>148</v>
      </c>
      <c r="B365" s="40" t="s">
        <v>249</v>
      </c>
      <c r="C365" s="40" t="s">
        <v>228</v>
      </c>
      <c r="D365" s="20" t="s">
        <v>1107</v>
      </c>
      <c r="E365" s="40" t="s">
        <v>149</v>
      </c>
      <c r="F365" s="411">
        <f>'Пр.6 ведом.20'!G926</f>
        <v>0</v>
      </c>
    </row>
    <row r="366" spans="1:6" ht="31.5" hidden="1" x14ac:dyDescent="0.25">
      <c r="A366" s="34" t="s">
        <v>1108</v>
      </c>
      <c r="B366" s="7" t="s">
        <v>249</v>
      </c>
      <c r="C366" s="7" t="s">
        <v>228</v>
      </c>
      <c r="D366" s="24" t="s">
        <v>1109</v>
      </c>
      <c r="E366" s="7"/>
      <c r="F366" s="305">
        <f>F367</f>
        <v>0</v>
      </c>
    </row>
    <row r="367" spans="1:6" ht="15.75" hidden="1" x14ac:dyDescent="0.25">
      <c r="A367" s="45" t="s">
        <v>538</v>
      </c>
      <c r="B367" s="40" t="s">
        <v>249</v>
      </c>
      <c r="C367" s="40" t="s">
        <v>228</v>
      </c>
      <c r="D367" s="20" t="s">
        <v>1112</v>
      </c>
      <c r="E367" s="40"/>
      <c r="F367" s="411">
        <f>F368</f>
        <v>0</v>
      </c>
    </row>
    <row r="368" spans="1:6" ht="31.5" hidden="1" x14ac:dyDescent="0.25">
      <c r="A368" s="31" t="s">
        <v>146</v>
      </c>
      <c r="B368" s="40" t="s">
        <v>249</v>
      </c>
      <c r="C368" s="40" t="s">
        <v>228</v>
      </c>
      <c r="D368" s="20" t="s">
        <v>1112</v>
      </c>
      <c r="E368" s="40" t="s">
        <v>147</v>
      </c>
      <c r="F368" s="411">
        <f>F369</f>
        <v>0</v>
      </c>
    </row>
    <row r="369" spans="1:6" ht="31.5" hidden="1" x14ac:dyDescent="0.25">
      <c r="A369" s="31" t="s">
        <v>148</v>
      </c>
      <c r="B369" s="40" t="s">
        <v>249</v>
      </c>
      <c r="C369" s="40" t="s">
        <v>228</v>
      </c>
      <c r="D369" s="20" t="s">
        <v>1112</v>
      </c>
      <c r="E369" s="40" t="s">
        <v>149</v>
      </c>
      <c r="F369" s="411">
        <f>'Пр.6 ведом.20'!G930</f>
        <v>0</v>
      </c>
    </row>
    <row r="370" spans="1:6" ht="31.5" hidden="1" x14ac:dyDescent="0.25">
      <c r="A370" s="58" t="s">
        <v>1110</v>
      </c>
      <c r="B370" s="7" t="s">
        <v>249</v>
      </c>
      <c r="C370" s="7" t="s">
        <v>228</v>
      </c>
      <c r="D370" s="24" t="s">
        <v>1111</v>
      </c>
      <c r="E370" s="7"/>
      <c r="F370" s="305">
        <f>F371</f>
        <v>0</v>
      </c>
    </row>
    <row r="371" spans="1:6" ht="15.75" hidden="1" x14ac:dyDescent="0.25">
      <c r="A371" s="45" t="s">
        <v>540</v>
      </c>
      <c r="B371" s="40" t="s">
        <v>249</v>
      </c>
      <c r="C371" s="40" t="s">
        <v>228</v>
      </c>
      <c r="D371" s="20" t="s">
        <v>1113</v>
      </c>
      <c r="E371" s="40"/>
      <c r="F371" s="411">
        <f>F372</f>
        <v>0</v>
      </c>
    </row>
    <row r="372" spans="1:6" ht="31.5" hidden="1" x14ac:dyDescent="0.25">
      <c r="A372" s="31" t="s">
        <v>146</v>
      </c>
      <c r="B372" s="40" t="s">
        <v>249</v>
      </c>
      <c r="C372" s="40" t="s">
        <v>228</v>
      </c>
      <c r="D372" s="20" t="s">
        <v>1113</v>
      </c>
      <c r="E372" s="40" t="s">
        <v>147</v>
      </c>
      <c r="F372" s="411">
        <f>F373</f>
        <v>0</v>
      </c>
    </row>
    <row r="373" spans="1:6" ht="31.5" hidden="1" x14ac:dyDescent="0.25">
      <c r="A373" s="31" t="s">
        <v>148</v>
      </c>
      <c r="B373" s="40" t="s">
        <v>249</v>
      </c>
      <c r="C373" s="40" t="s">
        <v>228</v>
      </c>
      <c r="D373" s="20" t="s">
        <v>1113</v>
      </c>
      <c r="E373" s="40" t="s">
        <v>149</v>
      </c>
      <c r="F373" s="411">
        <f>'Пр.6 ведом.20'!G934</f>
        <v>0</v>
      </c>
    </row>
    <row r="374" spans="1:6" ht="31.5" hidden="1" x14ac:dyDescent="0.25">
      <c r="A374" s="58" t="s">
        <v>1114</v>
      </c>
      <c r="B374" s="7" t="s">
        <v>249</v>
      </c>
      <c r="C374" s="7" t="s">
        <v>228</v>
      </c>
      <c r="D374" s="24" t="s">
        <v>1115</v>
      </c>
      <c r="E374" s="7"/>
      <c r="F374" s="305">
        <f>F375</f>
        <v>0</v>
      </c>
    </row>
    <row r="375" spans="1:6" ht="15.75" hidden="1" x14ac:dyDescent="0.25">
      <c r="A375" s="45" t="s">
        <v>542</v>
      </c>
      <c r="B375" s="40" t="s">
        <v>249</v>
      </c>
      <c r="C375" s="40" t="s">
        <v>228</v>
      </c>
      <c r="D375" s="20" t="s">
        <v>1116</v>
      </c>
      <c r="E375" s="40"/>
      <c r="F375" s="411">
        <f>F376</f>
        <v>0</v>
      </c>
    </row>
    <row r="376" spans="1:6" ht="31.5" hidden="1" x14ac:dyDescent="0.25">
      <c r="A376" s="31" t="s">
        <v>146</v>
      </c>
      <c r="B376" s="40" t="s">
        <v>249</v>
      </c>
      <c r="C376" s="40" t="s">
        <v>228</v>
      </c>
      <c r="D376" s="20" t="s">
        <v>1116</v>
      </c>
      <c r="E376" s="40" t="s">
        <v>147</v>
      </c>
      <c r="F376" s="411">
        <f>F377</f>
        <v>0</v>
      </c>
    </row>
    <row r="377" spans="1:6" ht="31.5" hidden="1" x14ac:dyDescent="0.25">
      <c r="A377" s="31" t="s">
        <v>148</v>
      </c>
      <c r="B377" s="40" t="s">
        <v>249</v>
      </c>
      <c r="C377" s="40" t="s">
        <v>228</v>
      </c>
      <c r="D377" s="20" t="s">
        <v>1116</v>
      </c>
      <c r="E377" s="40" t="s">
        <v>149</v>
      </c>
      <c r="F377" s="411">
        <f>'Пр.6 ведом.20'!G938</f>
        <v>0</v>
      </c>
    </row>
    <row r="378" spans="1:6" ht="31.5" hidden="1" x14ac:dyDescent="0.25">
      <c r="A378" s="34" t="s">
        <v>1178</v>
      </c>
      <c r="B378" s="7" t="s">
        <v>249</v>
      </c>
      <c r="C378" s="7" t="s">
        <v>228</v>
      </c>
      <c r="D378" s="24" t="s">
        <v>1179</v>
      </c>
      <c r="E378" s="7"/>
      <c r="F378" s="305">
        <f>F379</f>
        <v>0</v>
      </c>
    </row>
    <row r="379" spans="1:6" ht="18" hidden="1" customHeight="1" x14ac:dyDescent="0.25">
      <c r="A379" s="45" t="s">
        <v>544</v>
      </c>
      <c r="B379" s="40" t="s">
        <v>249</v>
      </c>
      <c r="C379" s="40" t="s">
        <v>228</v>
      </c>
      <c r="D379" s="20" t="s">
        <v>1182</v>
      </c>
      <c r="E379" s="40"/>
      <c r="F379" s="411">
        <f>F380</f>
        <v>0</v>
      </c>
    </row>
    <row r="380" spans="1:6" ht="31.5" hidden="1" x14ac:dyDescent="0.25">
      <c r="A380" s="31" t="s">
        <v>146</v>
      </c>
      <c r="B380" s="40" t="s">
        <v>249</v>
      </c>
      <c r="C380" s="40" t="s">
        <v>228</v>
      </c>
      <c r="D380" s="20" t="s">
        <v>1182</v>
      </c>
      <c r="E380" s="40" t="s">
        <v>147</v>
      </c>
      <c r="F380" s="411">
        <f>F381</f>
        <v>0</v>
      </c>
    </row>
    <row r="381" spans="1:6" ht="31.5" hidden="1" x14ac:dyDescent="0.25">
      <c r="A381" s="31" t="s">
        <v>148</v>
      </c>
      <c r="B381" s="40" t="s">
        <v>249</v>
      </c>
      <c r="C381" s="40" t="s">
        <v>228</v>
      </c>
      <c r="D381" s="20" t="s">
        <v>1182</v>
      </c>
      <c r="E381" s="40" t="s">
        <v>149</v>
      </c>
      <c r="F381" s="411">
        <f>'Пр.6 ведом.20'!G942</f>
        <v>0</v>
      </c>
    </row>
    <row r="382" spans="1:6" ht="31.5" hidden="1" x14ac:dyDescent="0.25">
      <c r="A382" s="282" t="s">
        <v>1180</v>
      </c>
      <c r="B382" s="7" t="s">
        <v>249</v>
      </c>
      <c r="C382" s="7" t="s">
        <v>228</v>
      </c>
      <c r="D382" s="24" t="s">
        <v>1181</v>
      </c>
      <c r="E382" s="7"/>
      <c r="F382" s="305">
        <f>F383</f>
        <v>0</v>
      </c>
    </row>
    <row r="383" spans="1:6" ht="31.5" hidden="1" x14ac:dyDescent="0.25">
      <c r="A383" s="180" t="s">
        <v>546</v>
      </c>
      <c r="B383" s="40" t="s">
        <v>249</v>
      </c>
      <c r="C383" s="40" t="s">
        <v>228</v>
      </c>
      <c r="D383" s="20" t="s">
        <v>1183</v>
      </c>
      <c r="E383" s="40"/>
      <c r="F383" s="411">
        <f>F384</f>
        <v>0</v>
      </c>
    </row>
    <row r="384" spans="1:6" ht="31.5" hidden="1" x14ac:dyDescent="0.25">
      <c r="A384" s="31" t="s">
        <v>146</v>
      </c>
      <c r="B384" s="40" t="s">
        <v>249</v>
      </c>
      <c r="C384" s="40" t="s">
        <v>228</v>
      </c>
      <c r="D384" s="20" t="s">
        <v>1183</v>
      </c>
      <c r="E384" s="40" t="s">
        <v>147</v>
      </c>
      <c r="F384" s="411">
        <f>F385</f>
        <v>0</v>
      </c>
    </row>
    <row r="385" spans="1:8" ht="31.5" hidden="1" x14ac:dyDescent="0.25">
      <c r="A385" s="31" t="s">
        <v>148</v>
      </c>
      <c r="B385" s="40" t="s">
        <v>249</v>
      </c>
      <c r="C385" s="40" t="s">
        <v>228</v>
      </c>
      <c r="D385" s="20" t="s">
        <v>1183</v>
      </c>
      <c r="E385" s="40" t="s">
        <v>149</v>
      </c>
      <c r="F385" s="411">
        <f>'Пр.6 ведом.20'!G946</f>
        <v>0</v>
      </c>
    </row>
    <row r="386" spans="1:8" ht="31.5" hidden="1" x14ac:dyDescent="0.25">
      <c r="A386" s="282" t="s">
        <v>1118</v>
      </c>
      <c r="B386" s="7" t="s">
        <v>249</v>
      </c>
      <c r="C386" s="7" t="s">
        <v>228</v>
      </c>
      <c r="D386" s="24" t="s">
        <v>1119</v>
      </c>
      <c r="E386" s="7"/>
      <c r="F386" s="305">
        <f>F387</f>
        <v>0</v>
      </c>
    </row>
    <row r="387" spans="1:8" ht="15.75" hidden="1" x14ac:dyDescent="0.25">
      <c r="A387" s="180" t="s">
        <v>548</v>
      </c>
      <c r="B387" s="40" t="s">
        <v>249</v>
      </c>
      <c r="C387" s="40" t="s">
        <v>228</v>
      </c>
      <c r="D387" s="20" t="s">
        <v>1117</v>
      </c>
      <c r="E387" s="40"/>
      <c r="F387" s="411">
        <f>F388</f>
        <v>0</v>
      </c>
    </row>
    <row r="388" spans="1:8" ht="31.5" hidden="1" x14ac:dyDescent="0.25">
      <c r="A388" s="25" t="s">
        <v>146</v>
      </c>
      <c r="B388" s="40" t="s">
        <v>249</v>
      </c>
      <c r="C388" s="40" t="s">
        <v>228</v>
      </c>
      <c r="D388" s="20" t="s">
        <v>1117</v>
      </c>
      <c r="E388" s="40" t="s">
        <v>147</v>
      </c>
      <c r="F388" s="411">
        <f>F389</f>
        <v>0</v>
      </c>
    </row>
    <row r="389" spans="1:8" s="229" customFormat="1" ht="31.5" hidden="1" x14ac:dyDescent="0.25">
      <c r="A389" s="25" t="s">
        <v>148</v>
      </c>
      <c r="B389" s="40" t="s">
        <v>249</v>
      </c>
      <c r="C389" s="40" t="s">
        <v>228</v>
      </c>
      <c r="D389" s="20" t="s">
        <v>1117</v>
      </c>
      <c r="E389" s="40" t="s">
        <v>149</v>
      </c>
      <c r="F389" s="411">
        <f>'Пр.6 ведом.20'!G950</f>
        <v>0</v>
      </c>
    </row>
    <row r="390" spans="1:8" s="229" customFormat="1" ht="47.25" x14ac:dyDescent="0.25">
      <c r="A390" s="23" t="s">
        <v>1384</v>
      </c>
      <c r="B390" s="7" t="s">
        <v>249</v>
      </c>
      <c r="C390" s="7" t="s">
        <v>228</v>
      </c>
      <c r="D390" s="24" t="s">
        <v>1383</v>
      </c>
      <c r="E390" s="7"/>
      <c r="F390" s="305">
        <f>F391</f>
        <v>120</v>
      </c>
    </row>
    <row r="391" spans="1:8" s="229" customFormat="1" ht="31.5" x14ac:dyDescent="0.25">
      <c r="A391" s="23" t="s">
        <v>1385</v>
      </c>
      <c r="B391" s="7" t="s">
        <v>249</v>
      </c>
      <c r="C391" s="7" t="s">
        <v>228</v>
      </c>
      <c r="D391" s="24" t="s">
        <v>1386</v>
      </c>
      <c r="E391" s="7"/>
      <c r="F391" s="305">
        <f>F392</f>
        <v>120</v>
      </c>
    </row>
    <row r="392" spans="1:8" s="229" customFormat="1" ht="15.75" x14ac:dyDescent="0.25">
      <c r="A392" s="25" t="s">
        <v>552</v>
      </c>
      <c r="B392" s="40" t="s">
        <v>249</v>
      </c>
      <c r="C392" s="40" t="s">
        <v>228</v>
      </c>
      <c r="D392" s="20" t="s">
        <v>1387</v>
      </c>
      <c r="E392" s="40"/>
      <c r="F392" s="411">
        <f>F393</f>
        <v>120</v>
      </c>
    </row>
    <row r="393" spans="1:8" s="229" customFormat="1" ht="31.5" x14ac:dyDescent="0.25">
      <c r="A393" s="25" t="s">
        <v>146</v>
      </c>
      <c r="B393" s="40" t="s">
        <v>249</v>
      </c>
      <c r="C393" s="40" t="s">
        <v>228</v>
      </c>
      <c r="D393" s="20" t="s">
        <v>1387</v>
      </c>
      <c r="E393" s="40" t="s">
        <v>147</v>
      </c>
      <c r="F393" s="411">
        <f>F394</f>
        <v>120</v>
      </c>
    </row>
    <row r="394" spans="1:8" s="229" customFormat="1" ht="31.5" x14ac:dyDescent="0.25">
      <c r="A394" s="25" t="s">
        <v>148</v>
      </c>
      <c r="B394" s="40" t="s">
        <v>249</v>
      </c>
      <c r="C394" s="40" t="s">
        <v>228</v>
      </c>
      <c r="D394" s="20" t="s">
        <v>1387</v>
      </c>
      <c r="E394" s="40" t="s">
        <v>149</v>
      </c>
      <c r="F394" s="411">
        <f>'Пр.6 ведом.20'!G955</f>
        <v>120</v>
      </c>
    </row>
    <row r="395" spans="1:8" ht="15.75" x14ac:dyDescent="0.25">
      <c r="A395" s="41" t="s">
        <v>556</v>
      </c>
      <c r="B395" s="7" t="s">
        <v>249</v>
      </c>
      <c r="C395" s="7" t="s">
        <v>230</v>
      </c>
      <c r="D395" s="7"/>
      <c r="E395" s="7"/>
      <c r="F395" s="305">
        <f>F396+F401+F439</f>
        <v>4134.5</v>
      </c>
      <c r="H395" s="22"/>
    </row>
    <row r="396" spans="1:8" s="229" customFormat="1" ht="15.75" x14ac:dyDescent="0.25">
      <c r="A396" s="23" t="s">
        <v>156</v>
      </c>
      <c r="B396" s="24" t="s">
        <v>249</v>
      </c>
      <c r="C396" s="24" t="s">
        <v>230</v>
      </c>
      <c r="D396" s="24" t="s">
        <v>914</v>
      </c>
      <c r="E396" s="24"/>
      <c r="F396" s="305">
        <f>F397</f>
        <v>390</v>
      </c>
      <c r="H396" s="22"/>
    </row>
    <row r="397" spans="1:8" s="229" customFormat="1" ht="31.5" x14ac:dyDescent="0.25">
      <c r="A397" s="23" t="s">
        <v>918</v>
      </c>
      <c r="B397" s="24" t="s">
        <v>249</v>
      </c>
      <c r="C397" s="24" t="s">
        <v>230</v>
      </c>
      <c r="D397" s="24" t="s">
        <v>913</v>
      </c>
      <c r="E397" s="24"/>
      <c r="F397" s="305">
        <f>F398</f>
        <v>390</v>
      </c>
      <c r="H397" s="22"/>
    </row>
    <row r="398" spans="1:8" s="229" customFormat="1" ht="15.75" x14ac:dyDescent="0.25">
      <c r="A398" s="25" t="s">
        <v>579</v>
      </c>
      <c r="B398" s="20" t="s">
        <v>249</v>
      </c>
      <c r="C398" s="20" t="s">
        <v>230</v>
      </c>
      <c r="D398" s="20" t="s">
        <v>1272</v>
      </c>
      <c r="E398" s="20"/>
      <c r="F398" s="411">
        <f>F399</f>
        <v>390</v>
      </c>
      <c r="H398" s="22"/>
    </row>
    <row r="399" spans="1:8" s="229" customFormat="1" ht="31.5" x14ac:dyDescent="0.25">
      <c r="A399" s="25" t="s">
        <v>146</v>
      </c>
      <c r="B399" s="20" t="s">
        <v>249</v>
      </c>
      <c r="C399" s="20" t="s">
        <v>230</v>
      </c>
      <c r="D399" s="20" t="s">
        <v>1272</v>
      </c>
      <c r="E399" s="20" t="s">
        <v>147</v>
      </c>
      <c r="F399" s="411">
        <f>F400</f>
        <v>390</v>
      </c>
      <c r="H399" s="22"/>
    </row>
    <row r="400" spans="1:8" s="229" customFormat="1" ht="31.5" x14ac:dyDescent="0.25">
      <c r="A400" s="25" t="s">
        <v>148</v>
      </c>
      <c r="B400" s="20" t="s">
        <v>249</v>
      </c>
      <c r="C400" s="20" t="s">
        <v>230</v>
      </c>
      <c r="D400" s="20" t="s">
        <v>1272</v>
      </c>
      <c r="E400" s="20" t="s">
        <v>149</v>
      </c>
      <c r="F400" s="411">
        <f>'Пр.6 ведом.20'!G961</f>
        <v>390</v>
      </c>
      <c r="H400" s="22"/>
    </row>
    <row r="401" spans="1:6" ht="48" customHeight="1" x14ac:dyDescent="0.25">
      <c r="A401" s="23" t="s">
        <v>557</v>
      </c>
      <c r="B401" s="7" t="s">
        <v>249</v>
      </c>
      <c r="C401" s="7" t="s">
        <v>230</v>
      </c>
      <c r="D401" s="7" t="s">
        <v>558</v>
      </c>
      <c r="E401" s="7"/>
      <c r="F401" s="305">
        <f t="shared" ref="F401" si="51">F402+F416</f>
        <v>3244.5</v>
      </c>
    </row>
    <row r="402" spans="1:6" ht="47.25" x14ac:dyDescent="0.25">
      <c r="A402" s="23" t="s">
        <v>559</v>
      </c>
      <c r="B402" s="24" t="s">
        <v>249</v>
      </c>
      <c r="C402" s="24" t="s">
        <v>230</v>
      </c>
      <c r="D402" s="24" t="s">
        <v>560</v>
      </c>
      <c r="E402" s="24"/>
      <c r="F402" s="305">
        <f>F403</f>
        <v>940</v>
      </c>
    </row>
    <row r="403" spans="1:6" s="229" customFormat="1" ht="31.5" x14ac:dyDescent="0.25">
      <c r="A403" s="23" t="s">
        <v>1127</v>
      </c>
      <c r="B403" s="24" t="s">
        <v>249</v>
      </c>
      <c r="C403" s="24" t="s">
        <v>230</v>
      </c>
      <c r="D403" s="24" t="s">
        <v>1125</v>
      </c>
      <c r="E403" s="24"/>
      <c r="F403" s="305">
        <f>F404+F407+F413</f>
        <v>940</v>
      </c>
    </row>
    <row r="404" spans="1:6" ht="24" customHeight="1" x14ac:dyDescent="0.25">
      <c r="A404" s="25" t="s">
        <v>561</v>
      </c>
      <c r="B404" s="20" t="s">
        <v>249</v>
      </c>
      <c r="C404" s="20" t="s">
        <v>230</v>
      </c>
      <c r="D404" s="20" t="s">
        <v>1126</v>
      </c>
      <c r="E404" s="20"/>
      <c r="F404" s="411">
        <f t="shared" ref="F404:F405" si="52">F405</f>
        <v>90</v>
      </c>
    </row>
    <row r="405" spans="1:6" ht="31.5" x14ac:dyDescent="0.25">
      <c r="A405" s="25" t="s">
        <v>146</v>
      </c>
      <c r="B405" s="20" t="s">
        <v>249</v>
      </c>
      <c r="C405" s="20" t="s">
        <v>230</v>
      </c>
      <c r="D405" s="20" t="s">
        <v>1126</v>
      </c>
      <c r="E405" s="20" t="s">
        <v>147</v>
      </c>
      <c r="F405" s="411">
        <f t="shared" si="52"/>
        <v>90</v>
      </c>
    </row>
    <row r="406" spans="1:6" ht="31.5" x14ac:dyDescent="0.25">
      <c r="A406" s="25" t="s">
        <v>148</v>
      </c>
      <c r="B406" s="20" t="s">
        <v>249</v>
      </c>
      <c r="C406" s="20" t="s">
        <v>230</v>
      </c>
      <c r="D406" s="20" t="s">
        <v>1126</v>
      </c>
      <c r="E406" s="20" t="s">
        <v>149</v>
      </c>
      <c r="F406" s="411">
        <f>'Пр.6 ведом.20'!G967</f>
        <v>90</v>
      </c>
    </row>
    <row r="407" spans="1:6" ht="15.75" x14ac:dyDescent="0.25">
      <c r="A407" s="25" t="s">
        <v>563</v>
      </c>
      <c r="B407" s="20" t="s">
        <v>249</v>
      </c>
      <c r="C407" s="20" t="s">
        <v>230</v>
      </c>
      <c r="D407" s="20" t="s">
        <v>1128</v>
      </c>
      <c r="E407" s="20"/>
      <c r="F407" s="411">
        <f>F408+F410</f>
        <v>650</v>
      </c>
    </row>
    <row r="408" spans="1:6" ht="31.5" x14ac:dyDescent="0.25">
      <c r="A408" s="25" t="s">
        <v>146</v>
      </c>
      <c r="B408" s="20" t="s">
        <v>249</v>
      </c>
      <c r="C408" s="20" t="s">
        <v>230</v>
      </c>
      <c r="D408" s="20" t="s">
        <v>1128</v>
      </c>
      <c r="E408" s="20" t="s">
        <v>147</v>
      </c>
      <c r="F408" s="411">
        <f t="shared" ref="F408" si="53">F409</f>
        <v>650</v>
      </c>
    </row>
    <row r="409" spans="1:6" ht="31.5" x14ac:dyDescent="0.25">
      <c r="A409" s="25" t="s">
        <v>148</v>
      </c>
      <c r="B409" s="20" t="s">
        <v>249</v>
      </c>
      <c r="C409" s="20" t="s">
        <v>230</v>
      </c>
      <c r="D409" s="20" t="s">
        <v>1128</v>
      </c>
      <c r="E409" s="20" t="s">
        <v>149</v>
      </c>
      <c r="F409" s="411">
        <f>'Пр.6 ведом.20'!G970</f>
        <v>650</v>
      </c>
    </row>
    <row r="410" spans="1:6" ht="15.75" hidden="1" x14ac:dyDescent="0.25">
      <c r="A410" s="29" t="s">
        <v>150</v>
      </c>
      <c r="B410" s="20" t="s">
        <v>249</v>
      </c>
      <c r="C410" s="20" t="s">
        <v>230</v>
      </c>
      <c r="D410" s="20" t="s">
        <v>1128</v>
      </c>
      <c r="E410" s="20" t="s">
        <v>160</v>
      </c>
      <c r="F410" s="411">
        <f>F412+F411</f>
        <v>0</v>
      </c>
    </row>
    <row r="411" spans="1:6" s="229" customFormat="1" ht="47.25" hidden="1" x14ac:dyDescent="0.25">
      <c r="A411" s="25" t="s">
        <v>883</v>
      </c>
      <c r="B411" s="20" t="s">
        <v>249</v>
      </c>
      <c r="C411" s="20" t="s">
        <v>230</v>
      </c>
      <c r="D411" s="20" t="s">
        <v>1128</v>
      </c>
      <c r="E411" s="20" t="s">
        <v>162</v>
      </c>
      <c r="F411" s="411">
        <f>'Пр.6 ведом.20'!G972</f>
        <v>0</v>
      </c>
    </row>
    <row r="412" spans="1:6" ht="15.75" hidden="1" x14ac:dyDescent="0.25">
      <c r="A412" s="29" t="s">
        <v>583</v>
      </c>
      <c r="B412" s="20" t="s">
        <v>249</v>
      </c>
      <c r="C412" s="20" t="s">
        <v>230</v>
      </c>
      <c r="D412" s="20" t="s">
        <v>1128</v>
      </c>
      <c r="E412" s="20" t="s">
        <v>153</v>
      </c>
      <c r="F412" s="411">
        <f>'Пр.6 ведом.20'!G973</f>
        <v>0</v>
      </c>
    </row>
    <row r="413" spans="1:6" ht="15.75" x14ac:dyDescent="0.25">
      <c r="A413" s="25" t="s">
        <v>565</v>
      </c>
      <c r="B413" s="20" t="s">
        <v>249</v>
      </c>
      <c r="C413" s="20" t="s">
        <v>230</v>
      </c>
      <c r="D413" s="20" t="s">
        <v>1129</v>
      </c>
      <c r="E413" s="20"/>
      <c r="F413" s="411">
        <f t="shared" ref="F413:F414" si="54">F414</f>
        <v>200</v>
      </c>
    </row>
    <row r="414" spans="1:6" ht="31.5" x14ac:dyDescent="0.25">
      <c r="A414" s="25" t="s">
        <v>146</v>
      </c>
      <c r="B414" s="20" t="s">
        <v>249</v>
      </c>
      <c r="C414" s="20" t="s">
        <v>230</v>
      </c>
      <c r="D414" s="20" t="s">
        <v>1129</v>
      </c>
      <c r="E414" s="20" t="s">
        <v>147</v>
      </c>
      <c r="F414" s="411">
        <f t="shared" si="54"/>
        <v>200</v>
      </c>
    </row>
    <row r="415" spans="1:6" ht="31.5" x14ac:dyDescent="0.25">
      <c r="A415" s="25" t="s">
        <v>148</v>
      </c>
      <c r="B415" s="20" t="s">
        <v>249</v>
      </c>
      <c r="C415" s="20" t="s">
        <v>230</v>
      </c>
      <c r="D415" s="20" t="s">
        <v>1129</v>
      </c>
      <c r="E415" s="20" t="s">
        <v>149</v>
      </c>
      <c r="F415" s="411">
        <f>'Пр.6 ведом.20'!G976</f>
        <v>200</v>
      </c>
    </row>
    <row r="416" spans="1:6" ht="47.25" x14ac:dyDescent="0.25">
      <c r="A416" s="23" t="s">
        <v>567</v>
      </c>
      <c r="B416" s="24" t="s">
        <v>249</v>
      </c>
      <c r="C416" s="24" t="s">
        <v>230</v>
      </c>
      <c r="D416" s="24" t="s">
        <v>568</v>
      </c>
      <c r="E416" s="24"/>
      <c r="F416" s="305">
        <f>F417+F432</f>
        <v>2304.5</v>
      </c>
    </row>
    <row r="417" spans="1:6" s="229" customFormat="1" ht="31.5" x14ac:dyDescent="0.25">
      <c r="A417" s="23" t="s">
        <v>1145</v>
      </c>
      <c r="B417" s="24" t="s">
        <v>249</v>
      </c>
      <c r="C417" s="24" t="s">
        <v>230</v>
      </c>
      <c r="D417" s="24" t="s">
        <v>1130</v>
      </c>
      <c r="E417" s="24"/>
      <c r="F417" s="305">
        <f>F418+F421+F424+F429</f>
        <v>390</v>
      </c>
    </row>
    <row r="418" spans="1:6" ht="15.75" x14ac:dyDescent="0.25">
      <c r="A418" s="25" t="s">
        <v>565</v>
      </c>
      <c r="B418" s="20" t="s">
        <v>249</v>
      </c>
      <c r="C418" s="20" t="s">
        <v>230</v>
      </c>
      <c r="D418" s="20" t="s">
        <v>1131</v>
      </c>
      <c r="E418" s="20"/>
      <c r="F418" s="411">
        <f>F419</f>
        <v>11</v>
      </c>
    </row>
    <row r="419" spans="1:6" ht="31.5" x14ac:dyDescent="0.25">
      <c r="A419" s="25" t="s">
        <v>146</v>
      </c>
      <c r="B419" s="20" t="s">
        <v>249</v>
      </c>
      <c r="C419" s="20" t="s">
        <v>230</v>
      </c>
      <c r="D419" s="20" t="s">
        <v>1131</v>
      </c>
      <c r="E419" s="20" t="s">
        <v>147</v>
      </c>
      <c r="F419" s="411">
        <f t="shared" ref="F419" si="55">F420</f>
        <v>11</v>
      </c>
    </row>
    <row r="420" spans="1:6" ht="31.5" x14ac:dyDescent="0.25">
      <c r="A420" s="25" t="s">
        <v>148</v>
      </c>
      <c r="B420" s="20" t="s">
        <v>249</v>
      </c>
      <c r="C420" s="20" t="s">
        <v>230</v>
      </c>
      <c r="D420" s="20" t="s">
        <v>1131</v>
      </c>
      <c r="E420" s="20" t="s">
        <v>149</v>
      </c>
      <c r="F420" s="411">
        <f>'Пр.6 ведом.20'!G992</f>
        <v>11</v>
      </c>
    </row>
    <row r="421" spans="1:6" ht="15.75" x14ac:dyDescent="0.25">
      <c r="A421" s="25" t="s">
        <v>570</v>
      </c>
      <c r="B421" s="20" t="s">
        <v>249</v>
      </c>
      <c r="C421" s="20" t="s">
        <v>230</v>
      </c>
      <c r="D421" s="20" t="s">
        <v>1132</v>
      </c>
      <c r="E421" s="20"/>
      <c r="F421" s="411">
        <f t="shared" ref="F421:F422" si="56">F422</f>
        <v>4</v>
      </c>
    </row>
    <row r="422" spans="1:6" ht="31.5" x14ac:dyDescent="0.25">
      <c r="A422" s="25" t="s">
        <v>146</v>
      </c>
      <c r="B422" s="20" t="s">
        <v>249</v>
      </c>
      <c r="C422" s="20" t="s">
        <v>230</v>
      </c>
      <c r="D422" s="20" t="s">
        <v>1132</v>
      </c>
      <c r="E422" s="20" t="s">
        <v>147</v>
      </c>
      <c r="F422" s="411">
        <f t="shared" si="56"/>
        <v>4</v>
      </c>
    </row>
    <row r="423" spans="1:6" ht="31.5" x14ac:dyDescent="0.25">
      <c r="A423" s="25" t="s">
        <v>148</v>
      </c>
      <c r="B423" s="20" t="s">
        <v>249</v>
      </c>
      <c r="C423" s="20" t="s">
        <v>230</v>
      </c>
      <c r="D423" s="20" t="s">
        <v>1132</v>
      </c>
      <c r="E423" s="20" t="s">
        <v>149</v>
      </c>
      <c r="F423" s="411">
        <f>'Пр.6 ведом.20'!G981</f>
        <v>4</v>
      </c>
    </row>
    <row r="424" spans="1:6" ht="47.25" x14ac:dyDescent="0.25">
      <c r="A424" s="101" t="s">
        <v>572</v>
      </c>
      <c r="B424" s="20" t="s">
        <v>249</v>
      </c>
      <c r="C424" s="20" t="s">
        <v>230</v>
      </c>
      <c r="D424" s="20" t="s">
        <v>1133</v>
      </c>
      <c r="E424" s="20"/>
      <c r="F424" s="411">
        <f>F425+F427</f>
        <v>375</v>
      </c>
    </row>
    <row r="425" spans="1:6" ht="31.5" x14ac:dyDescent="0.25">
      <c r="A425" s="25" t="s">
        <v>146</v>
      </c>
      <c r="B425" s="20" t="s">
        <v>249</v>
      </c>
      <c r="C425" s="20" t="s">
        <v>230</v>
      </c>
      <c r="D425" s="20" t="s">
        <v>1133</v>
      </c>
      <c r="E425" s="20" t="s">
        <v>147</v>
      </c>
      <c r="F425" s="411">
        <f t="shared" ref="F425" si="57">F426</f>
        <v>300</v>
      </c>
    </row>
    <row r="426" spans="1:6" ht="31.5" x14ac:dyDescent="0.25">
      <c r="A426" s="25" t="s">
        <v>148</v>
      </c>
      <c r="B426" s="20" t="s">
        <v>249</v>
      </c>
      <c r="C426" s="20" t="s">
        <v>230</v>
      </c>
      <c r="D426" s="20" t="s">
        <v>1133</v>
      </c>
      <c r="E426" s="20" t="s">
        <v>149</v>
      </c>
      <c r="F426" s="411">
        <f>'Пр.6 ведом.20'!G984</f>
        <v>300</v>
      </c>
    </row>
    <row r="427" spans="1:6" s="229" customFormat="1" ht="15.75" x14ac:dyDescent="0.25">
      <c r="A427" s="29" t="s">
        <v>150</v>
      </c>
      <c r="B427" s="20" t="s">
        <v>249</v>
      </c>
      <c r="C427" s="20" t="s">
        <v>230</v>
      </c>
      <c r="D427" s="20" t="s">
        <v>1133</v>
      </c>
      <c r="E427" s="20" t="s">
        <v>160</v>
      </c>
      <c r="F427" s="411">
        <f>F428</f>
        <v>75</v>
      </c>
    </row>
    <row r="428" spans="1:6" s="229" customFormat="1" ht="15.75" x14ac:dyDescent="0.25">
      <c r="A428" s="29" t="s">
        <v>583</v>
      </c>
      <c r="B428" s="20" t="s">
        <v>249</v>
      </c>
      <c r="C428" s="20" t="s">
        <v>230</v>
      </c>
      <c r="D428" s="20" t="s">
        <v>1133</v>
      </c>
      <c r="E428" s="20" t="s">
        <v>153</v>
      </c>
      <c r="F428" s="411">
        <f>'Пр.6 ведом.20'!G986</f>
        <v>75</v>
      </c>
    </row>
    <row r="429" spans="1:6" ht="15.75" hidden="1" x14ac:dyDescent="0.25">
      <c r="A429" s="101" t="s">
        <v>574</v>
      </c>
      <c r="B429" s="20" t="s">
        <v>249</v>
      </c>
      <c r="C429" s="20" t="s">
        <v>230</v>
      </c>
      <c r="D429" s="20" t="s">
        <v>1134</v>
      </c>
      <c r="E429" s="20"/>
      <c r="F429" s="411">
        <f t="shared" ref="F429:F430" si="58">F430</f>
        <v>0</v>
      </c>
    </row>
    <row r="430" spans="1:6" ht="31.5" hidden="1" x14ac:dyDescent="0.25">
      <c r="A430" s="25" t="s">
        <v>146</v>
      </c>
      <c r="B430" s="20" t="s">
        <v>249</v>
      </c>
      <c r="C430" s="20" t="s">
        <v>230</v>
      </c>
      <c r="D430" s="20" t="s">
        <v>1134</v>
      </c>
      <c r="E430" s="20" t="s">
        <v>147</v>
      </c>
      <c r="F430" s="411">
        <f t="shared" si="58"/>
        <v>0</v>
      </c>
    </row>
    <row r="431" spans="1:6" ht="31.5" hidden="1" x14ac:dyDescent="0.25">
      <c r="A431" s="25" t="s">
        <v>148</v>
      </c>
      <c r="B431" s="20" t="s">
        <v>249</v>
      </c>
      <c r="C431" s="20" t="s">
        <v>230</v>
      </c>
      <c r="D431" s="20" t="s">
        <v>1134</v>
      </c>
      <c r="E431" s="20" t="s">
        <v>149</v>
      </c>
      <c r="F431" s="411">
        <f>'Пр.6 ведом.20'!G989</f>
        <v>0</v>
      </c>
    </row>
    <row r="432" spans="1:6" s="229" customFormat="1" ht="31.5" x14ac:dyDescent="0.25">
      <c r="A432" s="23" t="s">
        <v>952</v>
      </c>
      <c r="B432" s="7" t="s">
        <v>249</v>
      </c>
      <c r="C432" s="7" t="s">
        <v>230</v>
      </c>
      <c r="D432" s="24" t="s">
        <v>1135</v>
      </c>
      <c r="E432" s="24"/>
      <c r="F432" s="305">
        <f>F433+F436</f>
        <v>1914.5</v>
      </c>
    </row>
    <row r="433" spans="1:8" s="229" customFormat="1" ht="31.5" hidden="1" x14ac:dyDescent="0.25">
      <c r="A433" s="25" t="s">
        <v>706</v>
      </c>
      <c r="B433" s="20" t="s">
        <v>249</v>
      </c>
      <c r="C433" s="20" t="s">
        <v>230</v>
      </c>
      <c r="D433" s="20" t="s">
        <v>1136</v>
      </c>
      <c r="E433" s="20"/>
      <c r="F433" s="411">
        <f t="shared" ref="F433" si="59">F434</f>
        <v>0</v>
      </c>
    </row>
    <row r="434" spans="1:8" s="229" customFormat="1" ht="31.5" hidden="1" x14ac:dyDescent="0.25">
      <c r="A434" s="25" t="s">
        <v>146</v>
      </c>
      <c r="B434" s="20" t="s">
        <v>249</v>
      </c>
      <c r="C434" s="20" t="s">
        <v>230</v>
      </c>
      <c r="D434" s="20" t="s">
        <v>1136</v>
      </c>
      <c r="E434" s="20" t="s">
        <v>147</v>
      </c>
      <c r="F434" s="411">
        <f>F435</f>
        <v>0</v>
      </c>
    </row>
    <row r="435" spans="1:8" s="229" customFormat="1" ht="31.5" hidden="1" x14ac:dyDescent="0.25">
      <c r="A435" s="25" t="s">
        <v>148</v>
      </c>
      <c r="B435" s="20" t="s">
        <v>249</v>
      </c>
      <c r="C435" s="20" t="s">
        <v>230</v>
      </c>
      <c r="D435" s="20" t="s">
        <v>1136</v>
      </c>
      <c r="E435" s="20" t="s">
        <v>149</v>
      </c>
      <c r="F435" s="411">
        <f>'Пр.6 ведом.20'!G996</f>
        <v>0</v>
      </c>
    </row>
    <row r="436" spans="1:8" s="229" customFormat="1" ht="63" x14ac:dyDescent="0.25">
      <c r="A436" s="25" t="s">
        <v>1260</v>
      </c>
      <c r="B436" s="20" t="s">
        <v>249</v>
      </c>
      <c r="C436" s="20" t="s">
        <v>230</v>
      </c>
      <c r="D436" s="20" t="s">
        <v>1261</v>
      </c>
      <c r="E436" s="20"/>
      <c r="F436" s="411">
        <f>F437</f>
        <v>1914.5</v>
      </c>
    </row>
    <row r="437" spans="1:8" s="229" customFormat="1" ht="31.5" x14ac:dyDescent="0.25">
      <c r="A437" s="25" t="s">
        <v>146</v>
      </c>
      <c r="B437" s="20" t="s">
        <v>249</v>
      </c>
      <c r="C437" s="20" t="s">
        <v>230</v>
      </c>
      <c r="D437" s="20" t="s">
        <v>1261</v>
      </c>
      <c r="E437" s="20" t="s">
        <v>147</v>
      </c>
      <c r="F437" s="411">
        <f>F438</f>
        <v>1914.5</v>
      </c>
    </row>
    <row r="438" spans="1:8" s="229" customFormat="1" ht="31.5" x14ac:dyDescent="0.25">
      <c r="A438" s="25" t="s">
        <v>148</v>
      </c>
      <c r="B438" s="20" t="s">
        <v>249</v>
      </c>
      <c r="C438" s="20" t="s">
        <v>230</v>
      </c>
      <c r="D438" s="20" t="s">
        <v>1261</v>
      </c>
      <c r="E438" s="20" t="s">
        <v>149</v>
      </c>
      <c r="F438" s="411">
        <f>'Пр.6 ведом.20'!G999</f>
        <v>1914.5</v>
      </c>
    </row>
    <row r="439" spans="1:8" ht="63" x14ac:dyDescent="0.25">
      <c r="A439" s="23" t="s">
        <v>821</v>
      </c>
      <c r="B439" s="24" t="s">
        <v>249</v>
      </c>
      <c r="C439" s="24" t="s">
        <v>230</v>
      </c>
      <c r="D439" s="24" t="s">
        <v>733</v>
      </c>
      <c r="E439" s="24"/>
      <c r="F439" s="305">
        <f t="shared" ref="F439" si="60">F441</f>
        <v>500</v>
      </c>
    </row>
    <row r="440" spans="1:8" s="229" customFormat="1" ht="31.5" x14ac:dyDescent="0.25">
      <c r="A440" s="23" t="s">
        <v>1256</v>
      </c>
      <c r="B440" s="24" t="s">
        <v>249</v>
      </c>
      <c r="C440" s="24" t="s">
        <v>230</v>
      </c>
      <c r="D440" s="24" t="s">
        <v>882</v>
      </c>
      <c r="E440" s="20"/>
      <c r="F440" s="305">
        <f>F441</f>
        <v>500</v>
      </c>
    </row>
    <row r="441" spans="1:8" ht="31.5" x14ac:dyDescent="0.25">
      <c r="A441" s="352" t="s">
        <v>732</v>
      </c>
      <c r="B441" s="20" t="s">
        <v>249</v>
      </c>
      <c r="C441" s="20" t="s">
        <v>230</v>
      </c>
      <c r="D441" s="20" t="s">
        <v>882</v>
      </c>
      <c r="E441" s="20"/>
      <c r="F441" s="411">
        <f t="shared" ref="F441:F442" si="61">F442</f>
        <v>500</v>
      </c>
    </row>
    <row r="442" spans="1:8" ht="31.5" x14ac:dyDescent="0.25">
      <c r="A442" s="25" t="s">
        <v>146</v>
      </c>
      <c r="B442" s="20" t="s">
        <v>249</v>
      </c>
      <c r="C442" s="20" t="s">
        <v>230</v>
      </c>
      <c r="D442" s="20" t="s">
        <v>882</v>
      </c>
      <c r="E442" s="20" t="s">
        <v>147</v>
      </c>
      <c r="F442" s="411">
        <f t="shared" si="61"/>
        <v>500</v>
      </c>
    </row>
    <row r="443" spans="1:8" ht="31.5" x14ac:dyDescent="0.25">
      <c r="A443" s="25" t="s">
        <v>148</v>
      </c>
      <c r="B443" s="20" t="s">
        <v>249</v>
      </c>
      <c r="C443" s="20" t="s">
        <v>230</v>
      </c>
      <c r="D443" s="20" t="s">
        <v>882</v>
      </c>
      <c r="E443" s="20" t="s">
        <v>149</v>
      </c>
      <c r="F443" s="411">
        <f>'Пр.6 ведом.20'!G1004</f>
        <v>500</v>
      </c>
    </row>
    <row r="444" spans="1:8" ht="31.5" x14ac:dyDescent="0.25">
      <c r="A444" s="41" t="s">
        <v>584</v>
      </c>
      <c r="B444" s="7" t="s">
        <v>249</v>
      </c>
      <c r="C444" s="7" t="s">
        <v>249</v>
      </c>
      <c r="D444" s="7"/>
      <c r="E444" s="7"/>
      <c r="F444" s="305">
        <f>F445+F457+F474</f>
        <v>22364</v>
      </c>
      <c r="H444" s="22"/>
    </row>
    <row r="445" spans="1:8" ht="31.5" x14ac:dyDescent="0.25">
      <c r="A445" s="23" t="s">
        <v>992</v>
      </c>
      <c r="B445" s="24" t="s">
        <v>249</v>
      </c>
      <c r="C445" s="24" t="s">
        <v>249</v>
      </c>
      <c r="D445" s="24" t="s">
        <v>906</v>
      </c>
      <c r="E445" s="24"/>
      <c r="F445" s="305">
        <f>F446</f>
        <v>11546</v>
      </c>
    </row>
    <row r="446" spans="1:8" ht="15.75" x14ac:dyDescent="0.25">
      <c r="A446" s="23" t="s">
        <v>993</v>
      </c>
      <c r="B446" s="24" t="s">
        <v>249</v>
      </c>
      <c r="C446" s="24" t="s">
        <v>249</v>
      </c>
      <c r="D446" s="24" t="s">
        <v>907</v>
      </c>
      <c r="E446" s="24"/>
      <c r="F446" s="305">
        <f>F447+F454</f>
        <v>11546</v>
      </c>
    </row>
    <row r="447" spans="1:8" ht="31.5" x14ac:dyDescent="0.25">
      <c r="A447" s="25" t="s">
        <v>969</v>
      </c>
      <c r="B447" s="20" t="s">
        <v>249</v>
      </c>
      <c r="C447" s="20" t="s">
        <v>249</v>
      </c>
      <c r="D447" s="20" t="s">
        <v>908</v>
      </c>
      <c r="E447" s="20"/>
      <c r="F447" s="411">
        <f t="shared" ref="F447" si="62">F448+F450+F452</f>
        <v>11210</v>
      </c>
    </row>
    <row r="448" spans="1:8" ht="81.75" customHeight="1" x14ac:dyDescent="0.25">
      <c r="A448" s="25" t="s">
        <v>142</v>
      </c>
      <c r="B448" s="20" t="s">
        <v>249</v>
      </c>
      <c r="C448" s="20" t="s">
        <v>249</v>
      </c>
      <c r="D448" s="20" t="s">
        <v>908</v>
      </c>
      <c r="E448" s="20" t="s">
        <v>143</v>
      </c>
      <c r="F448" s="412">
        <f t="shared" ref="F448" si="63">F449</f>
        <v>11138</v>
      </c>
    </row>
    <row r="449" spans="1:6" ht="31.5" x14ac:dyDescent="0.25">
      <c r="A449" s="25" t="s">
        <v>144</v>
      </c>
      <c r="B449" s="20" t="s">
        <v>249</v>
      </c>
      <c r="C449" s="20" t="s">
        <v>249</v>
      </c>
      <c r="D449" s="20" t="s">
        <v>908</v>
      </c>
      <c r="E449" s="20" t="s">
        <v>145</v>
      </c>
      <c r="F449" s="412">
        <f>'Пр.6 ведом.20'!G1010</f>
        <v>11138</v>
      </c>
    </row>
    <row r="450" spans="1:6" ht="31.5" x14ac:dyDescent="0.25">
      <c r="A450" s="25" t="s">
        <v>146</v>
      </c>
      <c r="B450" s="20" t="s">
        <v>249</v>
      </c>
      <c r="C450" s="20" t="s">
        <v>249</v>
      </c>
      <c r="D450" s="20" t="s">
        <v>908</v>
      </c>
      <c r="E450" s="20" t="s">
        <v>147</v>
      </c>
      <c r="F450" s="412">
        <f t="shared" ref="F450" si="64">F451</f>
        <v>25</v>
      </c>
    </row>
    <row r="451" spans="1:6" ht="31.5" x14ac:dyDescent="0.25">
      <c r="A451" s="25" t="s">
        <v>148</v>
      </c>
      <c r="B451" s="20" t="s">
        <v>249</v>
      </c>
      <c r="C451" s="20" t="s">
        <v>249</v>
      </c>
      <c r="D451" s="20" t="s">
        <v>908</v>
      </c>
      <c r="E451" s="20" t="s">
        <v>149</v>
      </c>
      <c r="F451" s="412">
        <f>'Пр.6 ведом.20'!G1012</f>
        <v>25</v>
      </c>
    </row>
    <row r="452" spans="1:6" ht="15.75" x14ac:dyDescent="0.25">
      <c r="A452" s="25" t="s">
        <v>150</v>
      </c>
      <c r="B452" s="20" t="s">
        <v>249</v>
      </c>
      <c r="C452" s="20" t="s">
        <v>249</v>
      </c>
      <c r="D452" s="20" t="s">
        <v>908</v>
      </c>
      <c r="E452" s="20" t="s">
        <v>160</v>
      </c>
      <c r="F452" s="412">
        <f t="shared" ref="F452" si="65">F453</f>
        <v>47</v>
      </c>
    </row>
    <row r="453" spans="1:6" ht="15.75" x14ac:dyDescent="0.25">
      <c r="A453" s="25" t="s">
        <v>583</v>
      </c>
      <c r="B453" s="20" t="s">
        <v>249</v>
      </c>
      <c r="C453" s="20" t="s">
        <v>249</v>
      </c>
      <c r="D453" s="20" t="s">
        <v>908</v>
      </c>
      <c r="E453" s="20" t="s">
        <v>153</v>
      </c>
      <c r="F453" s="412">
        <f>'Пр.6 ведом.20'!G1014</f>
        <v>47</v>
      </c>
    </row>
    <row r="454" spans="1:6" s="229" customFormat="1" ht="47.25" x14ac:dyDescent="0.25">
      <c r="A454" s="25" t="s">
        <v>886</v>
      </c>
      <c r="B454" s="20" t="s">
        <v>249</v>
      </c>
      <c r="C454" s="20" t="s">
        <v>249</v>
      </c>
      <c r="D454" s="20" t="s">
        <v>910</v>
      </c>
      <c r="E454" s="20"/>
      <c r="F454" s="412">
        <f>F455</f>
        <v>336</v>
      </c>
    </row>
    <row r="455" spans="1:6" s="229" customFormat="1" ht="78.75" x14ac:dyDescent="0.25">
      <c r="A455" s="25" t="s">
        <v>142</v>
      </c>
      <c r="B455" s="20" t="s">
        <v>249</v>
      </c>
      <c r="C455" s="20" t="s">
        <v>249</v>
      </c>
      <c r="D455" s="20" t="s">
        <v>910</v>
      </c>
      <c r="E455" s="20" t="s">
        <v>143</v>
      </c>
      <c r="F455" s="412">
        <f>F456</f>
        <v>336</v>
      </c>
    </row>
    <row r="456" spans="1:6" s="229" customFormat="1" ht="31.5" x14ac:dyDescent="0.25">
      <c r="A456" s="25" t="s">
        <v>144</v>
      </c>
      <c r="B456" s="20" t="s">
        <v>249</v>
      </c>
      <c r="C456" s="20" t="s">
        <v>249</v>
      </c>
      <c r="D456" s="20" t="s">
        <v>910</v>
      </c>
      <c r="E456" s="20" t="s">
        <v>145</v>
      </c>
      <c r="F456" s="412">
        <f>'Пр.6 ведом.20'!G1017</f>
        <v>336</v>
      </c>
    </row>
    <row r="457" spans="1:6" ht="15.75" x14ac:dyDescent="0.25">
      <c r="A457" s="23" t="s">
        <v>156</v>
      </c>
      <c r="B457" s="24" t="s">
        <v>249</v>
      </c>
      <c r="C457" s="24" t="s">
        <v>249</v>
      </c>
      <c r="D457" s="24" t="s">
        <v>914</v>
      </c>
      <c r="E457" s="24"/>
      <c r="F457" s="305">
        <f>F458+F465</f>
        <v>10761</v>
      </c>
    </row>
    <row r="458" spans="1:6" ht="31.5" x14ac:dyDescent="0.25">
      <c r="A458" s="23" t="s">
        <v>918</v>
      </c>
      <c r="B458" s="24" t="s">
        <v>249</v>
      </c>
      <c r="C458" s="24" t="s">
        <v>249</v>
      </c>
      <c r="D458" s="24" t="s">
        <v>913</v>
      </c>
      <c r="E458" s="24"/>
      <c r="F458" s="417">
        <f>F459+F462</f>
        <v>982</v>
      </c>
    </row>
    <row r="459" spans="1:6" ht="31.5" x14ac:dyDescent="0.25">
      <c r="A459" s="25" t="s">
        <v>585</v>
      </c>
      <c r="B459" s="20" t="s">
        <v>249</v>
      </c>
      <c r="C459" s="20" t="s">
        <v>249</v>
      </c>
      <c r="D459" s="20" t="s">
        <v>1137</v>
      </c>
      <c r="E459" s="20"/>
      <c r="F459" s="412">
        <f t="shared" ref="F459" si="66">F460</f>
        <v>982</v>
      </c>
    </row>
    <row r="460" spans="1:6" ht="15.75" x14ac:dyDescent="0.25">
      <c r="A460" s="25" t="s">
        <v>150</v>
      </c>
      <c r="B460" s="20" t="s">
        <v>249</v>
      </c>
      <c r="C460" s="20" t="s">
        <v>249</v>
      </c>
      <c r="D460" s="20" t="s">
        <v>1137</v>
      </c>
      <c r="E460" s="20" t="s">
        <v>160</v>
      </c>
      <c r="F460" s="412">
        <f>F461</f>
        <v>982</v>
      </c>
    </row>
    <row r="461" spans="1:6" ht="47.25" x14ac:dyDescent="0.25">
      <c r="A461" s="25" t="s">
        <v>199</v>
      </c>
      <c r="B461" s="20" t="s">
        <v>249</v>
      </c>
      <c r="C461" s="20" t="s">
        <v>249</v>
      </c>
      <c r="D461" s="20" t="s">
        <v>1137</v>
      </c>
      <c r="E461" s="20" t="s">
        <v>175</v>
      </c>
      <c r="F461" s="411">
        <f>'Пр.6 ведом.20'!G1022</f>
        <v>982</v>
      </c>
    </row>
    <row r="462" spans="1:6" ht="31.5" hidden="1" x14ac:dyDescent="0.25">
      <c r="A462" s="25" t="s">
        <v>869</v>
      </c>
      <c r="B462" s="20" t="s">
        <v>249</v>
      </c>
      <c r="C462" s="20" t="s">
        <v>249</v>
      </c>
      <c r="D462" s="20" t="s">
        <v>1262</v>
      </c>
      <c r="E462" s="20"/>
      <c r="F462" s="412">
        <f t="shared" ref="F462" si="67">F463</f>
        <v>0</v>
      </c>
    </row>
    <row r="463" spans="1:6" ht="15.75" hidden="1" x14ac:dyDescent="0.25">
      <c r="A463" s="25" t="s">
        <v>150</v>
      </c>
      <c r="B463" s="20" t="s">
        <v>249</v>
      </c>
      <c r="C463" s="20" t="s">
        <v>249</v>
      </c>
      <c r="D463" s="20" t="s">
        <v>1262</v>
      </c>
      <c r="E463" s="20" t="s">
        <v>160</v>
      </c>
      <c r="F463" s="412">
        <f>F464</f>
        <v>0</v>
      </c>
    </row>
    <row r="464" spans="1:6" ht="47.25" hidden="1" x14ac:dyDescent="0.25">
      <c r="A464" s="25" t="s">
        <v>199</v>
      </c>
      <c r="B464" s="20" t="s">
        <v>249</v>
      </c>
      <c r="C464" s="20" t="s">
        <v>249</v>
      </c>
      <c r="D464" s="20" t="s">
        <v>1262</v>
      </c>
      <c r="E464" s="20" t="s">
        <v>175</v>
      </c>
      <c r="F464" s="412">
        <f>'Пр.6 ведом.20'!G1025</f>
        <v>0</v>
      </c>
    </row>
    <row r="465" spans="1:8" ht="31.5" x14ac:dyDescent="0.25">
      <c r="A465" s="23" t="s">
        <v>1006</v>
      </c>
      <c r="B465" s="24" t="s">
        <v>249</v>
      </c>
      <c r="C465" s="24" t="s">
        <v>249</v>
      </c>
      <c r="D465" s="24" t="s">
        <v>989</v>
      </c>
      <c r="E465" s="24"/>
      <c r="F465" s="417">
        <f>F466+F471</f>
        <v>9779</v>
      </c>
    </row>
    <row r="466" spans="1:8" ht="31.5" x14ac:dyDescent="0.25">
      <c r="A466" s="25" t="s">
        <v>976</v>
      </c>
      <c r="B466" s="20" t="s">
        <v>249</v>
      </c>
      <c r="C466" s="20" t="s">
        <v>249</v>
      </c>
      <c r="D466" s="20" t="s">
        <v>990</v>
      </c>
      <c r="E466" s="20"/>
      <c r="F466" s="412">
        <f>F467+F469</f>
        <v>9359</v>
      </c>
    </row>
    <row r="467" spans="1:8" ht="78.75" x14ac:dyDescent="0.25">
      <c r="A467" s="25" t="s">
        <v>142</v>
      </c>
      <c r="B467" s="20" t="s">
        <v>249</v>
      </c>
      <c r="C467" s="20" t="s">
        <v>249</v>
      </c>
      <c r="D467" s="20" t="s">
        <v>990</v>
      </c>
      <c r="E467" s="20" t="s">
        <v>143</v>
      </c>
      <c r="F467" s="412">
        <f>F468</f>
        <v>8047</v>
      </c>
    </row>
    <row r="468" spans="1:8" ht="31.5" x14ac:dyDescent="0.25">
      <c r="A468" s="25" t="s">
        <v>357</v>
      </c>
      <c r="B468" s="20" t="s">
        <v>249</v>
      </c>
      <c r="C468" s="20" t="s">
        <v>249</v>
      </c>
      <c r="D468" s="20" t="s">
        <v>990</v>
      </c>
      <c r="E468" s="20" t="s">
        <v>224</v>
      </c>
      <c r="F468" s="412">
        <f>'Пр.6 ведом.20'!G1029</f>
        <v>8047</v>
      </c>
    </row>
    <row r="469" spans="1:8" s="229" customFormat="1" ht="31.5" x14ac:dyDescent="0.25">
      <c r="A469" s="25" t="s">
        <v>146</v>
      </c>
      <c r="B469" s="20" t="s">
        <v>249</v>
      </c>
      <c r="C469" s="20" t="s">
        <v>249</v>
      </c>
      <c r="D469" s="20" t="s">
        <v>990</v>
      </c>
      <c r="E469" s="20" t="s">
        <v>147</v>
      </c>
      <c r="F469" s="412">
        <f>F470</f>
        <v>1312</v>
      </c>
    </row>
    <row r="470" spans="1:8" s="229" customFormat="1" ht="31.5" x14ac:dyDescent="0.25">
      <c r="A470" s="25" t="s">
        <v>148</v>
      </c>
      <c r="B470" s="20" t="s">
        <v>249</v>
      </c>
      <c r="C470" s="20" t="s">
        <v>249</v>
      </c>
      <c r="D470" s="20" t="s">
        <v>990</v>
      </c>
      <c r="E470" s="20" t="s">
        <v>149</v>
      </c>
      <c r="F470" s="412">
        <f>'Пр.6 ведом.20'!G1031</f>
        <v>1312</v>
      </c>
    </row>
    <row r="471" spans="1:8" s="229" customFormat="1" ht="47.25" x14ac:dyDescent="0.25">
      <c r="A471" s="25" t="s">
        <v>886</v>
      </c>
      <c r="B471" s="20" t="s">
        <v>249</v>
      </c>
      <c r="C471" s="20" t="s">
        <v>249</v>
      </c>
      <c r="D471" s="20" t="s">
        <v>991</v>
      </c>
      <c r="E471" s="20"/>
      <c r="F471" s="412">
        <f>F472</f>
        <v>420</v>
      </c>
    </row>
    <row r="472" spans="1:8" s="229" customFormat="1" ht="78.75" x14ac:dyDescent="0.25">
      <c r="A472" s="25" t="s">
        <v>142</v>
      </c>
      <c r="B472" s="20" t="s">
        <v>249</v>
      </c>
      <c r="C472" s="20" t="s">
        <v>249</v>
      </c>
      <c r="D472" s="20" t="s">
        <v>991</v>
      </c>
      <c r="E472" s="20" t="s">
        <v>143</v>
      </c>
      <c r="F472" s="412">
        <f>F473</f>
        <v>420</v>
      </c>
    </row>
    <row r="473" spans="1:8" s="229" customFormat="1" ht="31.5" x14ac:dyDescent="0.25">
      <c r="A473" s="25" t="s">
        <v>144</v>
      </c>
      <c r="B473" s="20" t="s">
        <v>249</v>
      </c>
      <c r="C473" s="20" t="s">
        <v>249</v>
      </c>
      <c r="D473" s="20" t="s">
        <v>991</v>
      </c>
      <c r="E473" s="20" t="s">
        <v>145</v>
      </c>
      <c r="F473" s="412">
        <f>'Пр.6 ведом.20'!G1034</f>
        <v>420</v>
      </c>
    </row>
    <row r="474" spans="1:8" s="229" customFormat="1" ht="63" x14ac:dyDescent="0.25">
      <c r="A474" s="34" t="s">
        <v>804</v>
      </c>
      <c r="B474" s="24" t="s">
        <v>249</v>
      </c>
      <c r="C474" s="24" t="s">
        <v>249</v>
      </c>
      <c r="D474" s="24" t="s">
        <v>339</v>
      </c>
      <c r="E474" s="24"/>
      <c r="F474" s="416">
        <f>F475</f>
        <v>57</v>
      </c>
    </row>
    <row r="475" spans="1:8" s="229" customFormat="1" ht="63" x14ac:dyDescent="0.25">
      <c r="A475" s="34" t="s">
        <v>1168</v>
      </c>
      <c r="B475" s="24" t="s">
        <v>249</v>
      </c>
      <c r="C475" s="24" t="s">
        <v>249</v>
      </c>
      <c r="D475" s="24" t="s">
        <v>1030</v>
      </c>
      <c r="E475" s="24"/>
      <c r="F475" s="416">
        <f>F476</f>
        <v>57</v>
      </c>
    </row>
    <row r="476" spans="1:8" s="229" customFormat="1" ht="47.25" x14ac:dyDescent="0.25">
      <c r="A476" s="31" t="s">
        <v>1284</v>
      </c>
      <c r="B476" s="20" t="s">
        <v>249</v>
      </c>
      <c r="C476" s="20" t="s">
        <v>249</v>
      </c>
      <c r="D476" s="20" t="s">
        <v>1200</v>
      </c>
      <c r="E476" s="20"/>
      <c r="F476" s="415">
        <f>F477</f>
        <v>57</v>
      </c>
    </row>
    <row r="477" spans="1:8" s="229" customFormat="1" ht="31.5" x14ac:dyDescent="0.25">
      <c r="A477" s="25" t="s">
        <v>146</v>
      </c>
      <c r="B477" s="20" t="s">
        <v>249</v>
      </c>
      <c r="C477" s="20" t="s">
        <v>249</v>
      </c>
      <c r="D477" s="20" t="s">
        <v>1200</v>
      </c>
      <c r="E477" s="20" t="s">
        <v>147</v>
      </c>
      <c r="F477" s="415">
        <f>F478</f>
        <v>57</v>
      </c>
    </row>
    <row r="478" spans="1:8" s="229" customFormat="1" ht="31.5" x14ac:dyDescent="0.25">
      <c r="A478" s="25" t="s">
        <v>148</v>
      </c>
      <c r="B478" s="20" t="s">
        <v>249</v>
      </c>
      <c r="C478" s="20" t="s">
        <v>249</v>
      </c>
      <c r="D478" s="20" t="s">
        <v>1200</v>
      </c>
      <c r="E478" s="20" t="s">
        <v>149</v>
      </c>
      <c r="F478" s="415">
        <f>'Пр.6 ведом.20'!G1039</f>
        <v>57</v>
      </c>
    </row>
    <row r="479" spans="1:8" ht="15.75" x14ac:dyDescent="0.25">
      <c r="A479" s="41" t="s">
        <v>278</v>
      </c>
      <c r="B479" s="7" t="s">
        <v>279</v>
      </c>
      <c r="C479" s="40"/>
      <c r="D479" s="40"/>
      <c r="E479" s="40"/>
      <c r="F479" s="305">
        <f>F480+F548+F727+F630+F698</f>
        <v>379736.79999999993</v>
      </c>
      <c r="H479" s="22"/>
    </row>
    <row r="480" spans="1:8" ht="15.75" x14ac:dyDescent="0.25">
      <c r="A480" s="41" t="s">
        <v>419</v>
      </c>
      <c r="B480" s="7" t="s">
        <v>279</v>
      </c>
      <c r="C480" s="7" t="s">
        <v>133</v>
      </c>
      <c r="D480" s="7"/>
      <c r="E480" s="7"/>
      <c r="F480" s="305">
        <f>F481+F531+F543</f>
        <v>109329.55</v>
      </c>
      <c r="H480" s="22"/>
    </row>
    <row r="481" spans="1:8" ht="47.25" x14ac:dyDescent="0.25">
      <c r="A481" s="23" t="s">
        <v>420</v>
      </c>
      <c r="B481" s="24" t="s">
        <v>279</v>
      </c>
      <c r="C481" s="24" t="s">
        <v>133</v>
      </c>
      <c r="D481" s="24" t="s">
        <v>421</v>
      </c>
      <c r="E481" s="24"/>
      <c r="F481" s="305">
        <f>F482+F503</f>
        <v>108865.25</v>
      </c>
    </row>
    <row r="482" spans="1:8" ht="35.25" customHeight="1" x14ac:dyDescent="0.25">
      <c r="A482" s="23" t="s">
        <v>422</v>
      </c>
      <c r="B482" s="24" t="s">
        <v>279</v>
      </c>
      <c r="C482" s="24" t="s">
        <v>133</v>
      </c>
      <c r="D482" s="24" t="s">
        <v>423</v>
      </c>
      <c r="E482" s="24"/>
      <c r="F482" s="305">
        <f>F483+F490</f>
        <v>97867.55</v>
      </c>
      <c r="G482" s="22"/>
    </row>
    <row r="483" spans="1:8" s="229" customFormat="1" ht="31.5" x14ac:dyDescent="0.25">
      <c r="A483" s="23" t="s">
        <v>1033</v>
      </c>
      <c r="B483" s="24" t="s">
        <v>279</v>
      </c>
      <c r="C483" s="24" t="s">
        <v>133</v>
      </c>
      <c r="D483" s="24" t="s">
        <v>1011</v>
      </c>
      <c r="E483" s="24"/>
      <c r="F483" s="305">
        <f>F484+F487</f>
        <v>12027</v>
      </c>
    </row>
    <row r="484" spans="1:8" ht="52.5" customHeight="1" x14ac:dyDescent="0.25">
      <c r="A484" s="25" t="s">
        <v>1068</v>
      </c>
      <c r="B484" s="20" t="s">
        <v>279</v>
      </c>
      <c r="C484" s="20" t="s">
        <v>133</v>
      </c>
      <c r="D484" s="20" t="s">
        <v>1067</v>
      </c>
      <c r="E484" s="20"/>
      <c r="F484" s="411">
        <f>F485</f>
        <v>7224.2999999999993</v>
      </c>
    </row>
    <row r="485" spans="1:8" ht="40.5" customHeight="1" x14ac:dyDescent="0.25">
      <c r="A485" s="25" t="s">
        <v>287</v>
      </c>
      <c r="B485" s="20" t="s">
        <v>279</v>
      </c>
      <c r="C485" s="20" t="s">
        <v>133</v>
      </c>
      <c r="D485" s="20" t="s">
        <v>1067</v>
      </c>
      <c r="E485" s="20" t="s">
        <v>288</v>
      </c>
      <c r="F485" s="411">
        <f>F486</f>
        <v>7224.2999999999993</v>
      </c>
    </row>
    <row r="486" spans="1:8" ht="15.75" x14ac:dyDescent="0.25">
      <c r="A486" s="25" t="s">
        <v>289</v>
      </c>
      <c r="B486" s="20" t="s">
        <v>279</v>
      </c>
      <c r="C486" s="20" t="s">
        <v>133</v>
      </c>
      <c r="D486" s="20" t="s">
        <v>1067</v>
      </c>
      <c r="E486" s="20" t="s">
        <v>290</v>
      </c>
      <c r="F486" s="412">
        <f>'Пр.6 ведом.20'!G547</f>
        <v>7224.2999999999993</v>
      </c>
      <c r="H486" s="22"/>
    </row>
    <row r="487" spans="1:8" s="229" customFormat="1" ht="51" customHeight="1" x14ac:dyDescent="0.25">
      <c r="A487" s="25" t="s">
        <v>1249</v>
      </c>
      <c r="B487" s="20" t="s">
        <v>279</v>
      </c>
      <c r="C487" s="20" t="s">
        <v>133</v>
      </c>
      <c r="D487" s="20" t="s">
        <v>1069</v>
      </c>
      <c r="E487" s="20"/>
      <c r="F487" s="412">
        <f>F488</f>
        <v>4802.7</v>
      </c>
      <c r="H487" s="22"/>
    </row>
    <row r="488" spans="1:8" s="229" customFormat="1" ht="31.5" x14ac:dyDescent="0.25">
      <c r="A488" s="25" t="s">
        <v>287</v>
      </c>
      <c r="B488" s="20" t="s">
        <v>279</v>
      </c>
      <c r="C488" s="20" t="s">
        <v>133</v>
      </c>
      <c r="D488" s="20" t="s">
        <v>1069</v>
      </c>
      <c r="E488" s="20" t="s">
        <v>288</v>
      </c>
      <c r="F488" s="412">
        <f>F489</f>
        <v>4802.7</v>
      </c>
      <c r="H488" s="22"/>
    </row>
    <row r="489" spans="1:8" s="229" customFormat="1" ht="15.75" x14ac:dyDescent="0.25">
      <c r="A489" s="25" t="s">
        <v>289</v>
      </c>
      <c r="B489" s="20" t="s">
        <v>279</v>
      </c>
      <c r="C489" s="20" t="s">
        <v>133</v>
      </c>
      <c r="D489" s="20" t="s">
        <v>1069</v>
      </c>
      <c r="E489" s="20" t="s">
        <v>290</v>
      </c>
      <c r="F489" s="412">
        <f>'Пр.6 ведом.20'!G550</f>
        <v>4802.7</v>
      </c>
      <c r="H489" s="22"/>
    </row>
    <row r="490" spans="1:8" ht="47.25" x14ac:dyDescent="0.25">
      <c r="A490" s="23" t="s">
        <v>973</v>
      </c>
      <c r="B490" s="24" t="s">
        <v>279</v>
      </c>
      <c r="C490" s="24" t="s">
        <v>133</v>
      </c>
      <c r="D490" s="24" t="s">
        <v>1026</v>
      </c>
      <c r="E490" s="24"/>
      <c r="F490" s="305">
        <f>F491+F494+F497+F500</f>
        <v>85840.55</v>
      </c>
    </row>
    <row r="491" spans="1:8" ht="47.25" customHeight="1" x14ac:dyDescent="0.25">
      <c r="A491" s="31" t="s">
        <v>304</v>
      </c>
      <c r="B491" s="20" t="s">
        <v>279</v>
      </c>
      <c r="C491" s="20" t="s">
        <v>133</v>
      </c>
      <c r="D491" s="20" t="s">
        <v>1025</v>
      </c>
      <c r="E491" s="20"/>
      <c r="F491" s="411">
        <f t="shared" ref="F491:F492" si="68">F492</f>
        <v>559.71</v>
      </c>
    </row>
    <row r="492" spans="1:8" ht="47.25" customHeight="1" x14ac:dyDescent="0.25">
      <c r="A492" s="25" t="s">
        <v>287</v>
      </c>
      <c r="B492" s="20" t="s">
        <v>279</v>
      </c>
      <c r="C492" s="20" t="s">
        <v>133</v>
      </c>
      <c r="D492" s="20" t="s">
        <v>1025</v>
      </c>
      <c r="E492" s="20" t="s">
        <v>288</v>
      </c>
      <c r="F492" s="411">
        <f t="shared" si="68"/>
        <v>559.71</v>
      </c>
    </row>
    <row r="493" spans="1:8" ht="15.75" customHeight="1" x14ac:dyDescent="0.25">
      <c r="A493" s="25" t="s">
        <v>289</v>
      </c>
      <c r="B493" s="20" t="s">
        <v>279</v>
      </c>
      <c r="C493" s="20" t="s">
        <v>133</v>
      </c>
      <c r="D493" s="20" t="s">
        <v>1025</v>
      </c>
      <c r="E493" s="20" t="s">
        <v>290</v>
      </c>
      <c r="F493" s="411">
        <f>'Пр.6 ведом.20'!G554</f>
        <v>559.71</v>
      </c>
    </row>
    <row r="494" spans="1:8" ht="31.5" customHeight="1" x14ac:dyDescent="0.25">
      <c r="A494" s="31" t="s">
        <v>435</v>
      </c>
      <c r="B494" s="20" t="s">
        <v>279</v>
      </c>
      <c r="C494" s="20" t="s">
        <v>133</v>
      </c>
      <c r="D494" s="20" t="s">
        <v>1028</v>
      </c>
      <c r="E494" s="20"/>
      <c r="F494" s="411">
        <f t="shared" ref="F494:F495" si="69">F495</f>
        <v>1629.37</v>
      </c>
    </row>
    <row r="495" spans="1:8" ht="47.25" customHeight="1" x14ac:dyDescent="0.25">
      <c r="A495" s="25" t="s">
        <v>287</v>
      </c>
      <c r="B495" s="20" t="s">
        <v>279</v>
      </c>
      <c r="C495" s="20" t="s">
        <v>133</v>
      </c>
      <c r="D495" s="20" t="s">
        <v>1028</v>
      </c>
      <c r="E495" s="20" t="s">
        <v>288</v>
      </c>
      <c r="F495" s="411">
        <f t="shared" si="69"/>
        <v>1629.37</v>
      </c>
    </row>
    <row r="496" spans="1:8" ht="15.75" customHeight="1" x14ac:dyDescent="0.25">
      <c r="A496" s="25" t="s">
        <v>289</v>
      </c>
      <c r="B496" s="20" t="s">
        <v>279</v>
      </c>
      <c r="C496" s="20" t="s">
        <v>133</v>
      </c>
      <c r="D496" s="20" t="s">
        <v>1028</v>
      </c>
      <c r="E496" s="20" t="s">
        <v>290</v>
      </c>
      <c r="F496" s="411">
        <f>'Пр.6 ведом.20'!G557</f>
        <v>1629.37</v>
      </c>
    </row>
    <row r="497" spans="1:6" ht="94.5" x14ac:dyDescent="0.25">
      <c r="A497" s="31" t="s">
        <v>436</v>
      </c>
      <c r="B497" s="20" t="s">
        <v>279</v>
      </c>
      <c r="C497" s="20" t="s">
        <v>133</v>
      </c>
      <c r="D497" s="20" t="s">
        <v>1027</v>
      </c>
      <c r="E497" s="20"/>
      <c r="F497" s="411">
        <f t="shared" ref="F497:F498" si="70">F498</f>
        <v>80735.399999999994</v>
      </c>
    </row>
    <row r="498" spans="1:6" ht="31.5" x14ac:dyDescent="0.25">
      <c r="A498" s="25" t="s">
        <v>287</v>
      </c>
      <c r="B498" s="20" t="s">
        <v>279</v>
      </c>
      <c r="C498" s="20" t="s">
        <v>133</v>
      </c>
      <c r="D498" s="20" t="s">
        <v>1027</v>
      </c>
      <c r="E498" s="20" t="s">
        <v>288</v>
      </c>
      <c r="F498" s="411">
        <f t="shared" si="70"/>
        <v>80735.399999999994</v>
      </c>
    </row>
    <row r="499" spans="1:6" ht="15.75" x14ac:dyDescent="0.25">
      <c r="A499" s="25" t="s">
        <v>289</v>
      </c>
      <c r="B499" s="20" t="s">
        <v>279</v>
      </c>
      <c r="C499" s="20" t="s">
        <v>133</v>
      </c>
      <c r="D499" s="20" t="s">
        <v>1027</v>
      </c>
      <c r="E499" s="20" t="s">
        <v>290</v>
      </c>
      <c r="F499" s="411">
        <f>'Пр.6 ведом.20'!G560</f>
        <v>80735.399999999994</v>
      </c>
    </row>
    <row r="500" spans="1:6" ht="94.5" x14ac:dyDescent="0.25">
      <c r="A500" s="31" t="s">
        <v>308</v>
      </c>
      <c r="B500" s="20" t="s">
        <v>279</v>
      </c>
      <c r="C500" s="20" t="s">
        <v>133</v>
      </c>
      <c r="D500" s="20" t="s">
        <v>1029</v>
      </c>
      <c r="E500" s="20"/>
      <c r="F500" s="411">
        <f t="shared" ref="F500:F501" si="71">F501</f>
        <v>2916.07</v>
      </c>
    </row>
    <row r="501" spans="1:6" ht="31.5" x14ac:dyDescent="0.25">
      <c r="A501" s="25" t="s">
        <v>287</v>
      </c>
      <c r="B501" s="20" t="s">
        <v>279</v>
      </c>
      <c r="C501" s="20" t="s">
        <v>133</v>
      </c>
      <c r="D501" s="20" t="s">
        <v>1029</v>
      </c>
      <c r="E501" s="20" t="s">
        <v>288</v>
      </c>
      <c r="F501" s="411">
        <f t="shared" si="71"/>
        <v>2916.07</v>
      </c>
    </row>
    <row r="502" spans="1:6" ht="15.75" x14ac:dyDescent="0.25">
      <c r="A502" s="25" t="s">
        <v>289</v>
      </c>
      <c r="B502" s="20" t="s">
        <v>279</v>
      </c>
      <c r="C502" s="20" t="s">
        <v>133</v>
      </c>
      <c r="D502" s="20" t="s">
        <v>1029</v>
      </c>
      <c r="E502" s="20" t="s">
        <v>290</v>
      </c>
      <c r="F502" s="411">
        <f>'Пр.6 ведом.20'!G563</f>
        <v>2916.07</v>
      </c>
    </row>
    <row r="503" spans="1:6" ht="31.5" customHeight="1" x14ac:dyDescent="0.25">
      <c r="A503" s="23" t="s">
        <v>426</v>
      </c>
      <c r="B503" s="24" t="s">
        <v>279</v>
      </c>
      <c r="C503" s="24" t="s">
        <v>133</v>
      </c>
      <c r="D503" s="24" t="s">
        <v>427</v>
      </c>
      <c r="E503" s="24"/>
      <c r="F503" s="305">
        <f>F504+F514+F524+F536</f>
        <v>10997.7</v>
      </c>
    </row>
    <row r="504" spans="1:6" ht="36" customHeight="1" x14ac:dyDescent="0.25">
      <c r="A504" s="23" t="s">
        <v>1012</v>
      </c>
      <c r="B504" s="24" t="s">
        <v>279</v>
      </c>
      <c r="C504" s="24" t="s">
        <v>133</v>
      </c>
      <c r="D504" s="24" t="s">
        <v>1013</v>
      </c>
      <c r="E504" s="24"/>
      <c r="F504" s="305">
        <f>F505+F508+F511</f>
        <v>4430</v>
      </c>
    </row>
    <row r="505" spans="1:6" ht="40.5" hidden="1" customHeight="1" x14ac:dyDescent="0.25">
      <c r="A505" s="25" t="s">
        <v>293</v>
      </c>
      <c r="B505" s="20" t="s">
        <v>279</v>
      </c>
      <c r="C505" s="20" t="s">
        <v>133</v>
      </c>
      <c r="D505" s="20" t="s">
        <v>1014</v>
      </c>
      <c r="E505" s="20"/>
      <c r="F505" s="411">
        <f>F506</f>
        <v>0</v>
      </c>
    </row>
    <row r="506" spans="1:6" ht="42" hidden="1" customHeight="1" x14ac:dyDescent="0.25">
      <c r="A506" s="25" t="s">
        <v>287</v>
      </c>
      <c r="B506" s="20" t="s">
        <v>279</v>
      </c>
      <c r="C506" s="20" t="s">
        <v>133</v>
      </c>
      <c r="D506" s="20" t="s">
        <v>1014</v>
      </c>
      <c r="E506" s="20" t="s">
        <v>288</v>
      </c>
      <c r="F506" s="411">
        <f t="shared" ref="F506" si="72">F507</f>
        <v>0</v>
      </c>
    </row>
    <row r="507" spans="1:6" ht="20.25" hidden="1" customHeight="1" x14ac:dyDescent="0.25">
      <c r="A507" s="25" t="s">
        <v>289</v>
      </c>
      <c r="B507" s="20" t="s">
        <v>279</v>
      </c>
      <c r="C507" s="20" t="s">
        <v>133</v>
      </c>
      <c r="D507" s="20" t="s">
        <v>1014</v>
      </c>
      <c r="E507" s="20" t="s">
        <v>290</v>
      </c>
      <c r="F507" s="411">
        <f>'Пр.6 ведом.20'!G568</f>
        <v>0</v>
      </c>
    </row>
    <row r="508" spans="1:6" ht="39" hidden="1" customHeight="1" x14ac:dyDescent="0.25">
      <c r="A508" s="25" t="s">
        <v>295</v>
      </c>
      <c r="B508" s="20" t="s">
        <v>279</v>
      </c>
      <c r="C508" s="20" t="s">
        <v>133</v>
      </c>
      <c r="D508" s="20" t="s">
        <v>1015</v>
      </c>
      <c r="E508" s="20"/>
      <c r="F508" s="411">
        <f>F509</f>
        <v>0</v>
      </c>
    </row>
    <row r="509" spans="1:6" ht="35.25" hidden="1" customHeight="1" x14ac:dyDescent="0.25">
      <c r="A509" s="25" t="s">
        <v>287</v>
      </c>
      <c r="B509" s="20" t="s">
        <v>279</v>
      </c>
      <c r="C509" s="20" t="s">
        <v>133</v>
      </c>
      <c r="D509" s="20" t="s">
        <v>1015</v>
      </c>
      <c r="E509" s="20" t="s">
        <v>288</v>
      </c>
      <c r="F509" s="411">
        <f t="shared" ref="F509" si="73">F510</f>
        <v>0</v>
      </c>
    </row>
    <row r="510" spans="1:6" ht="17.25" hidden="1" customHeight="1" x14ac:dyDescent="0.25">
      <c r="A510" s="25" t="s">
        <v>289</v>
      </c>
      <c r="B510" s="20" t="s">
        <v>279</v>
      </c>
      <c r="C510" s="20" t="s">
        <v>133</v>
      </c>
      <c r="D510" s="20" t="s">
        <v>1015</v>
      </c>
      <c r="E510" s="20" t="s">
        <v>290</v>
      </c>
      <c r="F510" s="411">
        <f>'Пр.6 ведом.20'!G571</f>
        <v>0</v>
      </c>
    </row>
    <row r="511" spans="1:6" ht="15.75" customHeight="1" x14ac:dyDescent="0.25">
      <c r="A511" s="25" t="s">
        <v>430</v>
      </c>
      <c r="B511" s="20" t="s">
        <v>279</v>
      </c>
      <c r="C511" s="20" t="s">
        <v>133</v>
      </c>
      <c r="D511" s="20" t="s">
        <v>1016</v>
      </c>
      <c r="E511" s="20"/>
      <c r="F511" s="411">
        <f>F512</f>
        <v>4430</v>
      </c>
    </row>
    <row r="512" spans="1:6" ht="31.5" x14ac:dyDescent="0.25">
      <c r="A512" s="25" t="s">
        <v>287</v>
      </c>
      <c r="B512" s="20" t="s">
        <v>279</v>
      </c>
      <c r="C512" s="20" t="s">
        <v>133</v>
      </c>
      <c r="D512" s="20" t="s">
        <v>1016</v>
      </c>
      <c r="E512" s="20" t="s">
        <v>288</v>
      </c>
      <c r="F512" s="411">
        <f>F513</f>
        <v>4430</v>
      </c>
    </row>
    <row r="513" spans="1:8" ht="15.75" x14ac:dyDescent="0.25">
      <c r="A513" s="25" t="s">
        <v>289</v>
      </c>
      <c r="B513" s="20" t="s">
        <v>279</v>
      </c>
      <c r="C513" s="20" t="s">
        <v>133</v>
      </c>
      <c r="D513" s="20" t="s">
        <v>1016</v>
      </c>
      <c r="E513" s="20" t="s">
        <v>290</v>
      </c>
      <c r="F513" s="411">
        <f>'Пр.6 ведом.20'!G574</f>
        <v>4430</v>
      </c>
    </row>
    <row r="514" spans="1:8" ht="31.5" x14ac:dyDescent="0.25">
      <c r="A514" s="281" t="s">
        <v>1082</v>
      </c>
      <c r="B514" s="24" t="s">
        <v>279</v>
      </c>
      <c r="C514" s="24" t="s">
        <v>133</v>
      </c>
      <c r="D514" s="24" t="s">
        <v>1017</v>
      </c>
      <c r="E514" s="24"/>
      <c r="F514" s="305">
        <f>F515+F518+F521</f>
        <v>4610</v>
      </c>
    </row>
    <row r="515" spans="1:8" ht="31.5" hidden="1" x14ac:dyDescent="0.25">
      <c r="A515" s="25" t="s">
        <v>299</v>
      </c>
      <c r="B515" s="20" t="s">
        <v>279</v>
      </c>
      <c r="C515" s="20" t="s">
        <v>133</v>
      </c>
      <c r="D515" s="20" t="s">
        <v>1018</v>
      </c>
      <c r="E515" s="20"/>
      <c r="F515" s="411">
        <f>F516</f>
        <v>0</v>
      </c>
    </row>
    <row r="516" spans="1:8" ht="31.5" hidden="1" x14ac:dyDescent="0.25">
      <c r="A516" s="25" t="s">
        <v>287</v>
      </c>
      <c r="B516" s="20" t="s">
        <v>279</v>
      </c>
      <c r="C516" s="20" t="s">
        <v>133</v>
      </c>
      <c r="D516" s="20" t="s">
        <v>1018</v>
      </c>
      <c r="E516" s="20" t="s">
        <v>288</v>
      </c>
      <c r="F516" s="411">
        <f>F517</f>
        <v>0</v>
      </c>
    </row>
    <row r="517" spans="1:8" ht="15.75" hidden="1" x14ac:dyDescent="0.25">
      <c r="A517" s="25" t="s">
        <v>289</v>
      </c>
      <c r="B517" s="20" t="s">
        <v>279</v>
      </c>
      <c r="C517" s="20" t="s">
        <v>133</v>
      </c>
      <c r="D517" s="20" t="s">
        <v>1018</v>
      </c>
      <c r="E517" s="20" t="s">
        <v>290</v>
      </c>
      <c r="F517" s="411">
        <f>'Пр.6 ведом.20'!G578</f>
        <v>0</v>
      </c>
    </row>
    <row r="518" spans="1:8" ht="31.5" x14ac:dyDescent="0.25">
      <c r="A518" s="60" t="s">
        <v>786</v>
      </c>
      <c r="B518" s="20" t="s">
        <v>279</v>
      </c>
      <c r="C518" s="20" t="s">
        <v>133</v>
      </c>
      <c r="D518" s="20" t="s">
        <v>1019</v>
      </c>
      <c r="E518" s="20"/>
      <c r="F518" s="411">
        <f>F519</f>
        <v>2850</v>
      </c>
    </row>
    <row r="519" spans="1:8" ht="31.5" x14ac:dyDescent="0.25">
      <c r="A519" s="29" t="s">
        <v>287</v>
      </c>
      <c r="B519" s="20" t="s">
        <v>279</v>
      </c>
      <c r="C519" s="20" t="s">
        <v>133</v>
      </c>
      <c r="D519" s="20" t="s">
        <v>1019</v>
      </c>
      <c r="E519" s="20" t="s">
        <v>288</v>
      </c>
      <c r="F519" s="411">
        <f>F520</f>
        <v>2850</v>
      </c>
    </row>
    <row r="520" spans="1:8" ht="15.75" x14ac:dyDescent="0.25">
      <c r="A520" s="195" t="s">
        <v>289</v>
      </c>
      <c r="B520" s="20" t="s">
        <v>279</v>
      </c>
      <c r="C520" s="20" t="s">
        <v>133</v>
      </c>
      <c r="D520" s="20" t="s">
        <v>1019</v>
      </c>
      <c r="E520" s="20" t="s">
        <v>290</v>
      </c>
      <c r="F520" s="411">
        <f>'Пр.6 ведом.20'!G581</f>
        <v>2850</v>
      </c>
    </row>
    <row r="521" spans="1:8" ht="47.25" x14ac:dyDescent="0.25">
      <c r="A521" s="60" t="s">
        <v>787</v>
      </c>
      <c r="B521" s="20" t="s">
        <v>279</v>
      </c>
      <c r="C521" s="20" t="s">
        <v>133</v>
      </c>
      <c r="D521" s="20" t="s">
        <v>1020</v>
      </c>
      <c r="E521" s="20"/>
      <c r="F521" s="411">
        <f>F522</f>
        <v>1760</v>
      </c>
    </row>
    <row r="522" spans="1:8" ht="31.5" x14ac:dyDescent="0.25">
      <c r="A522" s="29" t="s">
        <v>287</v>
      </c>
      <c r="B522" s="20" t="s">
        <v>279</v>
      </c>
      <c r="C522" s="20" t="s">
        <v>133</v>
      </c>
      <c r="D522" s="20" t="s">
        <v>1020</v>
      </c>
      <c r="E522" s="20" t="s">
        <v>288</v>
      </c>
      <c r="F522" s="411">
        <f>F523</f>
        <v>1760</v>
      </c>
    </row>
    <row r="523" spans="1:8" ht="15.75" x14ac:dyDescent="0.25">
      <c r="A523" s="195" t="s">
        <v>289</v>
      </c>
      <c r="B523" s="20" t="s">
        <v>279</v>
      </c>
      <c r="C523" s="20" t="s">
        <v>133</v>
      </c>
      <c r="D523" s="20" t="s">
        <v>1020</v>
      </c>
      <c r="E523" s="20" t="s">
        <v>290</v>
      </c>
      <c r="F523" s="411">
        <f>'Пр.6 ведом.20'!G584</f>
        <v>1760</v>
      </c>
    </row>
    <row r="524" spans="1:8" ht="65.25" customHeight="1" x14ac:dyDescent="0.25">
      <c r="A524" s="23" t="s">
        <v>1021</v>
      </c>
      <c r="B524" s="24" t="s">
        <v>279</v>
      </c>
      <c r="C524" s="24" t="s">
        <v>133</v>
      </c>
      <c r="D524" s="24" t="s">
        <v>1022</v>
      </c>
      <c r="E524" s="24"/>
      <c r="F524" s="305">
        <f>F525+F528</f>
        <v>291.10000000000002</v>
      </c>
      <c r="H524" s="22"/>
    </row>
    <row r="525" spans="1:8" ht="141.75" x14ac:dyDescent="0.25">
      <c r="A525" s="25" t="s">
        <v>830</v>
      </c>
      <c r="B525" s="20" t="s">
        <v>279</v>
      </c>
      <c r="C525" s="20" t="s">
        <v>133</v>
      </c>
      <c r="D525" s="20" t="s">
        <v>1023</v>
      </c>
      <c r="E525" s="20"/>
      <c r="F525" s="411">
        <f>F526</f>
        <v>124.4</v>
      </c>
      <c r="H525" s="22"/>
    </row>
    <row r="526" spans="1:8" ht="31.5" x14ac:dyDescent="0.25">
      <c r="A526" s="29" t="s">
        <v>287</v>
      </c>
      <c r="B526" s="20" t="s">
        <v>279</v>
      </c>
      <c r="C526" s="20" t="s">
        <v>133</v>
      </c>
      <c r="D526" s="20" t="s">
        <v>1023</v>
      </c>
      <c r="E526" s="20" t="s">
        <v>288</v>
      </c>
      <c r="F526" s="411">
        <f>F527</f>
        <v>124.4</v>
      </c>
      <c r="H526" s="22"/>
    </row>
    <row r="527" spans="1:8" ht="15.75" x14ac:dyDescent="0.25">
      <c r="A527" s="195" t="s">
        <v>289</v>
      </c>
      <c r="B527" s="20" t="s">
        <v>279</v>
      </c>
      <c r="C527" s="20" t="s">
        <v>133</v>
      </c>
      <c r="D527" s="20" t="s">
        <v>1023</v>
      </c>
      <c r="E527" s="20" t="s">
        <v>290</v>
      </c>
      <c r="F527" s="411">
        <f>'Пр.6 ведом.20'!G588</f>
        <v>124.4</v>
      </c>
      <c r="H527" s="22"/>
    </row>
    <row r="528" spans="1:8" ht="126" x14ac:dyDescent="0.25">
      <c r="A528" s="25" t="s">
        <v>438</v>
      </c>
      <c r="B528" s="20" t="s">
        <v>279</v>
      </c>
      <c r="C528" s="20" t="s">
        <v>133</v>
      </c>
      <c r="D528" s="20" t="s">
        <v>1024</v>
      </c>
      <c r="E528" s="20"/>
      <c r="F528" s="411">
        <f t="shared" ref="F528:F529" si="74">F529</f>
        <v>166.7</v>
      </c>
    </row>
    <row r="529" spans="1:6" ht="31.5" x14ac:dyDescent="0.25">
      <c r="A529" s="25" t="s">
        <v>287</v>
      </c>
      <c r="B529" s="20" t="s">
        <v>279</v>
      </c>
      <c r="C529" s="20" t="s">
        <v>133</v>
      </c>
      <c r="D529" s="20" t="s">
        <v>1024</v>
      </c>
      <c r="E529" s="20" t="s">
        <v>288</v>
      </c>
      <c r="F529" s="411">
        <f t="shared" si="74"/>
        <v>166.7</v>
      </c>
    </row>
    <row r="530" spans="1:6" ht="15.75" x14ac:dyDescent="0.25">
      <c r="A530" s="25" t="s">
        <v>289</v>
      </c>
      <c r="B530" s="20" t="s">
        <v>279</v>
      </c>
      <c r="C530" s="20" t="s">
        <v>133</v>
      </c>
      <c r="D530" s="20" t="s">
        <v>1024</v>
      </c>
      <c r="E530" s="20" t="s">
        <v>290</v>
      </c>
      <c r="F530" s="411">
        <f>'Пр.6 ведом.20'!G591</f>
        <v>166.7</v>
      </c>
    </row>
    <row r="531" spans="1:6" ht="65.25" hidden="1" customHeight="1" x14ac:dyDescent="0.25">
      <c r="A531" s="34" t="s">
        <v>804</v>
      </c>
      <c r="B531" s="24" t="s">
        <v>279</v>
      </c>
      <c r="C531" s="24" t="s">
        <v>133</v>
      </c>
      <c r="D531" s="24" t="s">
        <v>339</v>
      </c>
      <c r="E531" s="24"/>
      <c r="F531" s="305">
        <f>F532</f>
        <v>0</v>
      </c>
    </row>
    <row r="532" spans="1:6" ht="63" hidden="1" x14ac:dyDescent="0.25">
      <c r="A532" s="34" t="s">
        <v>1168</v>
      </c>
      <c r="B532" s="24" t="s">
        <v>279</v>
      </c>
      <c r="C532" s="24" t="s">
        <v>133</v>
      </c>
      <c r="D532" s="24" t="s">
        <v>1030</v>
      </c>
      <c r="E532" s="24"/>
      <c r="F532" s="305">
        <f>F533</f>
        <v>0</v>
      </c>
    </row>
    <row r="533" spans="1:6" ht="47.25" hidden="1" x14ac:dyDescent="0.25">
      <c r="A533" s="31" t="s">
        <v>1167</v>
      </c>
      <c r="B533" s="20" t="s">
        <v>279</v>
      </c>
      <c r="C533" s="20" t="s">
        <v>133</v>
      </c>
      <c r="D533" s="20" t="s">
        <v>1031</v>
      </c>
      <c r="E533" s="20"/>
      <c r="F533" s="411">
        <f>F534</f>
        <v>0</v>
      </c>
    </row>
    <row r="534" spans="1:6" ht="31.5" hidden="1" x14ac:dyDescent="0.25">
      <c r="A534" s="31" t="s">
        <v>287</v>
      </c>
      <c r="B534" s="20" t="s">
        <v>279</v>
      </c>
      <c r="C534" s="20" t="s">
        <v>133</v>
      </c>
      <c r="D534" s="20" t="s">
        <v>1031</v>
      </c>
      <c r="E534" s="20" t="s">
        <v>288</v>
      </c>
      <c r="F534" s="411">
        <f t="shared" ref="F534" si="75">F535</f>
        <v>0</v>
      </c>
    </row>
    <row r="535" spans="1:6" ht="15.75" hidden="1" x14ac:dyDescent="0.25">
      <c r="A535" s="31" t="s">
        <v>289</v>
      </c>
      <c r="B535" s="20" t="s">
        <v>279</v>
      </c>
      <c r="C535" s="20" t="s">
        <v>133</v>
      </c>
      <c r="D535" s="20" t="s">
        <v>1031</v>
      </c>
      <c r="E535" s="20" t="s">
        <v>290</v>
      </c>
      <c r="F535" s="411">
        <f>'Пр.6 ведом.20'!G603</f>
        <v>0</v>
      </c>
    </row>
    <row r="536" spans="1:6" s="229" customFormat="1" ht="94.5" x14ac:dyDescent="0.25">
      <c r="A536" s="23" t="s">
        <v>1426</v>
      </c>
      <c r="B536" s="24" t="s">
        <v>279</v>
      </c>
      <c r="C536" s="24" t="s">
        <v>133</v>
      </c>
      <c r="D536" s="24" t="s">
        <v>1424</v>
      </c>
      <c r="E536" s="24"/>
      <c r="F536" s="416">
        <f>F537+F540</f>
        <v>1666.6</v>
      </c>
    </row>
    <row r="537" spans="1:6" s="229" customFormat="1" ht="78.75" hidden="1" x14ac:dyDescent="0.25">
      <c r="A537" s="153" t="s">
        <v>1429</v>
      </c>
      <c r="B537" s="20" t="s">
        <v>279</v>
      </c>
      <c r="C537" s="20" t="s">
        <v>133</v>
      </c>
      <c r="D537" s="20" t="s">
        <v>1428</v>
      </c>
      <c r="E537" s="20"/>
      <c r="F537" s="415">
        <f>F538</f>
        <v>0</v>
      </c>
    </row>
    <row r="538" spans="1:6" s="229" customFormat="1" ht="31.5" hidden="1" x14ac:dyDescent="0.25">
      <c r="A538" s="25" t="s">
        <v>287</v>
      </c>
      <c r="B538" s="20" t="s">
        <v>279</v>
      </c>
      <c r="C538" s="20" t="s">
        <v>133</v>
      </c>
      <c r="D538" s="20" t="s">
        <v>1428</v>
      </c>
      <c r="E538" s="20" t="s">
        <v>288</v>
      </c>
      <c r="F538" s="415">
        <f>F539</f>
        <v>0</v>
      </c>
    </row>
    <row r="539" spans="1:6" s="229" customFormat="1" ht="15.75" hidden="1" x14ac:dyDescent="0.25">
      <c r="A539" s="25" t="s">
        <v>289</v>
      </c>
      <c r="B539" s="20" t="s">
        <v>279</v>
      </c>
      <c r="C539" s="20" t="s">
        <v>133</v>
      </c>
      <c r="D539" s="20" t="s">
        <v>1428</v>
      </c>
      <c r="E539" s="20" t="s">
        <v>290</v>
      </c>
      <c r="F539" s="415">
        <v>0</v>
      </c>
    </row>
    <row r="540" spans="1:6" s="229" customFormat="1" ht="94.5" x14ac:dyDescent="0.25">
      <c r="A540" s="153" t="s">
        <v>1425</v>
      </c>
      <c r="B540" s="20" t="s">
        <v>279</v>
      </c>
      <c r="C540" s="20" t="s">
        <v>133</v>
      </c>
      <c r="D540" s="20" t="s">
        <v>1427</v>
      </c>
      <c r="E540" s="20"/>
      <c r="F540" s="415">
        <f>F541</f>
        <v>1666.6</v>
      </c>
    </row>
    <row r="541" spans="1:6" s="229" customFormat="1" ht="31.5" x14ac:dyDescent="0.25">
      <c r="A541" s="25" t="s">
        <v>287</v>
      </c>
      <c r="B541" s="20" t="s">
        <v>279</v>
      </c>
      <c r="C541" s="20" t="s">
        <v>133</v>
      </c>
      <c r="D541" s="20" t="s">
        <v>1427</v>
      </c>
      <c r="E541" s="20" t="s">
        <v>288</v>
      </c>
      <c r="F541" s="415">
        <f>F542</f>
        <v>1666.6</v>
      </c>
    </row>
    <row r="542" spans="1:6" s="229" customFormat="1" ht="15.75" x14ac:dyDescent="0.25">
      <c r="A542" s="25" t="s">
        <v>289</v>
      </c>
      <c r="B542" s="20" t="s">
        <v>279</v>
      </c>
      <c r="C542" s="20" t="s">
        <v>133</v>
      </c>
      <c r="D542" s="20" t="s">
        <v>1427</v>
      </c>
      <c r="E542" s="20" t="s">
        <v>290</v>
      </c>
      <c r="F542" s="415">
        <v>1666.6</v>
      </c>
    </row>
    <row r="543" spans="1:6" ht="63" x14ac:dyDescent="0.25">
      <c r="A543" s="41" t="s">
        <v>729</v>
      </c>
      <c r="B543" s="24" t="s">
        <v>279</v>
      </c>
      <c r="C543" s="24" t="s">
        <v>133</v>
      </c>
      <c r="D543" s="24" t="s">
        <v>727</v>
      </c>
      <c r="E543" s="285"/>
      <c r="F543" s="305">
        <f>F544</f>
        <v>464.3</v>
      </c>
    </row>
    <row r="544" spans="1:6" ht="47.25" x14ac:dyDescent="0.25">
      <c r="A544" s="41" t="s">
        <v>951</v>
      </c>
      <c r="B544" s="24" t="s">
        <v>279</v>
      </c>
      <c r="C544" s="24" t="s">
        <v>133</v>
      </c>
      <c r="D544" s="24" t="s">
        <v>949</v>
      </c>
      <c r="E544" s="285"/>
      <c r="F544" s="305">
        <f t="shared" ref="F544:F545" si="76">F545</f>
        <v>464.3</v>
      </c>
    </row>
    <row r="545" spans="1:8" ht="47.25" x14ac:dyDescent="0.25">
      <c r="A545" s="101" t="s">
        <v>802</v>
      </c>
      <c r="B545" s="20" t="s">
        <v>279</v>
      </c>
      <c r="C545" s="20" t="s">
        <v>133</v>
      </c>
      <c r="D545" s="20" t="s">
        <v>1032</v>
      </c>
      <c r="E545" s="32"/>
      <c r="F545" s="411">
        <f t="shared" si="76"/>
        <v>464.3</v>
      </c>
    </row>
    <row r="546" spans="1:8" ht="31.5" x14ac:dyDescent="0.25">
      <c r="A546" s="29" t="s">
        <v>287</v>
      </c>
      <c r="B546" s="20" t="s">
        <v>279</v>
      </c>
      <c r="C546" s="20" t="s">
        <v>133</v>
      </c>
      <c r="D546" s="20" t="s">
        <v>1032</v>
      </c>
      <c r="E546" s="32" t="s">
        <v>288</v>
      </c>
      <c r="F546" s="411">
        <f>F547</f>
        <v>464.3</v>
      </c>
    </row>
    <row r="547" spans="1:8" ht="24.75" customHeight="1" x14ac:dyDescent="0.25">
      <c r="A547" s="195" t="s">
        <v>289</v>
      </c>
      <c r="B547" s="20" t="s">
        <v>279</v>
      </c>
      <c r="C547" s="20" t="s">
        <v>133</v>
      </c>
      <c r="D547" s="20" t="s">
        <v>1032</v>
      </c>
      <c r="E547" s="32" t="s">
        <v>290</v>
      </c>
      <c r="F547" s="411">
        <f>'Пр.6 ведом.20'!G608</f>
        <v>464.3</v>
      </c>
    </row>
    <row r="548" spans="1:8" ht="15.75" x14ac:dyDescent="0.25">
      <c r="A548" s="41" t="s">
        <v>440</v>
      </c>
      <c r="B548" s="7" t="s">
        <v>279</v>
      </c>
      <c r="C548" s="7" t="s">
        <v>228</v>
      </c>
      <c r="D548" s="7"/>
      <c r="E548" s="7"/>
      <c r="F548" s="305">
        <f>F549+F616+F625</f>
        <v>191920.87999999995</v>
      </c>
      <c r="H548" s="22"/>
    </row>
    <row r="549" spans="1:8" ht="47.25" x14ac:dyDescent="0.25">
      <c r="A549" s="23" t="s">
        <v>441</v>
      </c>
      <c r="B549" s="24" t="s">
        <v>279</v>
      </c>
      <c r="C549" s="24" t="s">
        <v>228</v>
      </c>
      <c r="D549" s="24" t="s">
        <v>421</v>
      </c>
      <c r="E549" s="24"/>
      <c r="F549" s="305">
        <f>F550+F577</f>
        <v>191197.57999999996</v>
      </c>
    </row>
    <row r="550" spans="1:8" ht="36" customHeight="1" x14ac:dyDescent="0.25">
      <c r="A550" s="23" t="s">
        <v>422</v>
      </c>
      <c r="B550" s="24" t="s">
        <v>279</v>
      </c>
      <c r="C550" s="24" t="s">
        <v>228</v>
      </c>
      <c r="D550" s="24" t="s">
        <v>423</v>
      </c>
      <c r="E550" s="24"/>
      <c r="F550" s="305">
        <f>F551+F561</f>
        <v>181239.77999999997</v>
      </c>
    </row>
    <row r="551" spans="1:8" ht="31.5" x14ac:dyDescent="0.25">
      <c r="A551" s="23" t="s">
        <v>1033</v>
      </c>
      <c r="B551" s="24" t="s">
        <v>279</v>
      </c>
      <c r="C551" s="24" t="s">
        <v>228</v>
      </c>
      <c r="D551" s="24" t="s">
        <v>1011</v>
      </c>
      <c r="E551" s="24"/>
      <c r="F551" s="305">
        <f>F552+F555+F558</f>
        <v>28803</v>
      </c>
    </row>
    <row r="552" spans="1:8" ht="47.25" x14ac:dyDescent="0.25">
      <c r="A552" s="25" t="s">
        <v>1073</v>
      </c>
      <c r="B552" s="20" t="s">
        <v>279</v>
      </c>
      <c r="C552" s="20" t="s">
        <v>228</v>
      </c>
      <c r="D552" s="20" t="s">
        <v>1070</v>
      </c>
      <c r="E552" s="20"/>
      <c r="F552" s="412">
        <f t="shared" ref="F552" si="77">F553</f>
        <v>9775.4000000000015</v>
      </c>
    </row>
    <row r="553" spans="1:8" ht="39.75" customHeight="1" x14ac:dyDescent="0.25">
      <c r="A553" s="25" t="s">
        <v>287</v>
      </c>
      <c r="B553" s="20" t="s">
        <v>279</v>
      </c>
      <c r="C553" s="20" t="s">
        <v>228</v>
      </c>
      <c r="D553" s="20" t="s">
        <v>1070</v>
      </c>
      <c r="E553" s="20" t="s">
        <v>288</v>
      </c>
      <c r="F553" s="412">
        <f>'Пр.6 ведом.20'!G615</f>
        <v>9775.4000000000015</v>
      </c>
    </row>
    <row r="554" spans="1:8" ht="15.75" x14ac:dyDescent="0.25">
      <c r="A554" s="25" t="s">
        <v>289</v>
      </c>
      <c r="B554" s="20" t="s">
        <v>279</v>
      </c>
      <c r="C554" s="20" t="s">
        <v>228</v>
      </c>
      <c r="D554" s="20" t="s">
        <v>1070</v>
      </c>
      <c r="E554" s="20" t="s">
        <v>290</v>
      </c>
      <c r="F554" s="411">
        <f>'Пр.6 ведом.20'!G615</f>
        <v>9775.4000000000015</v>
      </c>
    </row>
    <row r="555" spans="1:8" ht="47.25" customHeight="1" x14ac:dyDescent="0.25">
      <c r="A555" s="25" t="s">
        <v>1074</v>
      </c>
      <c r="B555" s="20" t="s">
        <v>279</v>
      </c>
      <c r="C555" s="20" t="s">
        <v>228</v>
      </c>
      <c r="D555" s="20" t="s">
        <v>1071</v>
      </c>
      <c r="E555" s="20"/>
      <c r="F555" s="411">
        <f t="shared" ref="F555:F556" si="78">F556</f>
        <v>12351.7</v>
      </c>
    </row>
    <row r="556" spans="1:8" ht="35.25" customHeight="1" x14ac:dyDescent="0.25">
      <c r="A556" s="25" t="s">
        <v>287</v>
      </c>
      <c r="B556" s="20" t="s">
        <v>279</v>
      </c>
      <c r="C556" s="20" t="s">
        <v>228</v>
      </c>
      <c r="D556" s="20" t="s">
        <v>1071</v>
      </c>
      <c r="E556" s="20" t="s">
        <v>288</v>
      </c>
      <c r="F556" s="411">
        <f t="shared" si="78"/>
        <v>12351.7</v>
      </c>
    </row>
    <row r="557" spans="1:8" ht="15.75" customHeight="1" x14ac:dyDescent="0.25">
      <c r="A557" s="25" t="s">
        <v>289</v>
      </c>
      <c r="B557" s="20" t="s">
        <v>279</v>
      </c>
      <c r="C557" s="20" t="s">
        <v>228</v>
      </c>
      <c r="D557" s="20" t="s">
        <v>1071</v>
      </c>
      <c r="E557" s="20" t="s">
        <v>290</v>
      </c>
      <c r="F557" s="411">
        <f>'Пр.6 ведом.20'!G618</f>
        <v>12351.7</v>
      </c>
    </row>
    <row r="558" spans="1:8" ht="52.5" customHeight="1" x14ac:dyDescent="0.25">
      <c r="A558" s="25" t="s">
        <v>1075</v>
      </c>
      <c r="B558" s="20" t="s">
        <v>279</v>
      </c>
      <c r="C558" s="20" t="s">
        <v>228</v>
      </c>
      <c r="D558" s="20" t="s">
        <v>1072</v>
      </c>
      <c r="E558" s="20"/>
      <c r="F558" s="411">
        <f>F559</f>
        <v>6675.9</v>
      </c>
    </row>
    <row r="559" spans="1:8" ht="34.5" customHeight="1" x14ac:dyDescent="0.25">
      <c r="A559" s="25" t="s">
        <v>287</v>
      </c>
      <c r="B559" s="20" t="s">
        <v>279</v>
      </c>
      <c r="C559" s="20" t="s">
        <v>228</v>
      </c>
      <c r="D559" s="20" t="s">
        <v>1072</v>
      </c>
      <c r="E559" s="20" t="s">
        <v>288</v>
      </c>
      <c r="F559" s="411">
        <f t="shared" ref="F559" si="79">F560</f>
        <v>6675.9</v>
      </c>
    </row>
    <row r="560" spans="1:8" ht="15" customHeight="1" x14ac:dyDescent="0.25">
      <c r="A560" s="25" t="s">
        <v>289</v>
      </c>
      <c r="B560" s="20" t="s">
        <v>279</v>
      </c>
      <c r="C560" s="20" t="s">
        <v>228</v>
      </c>
      <c r="D560" s="20" t="s">
        <v>1072</v>
      </c>
      <c r="E560" s="20" t="s">
        <v>290</v>
      </c>
      <c r="F560" s="411">
        <f>'Пр.6 ведом.20'!G621</f>
        <v>6675.9</v>
      </c>
    </row>
    <row r="561" spans="1:8" ht="47.25" customHeight="1" x14ac:dyDescent="0.25">
      <c r="A561" s="23" t="s">
        <v>973</v>
      </c>
      <c r="B561" s="24" t="s">
        <v>279</v>
      </c>
      <c r="C561" s="24" t="s">
        <v>228</v>
      </c>
      <c r="D561" s="24" t="s">
        <v>1026</v>
      </c>
      <c r="E561" s="24"/>
      <c r="F561" s="305">
        <f>F562+F565+F568+F571+F574</f>
        <v>152436.77999999997</v>
      </c>
    </row>
    <row r="562" spans="1:8" ht="31.5" customHeight="1" x14ac:dyDescent="0.25">
      <c r="A562" s="31" t="s">
        <v>475</v>
      </c>
      <c r="B562" s="20" t="s">
        <v>279</v>
      </c>
      <c r="C562" s="20" t="s">
        <v>228</v>
      </c>
      <c r="D562" s="20" t="s">
        <v>1054</v>
      </c>
      <c r="E562" s="20"/>
      <c r="F562" s="411">
        <f>F563</f>
        <v>143160</v>
      </c>
    </row>
    <row r="563" spans="1:8" ht="35.25" customHeight="1" x14ac:dyDescent="0.25">
      <c r="A563" s="25" t="s">
        <v>287</v>
      </c>
      <c r="B563" s="20" t="s">
        <v>279</v>
      </c>
      <c r="C563" s="20" t="s">
        <v>228</v>
      </c>
      <c r="D563" s="20" t="s">
        <v>1054</v>
      </c>
      <c r="E563" s="20" t="s">
        <v>288</v>
      </c>
      <c r="F563" s="411">
        <f t="shared" ref="F563" si="80">F564</f>
        <v>143160</v>
      </c>
    </row>
    <row r="564" spans="1:8" ht="15.75" customHeight="1" x14ac:dyDescent="0.25">
      <c r="A564" s="25" t="s">
        <v>289</v>
      </c>
      <c r="B564" s="20" t="s">
        <v>279</v>
      </c>
      <c r="C564" s="20" t="s">
        <v>228</v>
      </c>
      <c r="D564" s="20" t="s">
        <v>1054</v>
      </c>
      <c r="E564" s="20" t="s">
        <v>290</v>
      </c>
      <c r="F564" s="411">
        <f>'Пр.6 ведом.20'!G625</f>
        <v>143160</v>
      </c>
    </row>
    <row r="565" spans="1:8" ht="15.75" customHeight="1" x14ac:dyDescent="0.25">
      <c r="A565" s="31" t="s">
        <v>304</v>
      </c>
      <c r="B565" s="20" t="s">
        <v>279</v>
      </c>
      <c r="C565" s="20" t="s">
        <v>228</v>
      </c>
      <c r="D565" s="20" t="s">
        <v>1025</v>
      </c>
      <c r="E565" s="20"/>
      <c r="F565" s="411">
        <f>F566</f>
        <v>1245.6099999999999</v>
      </c>
    </row>
    <row r="566" spans="1:8" ht="31.5" customHeight="1" x14ac:dyDescent="0.25">
      <c r="A566" s="25" t="s">
        <v>287</v>
      </c>
      <c r="B566" s="20" t="s">
        <v>279</v>
      </c>
      <c r="C566" s="20" t="s">
        <v>228</v>
      </c>
      <c r="D566" s="20" t="s">
        <v>1025</v>
      </c>
      <c r="E566" s="20" t="s">
        <v>288</v>
      </c>
      <c r="F566" s="411">
        <f t="shared" ref="F566" si="81">F567</f>
        <v>1245.6099999999999</v>
      </c>
    </row>
    <row r="567" spans="1:8" ht="18" customHeight="1" x14ac:dyDescent="0.25">
      <c r="A567" s="25" t="s">
        <v>289</v>
      </c>
      <c r="B567" s="20" t="s">
        <v>279</v>
      </c>
      <c r="C567" s="20" t="s">
        <v>228</v>
      </c>
      <c r="D567" s="20" t="s">
        <v>1025</v>
      </c>
      <c r="E567" s="20" t="s">
        <v>290</v>
      </c>
      <c r="F567" s="411">
        <f>'Пр.6 ведом.20'!G628</f>
        <v>1245.6099999999999</v>
      </c>
    </row>
    <row r="568" spans="1:8" ht="67.5" customHeight="1" x14ac:dyDescent="0.25">
      <c r="A568" s="31" t="s">
        <v>306</v>
      </c>
      <c r="B568" s="20" t="s">
        <v>279</v>
      </c>
      <c r="C568" s="20" t="s">
        <v>228</v>
      </c>
      <c r="D568" s="20" t="s">
        <v>1028</v>
      </c>
      <c r="E568" s="20"/>
      <c r="F568" s="411">
        <f>F569</f>
        <v>2266.7199999999998</v>
      </c>
    </row>
    <row r="569" spans="1:8" ht="34.5" customHeight="1" x14ac:dyDescent="0.25">
      <c r="A569" s="25" t="s">
        <v>287</v>
      </c>
      <c r="B569" s="20" t="s">
        <v>279</v>
      </c>
      <c r="C569" s="20" t="s">
        <v>228</v>
      </c>
      <c r="D569" s="20" t="s">
        <v>1028</v>
      </c>
      <c r="E569" s="20" t="s">
        <v>288</v>
      </c>
      <c r="F569" s="411">
        <f t="shared" ref="F569" si="82">F570</f>
        <v>2266.7199999999998</v>
      </c>
      <c r="G569" s="22"/>
      <c r="H569" s="22"/>
    </row>
    <row r="570" spans="1:8" ht="15.75" x14ac:dyDescent="0.25">
      <c r="A570" s="25" t="s">
        <v>289</v>
      </c>
      <c r="B570" s="20" t="s">
        <v>279</v>
      </c>
      <c r="C570" s="20" t="s">
        <v>228</v>
      </c>
      <c r="D570" s="20" t="s">
        <v>1028</v>
      </c>
      <c r="E570" s="20" t="s">
        <v>290</v>
      </c>
      <c r="F570" s="411">
        <f>'Пр.6 ведом.20'!G631</f>
        <v>2266.7199999999998</v>
      </c>
    </row>
    <row r="571" spans="1:8" ht="47.25" x14ac:dyDescent="0.25">
      <c r="A571" s="31" t="s">
        <v>477</v>
      </c>
      <c r="B571" s="20" t="s">
        <v>279</v>
      </c>
      <c r="C571" s="20" t="s">
        <v>228</v>
      </c>
      <c r="D571" s="20" t="s">
        <v>1055</v>
      </c>
      <c r="E571" s="20"/>
      <c r="F571" s="411">
        <f>F572</f>
        <v>923.4</v>
      </c>
    </row>
    <row r="572" spans="1:8" ht="36" customHeight="1" x14ac:dyDescent="0.25">
      <c r="A572" s="25" t="s">
        <v>287</v>
      </c>
      <c r="B572" s="20" t="s">
        <v>279</v>
      </c>
      <c r="C572" s="20" t="s">
        <v>228</v>
      </c>
      <c r="D572" s="20" t="s">
        <v>1055</v>
      </c>
      <c r="E572" s="20" t="s">
        <v>288</v>
      </c>
      <c r="F572" s="411">
        <f t="shared" ref="F572" si="83">F573</f>
        <v>923.4</v>
      </c>
    </row>
    <row r="573" spans="1:8" ht="15.75" x14ac:dyDescent="0.25">
      <c r="A573" s="25" t="s">
        <v>289</v>
      </c>
      <c r="B573" s="20" t="s">
        <v>279</v>
      </c>
      <c r="C573" s="20" t="s">
        <v>228</v>
      </c>
      <c r="D573" s="20" t="s">
        <v>1055</v>
      </c>
      <c r="E573" s="20" t="s">
        <v>290</v>
      </c>
      <c r="F573" s="411">
        <f>'Пр.6 ведом.20'!G634</f>
        <v>923.4</v>
      </c>
    </row>
    <row r="574" spans="1:8" ht="94.5" x14ac:dyDescent="0.25">
      <c r="A574" s="31" t="s">
        <v>479</v>
      </c>
      <c r="B574" s="20" t="s">
        <v>279</v>
      </c>
      <c r="C574" s="20" t="s">
        <v>228</v>
      </c>
      <c r="D574" s="20" t="s">
        <v>1029</v>
      </c>
      <c r="E574" s="20"/>
      <c r="F574" s="411">
        <f>F575</f>
        <v>4841.0499999999993</v>
      </c>
    </row>
    <row r="575" spans="1:8" ht="37.5" customHeight="1" x14ac:dyDescent="0.25">
      <c r="A575" s="25" t="s">
        <v>287</v>
      </c>
      <c r="B575" s="20" t="s">
        <v>279</v>
      </c>
      <c r="C575" s="20" t="s">
        <v>228</v>
      </c>
      <c r="D575" s="20" t="s">
        <v>1029</v>
      </c>
      <c r="E575" s="20" t="s">
        <v>288</v>
      </c>
      <c r="F575" s="411">
        <f>F576</f>
        <v>4841.0499999999993</v>
      </c>
    </row>
    <row r="576" spans="1:8" ht="15.75" x14ac:dyDescent="0.25">
      <c r="A576" s="25" t="s">
        <v>289</v>
      </c>
      <c r="B576" s="20" t="s">
        <v>279</v>
      </c>
      <c r="C576" s="20" t="s">
        <v>228</v>
      </c>
      <c r="D576" s="20" t="s">
        <v>1029</v>
      </c>
      <c r="E576" s="20" t="s">
        <v>290</v>
      </c>
      <c r="F576" s="411">
        <f>'Пр.6 ведом.20'!G637</f>
        <v>4841.0499999999993</v>
      </c>
    </row>
    <row r="577" spans="1:6" ht="31.5" x14ac:dyDescent="0.25">
      <c r="A577" s="353" t="s">
        <v>445</v>
      </c>
      <c r="B577" s="24" t="s">
        <v>279</v>
      </c>
      <c r="C577" s="24" t="s">
        <v>228</v>
      </c>
      <c r="D577" s="24" t="s">
        <v>446</v>
      </c>
      <c r="E577" s="24"/>
      <c r="F577" s="305">
        <f>F578+F591+F598+F605+F612+F621</f>
        <v>9957.8000000000011</v>
      </c>
    </row>
    <row r="578" spans="1:6" ht="31.5" x14ac:dyDescent="0.25">
      <c r="A578" s="23" t="s">
        <v>1279</v>
      </c>
      <c r="B578" s="24" t="s">
        <v>279</v>
      </c>
      <c r="C578" s="24" t="s">
        <v>228</v>
      </c>
      <c r="D578" s="24" t="s">
        <v>1035</v>
      </c>
      <c r="E578" s="24"/>
      <c r="F578" s="305">
        <f>F579+F582+F585+F588</f>
        <v>224</v>
      </c>
    </row>
    <row r="579" spans="1:6" ht="36" hidden="1" customHeight="1" x14ac:dyDescent="0.25">
      <c r="A579" s="25" t="s">
        <v>455</v>
      </c>
      <c r="B579" s="20" t="s">
        <v>279</v>
      </c>
      <c r="C579" s="20" t="s">
        <v>228</v>
      </c>
      <c r="D579" s="20" t="s">
        <v>1039</v>
      </c>
      <c r="E579" s="20"/>
      <c r="F579" s="411">
        <f t="shared" ref="F579" si="84">F580</f>
        <v>0</v>
      </c>
    </row>
    <row r="580" spans="1:6" ht="35.25" hidden="1" customHeight="1" x14ac:dyDescent="0.25">
      <c r="A580" s="25" t="s">
        <v>287</v>
      </c>
      <c r="B580" s="20" t="s">
        <v>279</v>
      </c>
      <c r="C580" s="20" t="s">
        <v>228</v>
      </c>
      <c r="D580" s="20" t="s">
        <v>1039</v>
      </c>
      <c r="E580" s="20" t="s">
        <v>288</v>
      </c>
      <c r="F580" s="411">
        <f>F581</f>
        <v>0</v>
      </c>
    </row>
    <row r="581" spans="1:6" ht="15.75" hidden="1" x14ac:dyDescent="0.25">
      <c r="A581" s="25" t="s">
        <v>289</v>
      </c>
      <c r="B581" s="20" t="s">
        <v>279</v>
      </c>
      <c r="C581" s="20" t="s">
        <v>228</v>
      </c>
      <c r="D581" s="20" t="s">
        <v>1039</v>
      </c>
      <c r="E581" s="20" t="s">
        <v>290</v>
      </c>
      <c r="F581" s="411">
        <f>'Пр.6 ведом.20'!G642</f>
        <v>0</v>
      </c>
    </row>
    <row r="582" spans="1:6" ht="31.5" hidden="1" x14ac:dyDescent="0.25">
      <c r="A582" s="25" t="s">
        <v>293</v>
      </c>
      <c r="B582" s="20" t="s">
        <v>279</v>
      </c>
      <c r="C582" s="20" t="s">
        <v>228</v>
      </c>
      <c r="D582" s="20" t="s">
        <v>1040</v>
      </c>
      <c r="E582" s="20"/>
      <c r="F582" s="411">
        <f t="shared" ref="F582" si="85">F583</f>
        <v>0</v>
      </c>
    </row>
    <row r="583" spans="1:6" ht="37.5" hidden="1" customHeight="1" x14ac:dyDescent="0.25">
      <c r="A583" s="25" t="s">
        <v>287</v>
      </c>
      <c r="B583" s="20" t="s">
        <v>279</v>
      </c>
      <c r="C583" s="20" t="s">
        <v>228</v>
      </c>
      <c r="D583" s="20" t="s">
        <v>1040</v>
      </c>
      <c r="E583" s="20" t="s">
        <v>288</v>
      </c>
      <c r="F583" s="411">
        <f>F584</f>
        <v>0</v>
      </c>
    </row>
    <row r="584" spans="1:6" ht="15.75" hidden="1" x14ac:dyDescent="0.25">
      <c r="A584" s="25" t="s">
        <v>289</v>
      </c>
      <c r="B584" s="20" t="s">
        <v>279</v>
      </c>
      <c r="C584" s="20" t="s">
        <v>228</v>
      </c>
      <c r="D584" s="20" t="s">
        <v>1040</v>
      </c>
      <c r="E584" s="20" t="s">
        <v>290</v>
      </c>
      <c r="F584" s="411">
        <f>'Пр.6 ведом.20'!G645</f>
        <v>0</v>
      </c>
    </row>
    <row r="585" spans="1:6" ht="31.5" hidden="1" x14ac:dyDescent="0.25">
      <c r="A585" s="25" t="s">
        <v>295</v>
      </c>
      <c r="B585" s="20" t="s">
        <v>279</v>
      </c>
      <c r="C585" s="20" t="s">
        <v>228</v>
      </c>
      <c r="D585" s="20" t="s">
        <v>1041</v>
      </c>
      <c r="E585" s="20"/>
      <c r="F585" s="411">
        <f t="shared" ref="F585" si="86">F586</f>
        <v>0</v>
      </c>
    </row>
    <row r="586" spans="1:6" ht="31.5" hidden="1" customHeight="1" x14ac:dyDescent="0.25">
      <c r="A586" s="25" t="s">
        <v>287</v>
      </c>
      <c r="B586" s="20" t="s">
        <v>279</v>
      </c>
      <c r="C586" s="20" t="s">
        <v>228</v>
      </c>
      <c r="D586" s="20" t="s">
        <v>1041</v>
      </c>
      <c r="E586" s="20" t="s">
        <v>288</v>
      </c>
      <c r="F586" s="411">
        <f>F587</f>
        <v>0</v>
      </c>
    </row>
    <row r="587" spans="1:6" ht="15.75" hidden="1" x14ac:dyDescent="0.25">
      <c r="A587" s="25" t="s">
        <v>289</v>
      </c>
      <c r="B587" s="20" t="s">
        <v>279</v>
      </c>
      <c r="C587" s="20" t="s">
        <v>228</v>
      </c>
      <c r="D587" s="20" t="s">
        <v>1041</v>
      </c>
      <c r="E587" s="20" t="s">
        <v>290</v>
      </c>
      <c r="F587" s="411">
        <f>'Пр.6 ведом.20'!G648</f>
        <v>0</v>
      </c>
    </row>
    <row r="588" spans="1:6" ht="31.5" x14ac:dyDescent="0.25">
      <c r="A588" s="25" t="s">
        <v>297</v>
      </c>
      <c r="B588" s="20" t="s">
        <v>279</v>
      </c>
      <c r="C588" s="20" t="s">
        <v>228</v>
      </c>
      <c r="D588" s="20" t="s">
        <v>1042</v>
      </c>
      <c r="E588" s="20"/>
      <c r="F588" s="411">
        <f t="shared" ref="F588" si="87">F589</f>
        <v>224</v>
      </c>
    </row>
    <row r="589" spans="1:6" ht="36" customHeight="1" x14ac:dyDescent="0.25">
      <c r="A589" s="25" t="s">
        <v>287</v>
      </c>
      <c r="B589" s="20" t="s">
        <v>279</v>
      </c>
      <c r="C589" s="20" t="s">
        <v>228</v>
      </c>
      <c r="D589" s="20" t="s">
        <v>1042</v>
      </c>
      <c r="E589" s="20" t="s">
        <v>288</v>
      </c>
      <c r="F589" s="411">
        <f>F590</f>
        <v>224</v>
      </c>
    </row>
    <row r="590" spans="1:6" ht="15" customHeight="1" x14ac:dyDescent="0.25">
      <c r="A590" s="25" t="s">
        <v>289</v>
      </c>
      <c r="B590" s="20" t="s">
        <v>279</v>
      </c>
      <c r="C590" s="20" t="s">
        <v>228</v>
      </c>
      <c r="D590" s="20" t="s">
        <v>1042</v>
      </c>
      <c r="E590" s="20" t="s">
        <v>290</v>
      </c>
      <c r="F590" s="411">
        <f>'Пр.6 ведом.20'!G651</f>
        <v>224</v>
      </c>
    </row>
    <row r="591" spans="1:6" ht="35.25" customHeight="1" x14ac:dyDescent="0.25">
      <c r="A591" s="23" t="s">
        <v>1036</v>
      </c>
      <c r="B591" s="24" t="s">
        <v>279</v>
      </c>
      <c r="C591" s="24" t="s">
        <v>228</v>
      </c>
      <c r="D591" s="24" t="s">
        <v>1037</v>
      </c>
      <c r="E591" s="24"/>
      <c r="F591" s="305">
        <f>F592+F595</f>
        <v>3940</v>
      </c>
    </row>
    <row r="592" spans="1:6" s="229" customFormat="1" ht="46.5" customHeight="1" x14ac:dyDescent="0.25">
      <c r="A592" s="271" t="s">
        <v>451</v>
      </c>
      <c r="B592" s="20" t="s">
        <v>279</v>
      </c>
      <c r="C592" s="20" t="s">
        <v>228</v>
      </c>
      <c r="D592" s="20" t="s">
        <v>1043</v>
      </c>
      <c r="E592" s="20"/>
      <c r="F592" s="411">
        <f>F593</f>
        <v>2200</v>
      </c>
    </row>
    <row r="593" spans="1:8" s="229" customFormat="1" ht="38.25" customHeight="1" x14ac:dyDescent="0.25">
      <c r="A593" s="25" t="s">
        <v>287</v>
      </c>
      <c r="B593" s="20" t="s">
        <v>279</v>
      </c>
      <c r="C593" s="20" t="s">
        <v>228</v>
      </c>
      <c r="D593" s="20" t="s">
        <v>1043</v>
      </c>
      <c r="E593" s="20" t="s">
        <v>288</v>
      </c>
      <c r="F593" s="411">
        <f>F594</f>
        <v>2200</v>
      </c>
    </row>
    <row r="594" spans="1:8" s="229" customFormat="1" ht="14.25" customHeight="1" x14ac:dyDescent="0.25">
      <c r="A594" s="25" t="s">
        <v>289</v>
      </c>
      <c r="B594" s="20" t="s">
        <v>279</v>
      </c>
      <c r="C594" s="20" t="s">
        <v>228</v>
      </c>
      <c r="D594" s="20" t="s">
        <v>1043</v>
      </c>
      <c r="E594" s="20" t="s">
        <v>290</v>
      </c>
      <c r="F594" s="411">
        <f>'Пр.6 ведом.20'!G655</f>
        <v>2200</v>
      </c>
    </row>
    <row r="595" spans="1:8" ht="30.75" customHeight="1" x14ac:dyDescent="0.25">
      <c r="A595" s="25" t="s">
        <v>471</v>
      </c>
      <c r="B595" s="20" t="s">
        <v>279</v>
      </c>
      <c r="C595" s="20" t="s">
        <v>228</v>
      </c>
      <c r="D595" s="20" t="s">
        <v>1044</v>
      </c>
      <c r="E595" s="20"/>
      <c r="F595" s="411">
        <f>F596</f>
        <v>1740</v>
      </c>
    </row>
    <row r="596" spans="1:8" ht="35.25" customHeight="1" x14ac:dyDescent="0.25">
      <c r="A596" s="25" t="s">
        <v>287</v>
      </c>
      <c r="B596" s="20" t="s">
        <v>279</v>
      </c>
      <c r="C596" s="20" t="s">
        <v>228</v>
      </c>
      <c r="D596" s="20" t="s">
        <v>1044</v>
      </c>
      <c r="E596" s="20" t="s">
        <v>288</v>
      </c>
      <c r="F596" s="411">
        <f>F597</f>
        <v>1740</v>
      </c>
    </row>
    <row r="597" spans="1:8" ht="18" customHeight="1" x14ac:dyDescent="0.25">
      <c r="A597" s="25" t="s">
        <v>289</v>
      </c>
      <c r="B597" s="20" t="s">
        <v>279</v>
      </c>
      <c r="C597" s="20" t="s">
        <v>228</v>
      </c>
      <c r="D597" s="20" t="s">
        <v>1044</v>
      </c>
      <c r="E597" s="20" t="s">
        <v>290</v>
      </c>
      <c r="F597" s="411">
        <f>'Пр.6 ведом.20'!G658</f>
        <v>1740</v>
      </c>
    </row>
    <row r="598" spans="1:8" ht="32.25" customHeight="1" x14ac:dyDescent="0.25">
      <c r="A598" s="23" t="s">
        <v>1038</v>
      </c>
      <c r="B598" s="24" t="s">
        <v>279</v>
      </c>
      <c r="C598" s="24" t="s">
        <v>228</v>
      </c>
      <c r="D598" s="24" t="s">
        <v>1045</v>
      </c>
      <c r="E598" s="24"/>
      <c r="F598" s="305">
        <f>F599+F602</f>
        <v>1364.7</v>
      </c>
    </row>
    <row r="599" spans="1:8" ht="48.75" customHeight="1" x14ac:dyDescent="0.25">
      <c r="A599" s="25" t="s">
        <v>453</v>
      </c>
      <c r="B599" s="20" t="s">
        <v>279</v>
      </c>
      <c r="C599" s="20" t="s">
        <v>228</v>
      </c>
      <c r="D599" s="20" t="s">
        <v>1046</v>
      </c>
      <c r="E599" s="20"/>
      <c r="F599" s="411">
        <f>F600</f>
        <v>868</v>
      </c>
    </row>
    <row r="600" spans="1:8" ht="37.5" customHeight="1" x14ac:dyDescent="0.25">
      <c r="A600" s="25" t="s">
        <v>287</v>
      </c>
      <c r="B600" s="20" t="s">
        <v>279</v>
      </c>
      <c r="C600" s="20" t="s">
        <v>228</v>
      </c>
      <c r="D600" s="20" t="s">
        <v>1046</v>
      </c>
      <c r="E600" s="20" t="s">
        <v>288</v>
      </c>
      <c r="F600" s="411">
        <f>F601</f>
        <v>868</v>
      </c>
    </row>
    <row r="601" spans="1:8" ht="15" customHeight="1" x14ac:dyDescent="0.25">
      <c r="A601" s="25" t="s">
        <v>289</v>
      </c>
      <c r="B601" s="20" t="s">
        <v>279</v>
      </c>
      <c r="C601" s="20" t="s">
        <v>228</v>
      </c>
      <c r="D601" s="20" t="s">
        <v>1046</v>
      </c>
      <c r="E601" s="20" t="s">
        <v>290</v>
      </c>
      <c r="F601" s="411">
        <f>'Пр.6 ведом.20'!G662</f>
        <v>868</v>
      </c>
    </row>
    <row r="602" spans="1:8" ht="45" customHeight="1" x14ac:dyDescent="0.25">
      <c r="A602" s="25" t="s">
        <v>473</v>
      </c>
      <c r="B602" s="20" t="s">
        <v>279</v>
      </c>
      <c r="C602" s="20" t="s">
        <v>228</v>
      </c>
      <c r="D602" s="20" t="s">
        <v>1047</v>
      </c>
      <c r="E602" s="20"/>
      <c r="F602" s="411">
        <f>F603</f>
        <v>496.7</v>
      </c>
    </row>
    <row r="603" spans="1:8" ht="36" customHeight="1" x14ac:dyDescent="0.25">
      <c r="A603" s="354" t="s">
        <v>287</v>
      </c>
      <c r="B603" s="20" t="s">
        <v>279</v>
      </c>
      <c r="C603" s="20" t="s">
        <v>228</v>
      </c>
      <c r="D603" s="20" t="s">
        <v>1047</v>
      </c>
      <c r="E603" s="20" t="s">
        <v>288</v>
      </c>
      <c r="F603" s="411">
        <f>F604</f>
        <v>496.7</v>
      </c>
    </row>
    <row r="604" spans="1:8" ht="15.75" x14ac:dyDescent="0.25">
      <c r="A604" s="25" t="s">
        <v>289</v>
      </c>
      <c r="B604" s="20" t="s">
        <v>279</v>
      </c>
      <c r="C604" s="20" t="s">
        <v>228</v>
      </c>
      <c r="D604" s="20" t="s">
        <v>1047</v>
      </c>
      <c r="E604" s="20" t="s">
        <v>290</v>
      </c>
      <c r="F604" s="411">
        <f>'Пр.6 ведом.20'!G665</f>
        <v>496.7</v>
      </c>
    </row>
    <row r="605" spans="1:8" ht="31.5" x14ac:dyDescent="0.25">
      <c r="A605" s="281" t="s">
        <v>1082</v>
      </c>
      <c r="B605" s="24" t="s">
        <v>279</v>
      </c>
      <c r="C605" s="24" t="s">
        <v>228</v>
      </c>
      <c r="D605" s="24" t="s">
        <v>1048</v>
      </c>
      <c r="E605" s="24"/>
      <c r="F605" s="305">
        <f>F606+F609</f>
        <v>2634</v>
      </c>
      <c r="H605" s="22"/>
    </row>
    <row r="606" spans="1:8" ht="33.75" hidden="1" customHeight="1" x14ac:dyDescent="0.25">
      <c r="A606" s="25" t="s">
        <v>299</v>
      </c>
      <c r="B606" s="20" t="s">
        <v>279</v>
      </c>
      <c r="C606" s="20" t="s">
        <v>228</v>
      </c>
      <c r="D606" s="20" t="s">
        <v>1050</v>
      </c>
      <c r="E606" s="20"/>
      <c r="F606" s="411">
        <f t="shared" ref="F606:F607" si="88">F607</f>
        <v>0</v>
      </c>
    </row>
    <row r="607" spans="1:8" ht="33.75" hidden="1" customHeight="1" x14ac:dyDescent="0.25">
      <c r="A607" s="25" t="s">
        <v>287</v>
      </c>
      <c r="B607" s="20" t="s">
        <v>279</v>
      </c>
      <c r="C607" s="20" t="s">
        <v>228</v>
      </c>
      <c r="D607" s="20" t="s">
        <v>1050</v>
      </c>
      <c r="E607" s="20" t="s">
        <v>288</v>
      </c>
      <c r="F607" s="411">
        <f t="shared" si="88"/>
        <v>0</v>
      </c>
    </row>
    <row r="608" spans="1:8" ht="15.75" hidden="1" customHeight="1" x14ac:dyDescent="0.25">
      <c r="A608" s="25" t="s">
        <v>289</v>
      </c>
      <c r="B608" s="20" t="s">
        <v>279</v>
      </c>
      <c r="C608" s="20" t="s">
        <v>228</v>
      </c>
      <c r="D608" s="20" t="s">
        <v>1050</v>
      </c>
      <c r="E608" s="20" t="s">
        <v>290</v>
      </c>
      <c r="F608" s="411">
        <f>'Пр.6 ведом.20'!G669</f>
        <v>0</v>
      </c>
    </row>
    <row r="609" spans="1:6" ht="36" customHeight="1" x14ac:dyDescent="0.25">
      <c r="A609" s="60" t="s">
        <v>786</v>
      </c>
      <c r="B609" s="20" t="s">
        <v>279</v>
      </c>
      <c r="C609" s="20" t="s">
        <v>228</v>
      </c>
      <c r="D609" s="20" t="s">
        <v>1051</v>
      </c>
      <c r="E609" s="20"/>
      <c r="F609" s="411">
        <f t="shared" ref="F609:F610" si="89">F610</f>
        <v>2634</v>
      </c>
    </row>
    <row r="610" spans="1:6" ht="33.75" customHeight="1" x14ac:dyDescent="0.25">
      <c r="A610" s="29" t="s">
        <v>287</v>
      </c>
      <c r="B610" s="20" t="s">
        <v>279</v>
      </c>
      <c r="C610" s="20" t="s">
        <v>228</v>
      </c>
      <c r="D610" s="20" t="s">
        <v>1051</v>
      </c>
      <c r="E610" s="20" t="s">
        <v>288</v>
      </c>
      <c r="F610" s="411">
        <f t="shared" si="89"/>
        <v>2634</v>
      </c>
    </row>
    <row r="611" spans="1:6" ht="15.75" customHeight="1" x14ac:dyDescent="0.25">
      <c r="A611" s="195" t="s">
        <v>289</v>
      </c>
      <c r="B611" s="20" t="s">
        <v>279</v>
      </c>
      <c r="C611" s="20" t="s">
        <v>228</v>
      </c>
      <c r="D611" s="20" t="s">
        <v>1051</v>
      </c>
      <c r="E611" s="20" t="s">
        <v>290</v>
      </c>
      <c r="F611" s="411">
        <f>'Пр.6 ведом.20'!G672</f>
        <v>2634</v>
      </c>
    </row>
    <row r="612" spans="1:6" ht="31.5" customHeight="1" x14ac:dyDescent="0.25">
      <c r="A612" s="279" t="s">
        <v>1053</v>
      </c>
      <c r="B612" s="24" t="s">
        <v>279</v>
      </c>
      <c r="C612" s="24" t="s">
        <v>228</v>
      </c>
      <c r="D612" s="24" t="s">
        <v>1049</v>
      </c>
      <c r="E612" s="24"/>
      <c r="F612" s="305">
        <f t="shared" ref="F612:F613" si="90">F613</f>
        <v>678</v>
      </c>
    </row>
    <row r="613" spans="1:6" ht="51" customHeight="1" x14ac:dyDescent="0.25">
      <c r="A613" s="195" t="s">
        <v>875</v>
      </c>
      <c r="B613" s="20" t="s">
        <v>279</v>
      </c>
      <c r="C613" s="20" t="s">
        <v>228</v>
      </c>
      <c r="D613" s="20" t="s">
        <v>1052</v>
      </c>
      <c r="E613" s="20"/>
      <c r="F613" s="411">
        <f t="shared" si="90"/>
        <v>678</v>
      </c>
    </row>
    <row r="614" spans="1:6" ht="33" customHeight="1" x14ac:dyDescent="0.25">
      <c r="A614" s="31" t="s">
        <v>287</v>
      </c>
      <c r="B614" s="20" t="s">
        <v>279</v>
      </c>
      <c r="C614" s="20" t="s">
        <v>228</v>
      </c>
      <c r="D614" s="20" t="s">
        <v>1052</v>
      </c>
      <c r="E614" s="20" t="s">
        <v>288</v>
      </c>
      <c r="F614" s="411">
        <f>F615</f>
        <v>678</v>
      </c>
    </row>
    <row r="615" spans="1:6" ht="15.75" x14ac:dyDescent="0.25">
      <c r="A615" s="31" t="s">
        <v>289</v>
      </c>
      <c r="B615" s="20" t="s">
        <v>279</v>
      </c>
      <c r="C615" s="20" t="s">
        <v>228</v>
      </c>
      <c r="D615" s="20" t="s">
        <v>1052</v>
      </c>
      <c r="E615" s="20" t="s">
        <v>290</v>
      </c>
      <c r="F615" s="411">
        <f>'Пр.6 ведом.20'!G676</f>
        <v>678</v>
      </c>
    </row>
    <row r="616" spans="1:6" ht="63" hidden="1" customHeight="1" x14ac:dyDescent="0.25">
      <c r="A616" s="34" t="s">
        <v>804</v>
      </c>
      <c r="B616" s="24" t="s">
        <v>279</v>
      </c>
      <c r="C616" s="24" t="s">
        <v>228</v>
      </c>
      <c r="D616" s="24" t="s">
        <v>339</v>
      </c>
      <c r="E616" s="24"/>
      <c r="F616" s="305">
        <f t="shared" ref="F616" si="91">F617</f>
        <v>0</v>
      </c>
    </row>
    <row r="617" spans="1:6" ht="63" hidden="1" x14ac:dyDescent="0.25">
      <c r="A617" s="34" t="s">
        <v>1197</v>
      </c>
      <c r="B617" s="24" t="s">
        <v>279</v>
      </c>
      <c r="C617" s="24" t="s">
        <v>228</v>
      </c>
      <c r="D617" s="24" t="s">
        <v>1030</v>
      </c>
      <c r="E617" s="24"/>
      <c r="F617" s="305">
        <f>F618</f>
        <v>0</v>
      </c>
    </row>
    <row r="618" spans="1:6" ht="47.25" hidden="1" x14ac:dyDescent="0.25">
      <c r="A618" s="31" t="s">
        <v>1167</v>
      </c>
      <c r="B618" s="20" t="s">
        <v>279</v>
      </c>
      <c r="C618" s="20" t="s">
        <v>228</v>
      </c>
      <c r="D618" s="20" t="s">
        <v>1031</v>
      </c>
      <c r="E618" s="20"/>
      <c r="F618" s="411">
        <f t="shared" ref="F618:F619" si="92">F619</f>
        <v>0</v>
      </c>
    </row>
    <row r="619" spans="1:6" ht="31.5" hidden="1" x14ac:dyDescent="0.25">
      <c r="A619" s="31" t="s">
        <v>287</v>
      </c>
      <c r="B619" s="20" t="s">
        <v>279</v>
      </c>
      <c r="C619" s="20" t="s">
        <v>228</v>
      </c>
      <c r="D619" s="20" t="s">
        <v>1031</v>
      </c>
      <c r="E619" s="20" t="s">
        <v>288</v>
      </c>
      <c r="F619" s="411">
        <f t="shared" si="92"/>
        <v>0</v>
      </c>
    </row>
    <row r="620" spans="1:6" ht="15.75" hidden="1" x14ac:dyDescent="0.25">
      <c r="A620" s="31" t="s">
        <v>289</v>
      </c>
      <c r="B620" s="20" t="s">
        <v>279</v>
      </c>
      <c r="C620" s="20" t="s">
        <v>228</v>
      </c>
      <c r="D620" s="20" t="s">
        <v>1031</v>
      </c>
      <c r="E620" s="20" t="s">
        <v>290</v>
      </c>
      <c r="F620" s="411">
        <f>'Пр.6 ведом.20'!G681</f>
        <v>0</v>
      </c>
    </row>
    <row r="621" spans="1:6" s="229" customFormat="1" ht="47.25" x14ac:dyDescent="0.25">
      <c r="A621" s="279" t="s">
        <v>1441</v>
      </c>
      <c r="B621" s="24" t="s">
        <v>279</v>
      </c>
      <c r="C621" s="24" t="s">
        <v>228</v>
      </c>
      <c r="D621" s="24" t="s">
        <v>1438</v>
      </c>
      <c r="E621" s="24"/>
      <c r="F621" s="416">
        <f>F622</f>
        <v>1117.0999999999999</v>
      </c>
    </row>
    <row r="622" spans="1:6" s="229" customFormat="1" ht="47.25" x14ac:dyDescent="0.25">
      <c r="A622" s="195" t="s">
        <v>1440</v>
      </c>
      <c r="B622" s="20" t="s">
        <v>279</v>
      </c>
      <c r="C622" s="20" t="s">
        <v>228</v>
      </c>
      <c r="D622" s="20" t="s">
        <v>1439</v>
      </c>
      <c r="E622" s="20"/>
      <c r="F622" s="415">
        <f>F623</f>
        <v>1117.0999999999999</v>
      </c>
    </row>
    <row r="623" spans="1:6" s="229" customFormat="1" ht="31.5" x14ac:dyDescent="0.25">
      <c r="A623" s="31" t="s">
        <v>287</v>
      </c>
      <c r="B623" s="20" t="s">
        <v>279</v>
      </c>
      <c r="C623" s="20" t="s">
        <v>228</v>
      </c>
      <c r="D623" s="20" t="s">
        <v>1439</v>
      </c>
      <c r="E623" s="20" t="s">
        <v>288</v>
      </c>
      <c r="F623" s="415">
        <f>F624</f>
        <v>1117.0999999999999</v>
      </c>
    </row>
    <row r="624" spans="1:6" s="229" customFormat="1" ht="15.75" x14ac:dyDescent="0.25">
      <c r="A624" s="31" t="s">
        <v>289</v>
      </c>
      <c r="B624" s="20" t="s">
        <v>279</v>
      </c>
      <c r="C624" s="20" t="s">
        <v>228</v>
      </c>
      <c r="D624" s="20" t="s">
        <v>1439</v>
      </c>
      <c r="E624" s="20" t="s">
        <v>290</v>
      </c>
      <c r="F624" s="415">
        <f>'Пр.6 ведом.20'!G685</f>
        <v>1117.0999999999999</v>
      </c>
    </row>
    <row r="625" spans="1:12" ht="63" x14ac:dyDescent="0.25">
      <c r="A625" s="41" t="s">
        <v>1185</v>
      </c>
      <c r="B625" s="24" t="s">
        <v>279</v>
      </c>
      <c r="C625" s="24" t="s">
        <v>228</v>
      </c>
      <c r="D625" s="24" t="s">
        <v>727</v>
      </c>
      <c r="E625" s="285"/>
      <c r="F625" s="305">
        <f t="shared" ref="F625:F626" si="93">F626</f>
        <v>723.3</v>
      </c>
    </row>
    <row r="626" spans="1:12" ht="47.25" x14ac:dyDescent="0.25">
      <c r="A626" s="41" t="s">
        <v>951</v>
      </c>
      <c r="B626" s="24" t="s">
        <v>279</v>
      </c>
      <c r="C626" s="24" t="s">
        <v>228</v>
      </c>
      <c r="D626" s="24" t="s">
        <v>949</v>
      </c>
      <c r="E626" s="285"/>
      <c r="F626" s="305">
        <f t="shared" si="93"/>
        <v>723.3</v>
      </c>
    </row>
    <row r="627" spans="1:12" ht="47.25" x14ac:dyDescent="0.25">
      <c r="A627" s="101" t="s">
        <v>802</v>
      </c>
      <c r="B627" s="20" t="s">
        <v>279</v>
      </c>
      <c r="C627" s="20" t="s">
        <v>228</v>
      </c>
      <c r="D627" s="20" t="s">
        <v>1032</v>
      </c>
      <c r="E627" s="32"/>
      <c r="F627" s="411">
        <f>F628</f>
        <v>723.3</v>
      </c>
    </row>
    <row r="628" spans="1:12" ht="36.75" customHeight="1" x14ac:dyDescent="0.25">
      <c r="A628" s="29" t="s">
        <v>287</v>
      </c>
      <c r="B628" s="20" t="s">
        <v>279</v>
      </c>
      <c r="C628" s="20" t="s">
        <v>228</v>
      </c>
      <c r="D628" s="20" t="s">
        <v>1032</v>
      </c>
      <c r="E628" s="32" t="s">
        <v>288</v>
      </c>
      <c r="F628" s="411">
        <f t="shared" ref="F628" si="94">F629</f>
        <v>723.3</v>
      </c>
    </row>
    <row r="629" spans="1:12" ht="15.75" x14ac:dyDescent="0.25">
      <c r="A629" s="195" t="s">
        <v>289</v>
      </c>
      <c r="B629" s="20" t="s">
        <v>279</v>
      </c>
      <c r="C629" s="20" t="s">
        <v>228</v>
      </c>
      <c r="D629" s="20" t="s">
        <v>1032</v>
      </c>
      <c r="E629" s="32" t="s">
        <v>290</v>
      </c>
      <c r="F629" s="411">
        <f>'Пр.6 ведом.20'!G690</f>
        <v>723.3</v>
      </c>
    </row>
    <row r="630" spans="1:12" ht="15.75" x14ac:dyDescent="0.25">
      <c r="A630" s="41" t="s">
        <v>280</v>
      </c>
      <c r="B630" s="7" t="s">
        <v>279</v>
      </c>
      <c r="C630" s="7" t="s">
        <v>230</v>
      </c>
      <c r="D630" s="24"/>
      <c r="E630" s="7"/>
      <c r="F630" s="305">
        <f>F631+F656+F690</f>
        <v>52091.47</v>
      </c>
    </row>
    <row r="631" spans="1:12" ht="47.25" x14ac:dyDescent="0.25">
      <c r="A631" s="23" t="s">
        <v>441</v>
      </c>
      <c r="B631" s="24" t="s">
        <v>279</v>
      </c>
      <c r="C631" s="24" t="s">
        <v>230</v>
      </c>
      <c r="D631" s="24" t="s">
        <v>421</v>
      </c>
      <c r="E631" s="24"/>
      <c r="F631" s="305">
        <f>F632+F647</f>
        <v>34926.14</v>
      </c>
      <c r="G631" s="22"/>
      <c r="L631" s="22"/>
    </row>
    <row r="632" spans="1:12" ht="33.75" customHeight="1" x14ac:dyDescent="0.25">
      <c r="A632" s="23" t="s">
        <v>422</v>
      </c>
      <c r="B632" s="24" t="s">
        <v>279</v>
      </c>
      <c r="C632" s="24" t="s">
        <v>230</v>
      </c>
      <c r="D632" s="24" t="s">
        <v>423</v>
      </c>
      <c r="E632" s="24"/>
      <c r="F632" s="305">
        <f>F633+F637</f>
        <v>34237.14</v>
      </c>
      <c r="G632" s="22"/>
      <c r="L632" s="22"/>
    </row>
    <row r="633" spans="1:12" ht="31.5" x14ac:dyDescent="0.25">
      <c r="A633" s="23" t="s">
        <v>1033</v>
      </c>
      <c r="B633" s="24" t="s">
        <v>279</v>
      </c>
      <c r="C633" s="24" t="s">
        <v>230</v>
      </c>
      <c r="D633" s="24" t="s">
        <v>1011</v>
      </c>
      <c r="E633" s="24"/>
      <c r="F633" s="305">
        <f t="shared" ref="F633:F634" si="95">F634</f>
        <v>32614.999999999996</v>
      </c>
    </row>
    <row r="634" spans="1:12" ht="47.25" x14ac:dyDescent="0.25">
      <c r="A634" s="25" t="s">
        <v>285</v>
      </c>
      <c r="B634" s="20" t="s">
        <v>279</v>
      </c>
      <c r="C634" s="20" t="s">
        <v>230</v>
      </c>
      <c r="D634" s="20" t="s">
        <v>1056</v>
      </c>
      <c r="E634" s="20"/>
      <c r="F634" s="411">
        <f t="shared" si="95"/>
        <v>32614.999999999996</v>
      </c>
    </row>
    <row r="635" spans="1:12" ht="40.5" customHeight="1" x14ac:dyDescent="0.25">
      <c r="A635" s="25" t="s">
        <v>287</v>
      </c>
      <c r="B635" s="20" t="s">
        <v>279</v>
      </c>
      <c r="C635" s="20" t="s">
        <v>230</v>
      </c>
      <c r="D635" s="20" t="s">
        <v>1056</v>
      </c>
      <c r="E635" s="20" t="s">
        <v>288</v>
      </c>
      <c r="F635" s="411">
        <f>'Пр.6 ведом.20'!G697</f>
        <v>32614.999999999996</v>
      </c>
    </row>
    <row r="636" spans="1:12" ht="15.75" x14ac:dyDescent="0.25">
      <c r="A636" s="25" t="s">
        <v>289</v>
      </c>
      <c r="B636" s="20" t="s">
        <v>279</v>
      </c>
      <c r="C636" s="20" t="s">
        <v>230</v>
      </c>
      <c r="D636" s="20" t="s">
        <v>1056</v>
      </c>
      <c r="E636" s="20" t="s">
        <v>290</v>
      </c>
      <c r="F636" s="411">
        <f>'Пр.6 ведом.20'!G697</f>
        <v>32614.999999999996</v>
      </c>
    </row>
    <row r="637" spans="1:12" ht="47.25" x14ac:dyDescent="0.25">
      <c r="A637" s="23" t="s">
        <v>973</v>
      </c>
      <c r="B637" s="24" t="s">
        <v>279</v>
      </c>
      <c r="C637" s="24" t="s">
        <v>230</v>
      </c>
      <c r="D637" s="24" t="s">
        <v>1026</v>
      </c>
      <c r="E637" s="24"/>
      <c r="F637" s="305">
        <f>F638+F641+F644</f>
        <v>1622.1399999999999</v>
      </c>
    </row>
    <row r="638" spans="1:12" ht="63" x14ac:dyDescent="0.25">
      <c r="A638" s="31" t="s">
        <v>304</v>
      </c>
      <c r="B638" s="20" t="s">
        <v>279</v>
      </c>
      <c r="C638" s="20" t="s">
        <v>230</v>
      </c>
      <c r="D638" s="20" t="s">
        <v>1025</v>
      </c>
      <c r="E638" s="20"/>
      <c r="F638" s="411">
        <f t="shared" ref="F638" si="96">F639</f>
        <v>169.28</v>
      </c>
    </row>
    <row r="639" spans="1:12" ht="31.5" x14ac:dyDescent="0.25">
      <c r="A639" s="25" t="s">
        <v>287</v>
      </c>
      <c r="B639" s="20" t="s">
        <v>279</v>
      </c>
      <c r="C639" s="20" t="s">
        <v>230</v>
      </c>
      <c r="D639" s="20" t="s">
        <v>1025</v>
      </c>
      <c r="E639" s="20" t="s">
        <v>288</v>
      </c>
      <c r="F639" s="411">
        <f>F640</f>
        <v>169.28</v>
      </c>
    </row>
    <row r="640" spans="1:12" ht="15.75" x14ac:dyDescent="0.25">
      <c r="A640" s="25" t="s">
        <v>289</v>
      </c>
      <c r="B640" s="20" t="s">
        <v>279</v>
      </c>
      <c r="C640" s="20" t="s">
        <v>230</v>
      </c>
      <c r="D640" s="20" t="s">
        <v>1025</v>
      </c>
      <c r="E640" s="20" t="s">
        <v>290</v>
      </c>
      <c r="F640" s="411">
        <f>'Пр.6 ведом.20'!G701</f>
        <v>169.28</v>
      </c>
    </row>
    <row r="641" spans="1:6" ht="63" x14ac:dyDescent="0.25">
      <c r="A641" s="31" t="s">
        <v>306</v>
      </c>
      <c r="B641" s="20" t="s">
        <v>279</v>
      </c>
      <c r="C641" s="20" t="s">
        <v>230</v>
      </c>
      <c r="D641" s="20" t="s">
        <v>1028</v>
      </c>
      <c r="E641" s="20"/>
      <c r="F641" s="411">
        <f t="shared" ref="F641" si="97">F642</f>
        <v>549.46</v>
      </c>
    </row>
    <row r="642" spans="1:6" ht="31.5" x14ac:dyDescent="0.25">
      <c r="A642" s="25" t="s">
        <v>287</v>
      </c>
      <c r="B642" s="20" t="s">
        <v>279</v>
      </c>
      <c r="C642" s="20" t="s">
        <v>230</v>
      </c>
      <c r="D642" s="20" t="s">
        <v>1028</v>
      </c>
      <c r="E642" s="20" t="s">
        <v>288</v>
      </c>
      <c r="F642" s="411">
        <f>F643</f>
        <v>549.46</v>
      </c>
    </row>
    <row r="643" spans="1:6" ht="15.75" x14ac:dyDescent="0.25">
      <c r="A643" s="25" t="s">
        <v>289</v>
      </c>
      <c r="B643" s="20" t="s">
        <v>279</v>
      </c>
      <c r="C643" s="20" t="s">
        <v>230</v>
      </c>
      <c r="D643" s="20" t="s">
        <v>1028</v>
      </c>
      <c r="E643" s="20" t="s">
        <v>290</v>
      </c>
      <c r="F643" s="411">
        <f>'Пр.6 ведом.20'!G704</f>
        <v>549.46</v>
      </c>
    </row>
    <row r="644" spans="1:6" ht="94.5" x14ac:dyDescent="0.25">
      <c r="A644" s="31" t="s">
        <v>308</v>
      </c>
      <c r="B644" s="20" t="s">
        <v>279</v>
      </c>
      <c r="C644" s="20" t="s">
        <v>230</v>
      </c>
      <c r="D644" s="20" t="s">
        <v>1029</v>
      </c>
      <c r="E644" s="20"/>
      <c r="F644" s="411">
        <f>F645</f>
        <v>903.4</v>
      </c>
    </row>
    <row r="645" spans="1:6" ht="31.5" x14ac:dyDescent="0.25">
      <c r="A645" s="25" t="s">
        <v>287</v>
      </c>
      <c r="B645" s="20" t="s">
        <v>279</v>
      </c>
      <c r="C645" s="20" t="s">
        <v>230</v>
      </c>
      <c r="D645" s="20" t="s">
        <v>1029</v>
      </c>
      <c r="E645" s="20" t="s">
        <v>288</v>
      </c>
      <c r="F645" s="411">
        <f t="shared" ref="F645" si="98">F646</f>
        <v>903.4</v>
      </c>
    </row>
    <row r="646" spans="1:6" ht="15.75" x14ac:dyDescent="0.25">
      <c r="A646" s="25" t="s">
        <v>289</v>
      </c>
      <c r="B646" s="20" t="s">
        <v>279</v>
      </c>
      <c r="C646" s="20" t="s">
        <v>230</v>
      </c>
      <c r="D646" s="20" t="s">
        <v>1029</v>
      </c>
      <c r="E646" s="20" t="s">
        <v>290</v>
      </c>
      <c r="F646" s="411">
        <f>'Пр.6 ведом.20'!G707</f>
        <v>903.4</v>
      </c>
    </row>
    <row r="647" spans="1:6" ht="30" customHeight="1" x14ac:dyDescent="0.25">
      <c r="A647" s="34" t="s">
        <v>720</v>
      </c>
      <c r="B647" s="24" t="s">
        <v>279</v>
      </c>
      <c r="C647" s="24" t="s">
        <v>230</v>
      </c>
      <c r="D647" s="24" t="s">
        <v>462</v>
      </c>
      <c r="E647" s="24"/>
      <c r="F647" s="305">
        <f>F648+F652</f>
        <v>689</v>
      </c>
    </row>
    <row r="648" spans="1:6" ht="31.5" customHeight="1" x14ac:dyDescent="0.25">
      <c r="A648" s="23" t="s">
        <v>1057</v>
      </c>
      <c r="B648" s="24" t="s">
        <v>279</v>
      </c>
      <c r="C648" s="24" t="s">
        <v>230</v>
      </c>
      <c r="D648" s="24" t="s">
        <v>1244</v>
      </c>
      <c r="E648" s="24"/>
      <c r="F648" s="305">
        <f>F649</f>
        <v>0</v>
      </c>
    </row>
    <row r="649" spans="1:6" ht="35.25" customHeight="1" x14ac:dyDescent="0.25">
      <c r="A649" s="45" t="s">
        <v>788</v>
      </c>
      <c r="B649" s="20" t="s">
        <v>279</v>
      </c>
      <c r="C649" s="20" t="s">
        <v>230</v>
      </c>
      <c r="D649" s="20" t="s">
        <v>1245</v>
      </c>
      <c r="E649" s="20"/>
      <c r="F649" s="411">
        <f>F650</f>
        <v>0</v>
      </c>
    </row>
    <row r="650" spans="1:6" ht="39.75" customHeight="1" x14ac:dyDescent="0.25">
      <c r="A650" s="31" t="s">
        <v>287</v>
      </c>
      <c r="B650" s="20" t="s">
        <v>279</v>
      </c>
      <c r="C650" s="20" t="s">
        <v>230</v>
      </c>
      <c r="D650" s="20" t="s">
        <v>1245</v>
      </c>
      <c r="E650" s="20" t="s">
        <v>288</v>
      </c>
      <c r="F650" s="411">
        <f>F651</f>
        <v>0</v>
      </c>
    </row>
    <row r="651" spans="1:6" ht="19.5" customHeight="1" x14ac:dyDescent="0.25">
      <c r="A651" s="31" t="s">
        <v>289</v>
      </c>
      <c r="B651" s="20" t="s">
        <v>279</v>
      </c>
      <c r="C651" s="20" t="s">
        <v>230</v>
      </c>
      <c r="D651" s="20" t="s">
        <v>1245</v>
      </c>
      <c r="E651" s="20" t="s">
        <v>290</v>
      </c>
      <c r="F651" s="411">
        <f>'Пр.6 ведом.20'!G712</f>
        <v>0</v>
      </c>
    </row>
    <row r="652" spans="1:6" ht="33" customHeight="1" x14ac:dyDescent="0.25">
      <c r="A652" s="281" t="s">
        <v>1082</v>
      </c>
      <c r="B652" s="24" t="s">
        <v>279</v>
      </c>
      <c r="C652" s="24" t="s">
        <v>230</v>
      </c>
      <c r="D652" s="24" t="s">
        <v>1058</v>
      </c>
      <c r="E652" s="24"/>
      <c r="F652" s="305">
        <f>F653</f>
        <v>689</v>
      </c>
    </row>
    <row r="653" spans="1:6" ht="46.5" customHeight="1" x14ac:dyDescent="0.25">
      <c r="A653" s="45" t="s">
        <v>786</v>
      </c>
      <c r="B653" s="20" t="s">
        <v>279</v>
      </c>
      <c r="C653" s="20" t="s">
        <v>230</v>
      </c>
      <c r="D653" s="20" t="s">
        <v>1059</v>
      </c>
      <c r="E653" s="20"/>
      <c r="F653" s="411">
        <f>F654</f>
        <v>689</v>
      </c>
    </row>
    <row r="654" spans="1:6" ht="31.5" x14ac:dyDescent="0.25">
      <c r="A654" s="25" t="s">
        <v>287</v>
      </c>
      <c r="B654" s="20" t="s">
        <v>279</v>
      </c>
      <c r="C654" s="20" t="s">
        <v>230</v>
      </c>
      <c r="D654" s="20" t="s">
        <v>1059</v>
      </c>
      <c r="E654" s="20" t="s">
        <v>288</v>
      </c>
      <c r="F654" s="411">
        <f t="shared" ref="F654" si="99">F655</f>
        <v>689</v>
      </c>
    </row>
    <row r="655" spans="1:6" ht="15.75" x14ac:dyDescent="0.25">
      <c r="A655" s="31" t="s">
        <v>289</v>
      </c>
      <c r="B655" s="20" t="s">
        <v>279</v>
      </c>
      <c r="C655" s="20" t="s">
        <v>230</v>
      </c>
      <c r="D655" s="20" t="s">
        <v>1059</v>
      </c>
      <c r="E655" s="20" t="s">
        <v>290</v>
      </c>
      <c r="F655" s="411">
        <f>'Пр.6 ведом.20'!G716</f>
        <v>689</v>
      </c>
    </row>
    <row r="656" spans="1:6" s="229" customFormat="1" ht="34.5" customHeight="1" x14ac:dyDescent="0.25">
      <c r="A656" s="23" t="s">
        <v>281</v>
      </c>
      <c r="B656" s="24" t="s">
        <v>279</v>
      </c>
      <c r="C656" s="24" t="s">
        <v>230</v>
      </c>
      <c r="D656" s="24" t="s">
        <v>282</v>
      </c>
      <c r="E656" s="24"/>
      <c r="F656" s="305">
        <f>F657</f>
        <v>16643.63</v>
      </c>
    </row>
    <row r="657" spans="1:6" s="229" customFormat="1" ht="50.25" customHeight="1" x14ac:dyDescent="0.25">
      <c r="A657" s="23" t="s">
        <v>283</v>
      </c>
      <c r="B657" s="24" t="s">
        <v>279</v>
      </c>
      <c r="C657" s="24" t="s">
        <v>230</v>
      </c>
      <c r="D657" s="24" t="s">
        <v>284</v>
      </c>
      <c r="E657" s="24"/>
      <c r="F657" s="305">
        <f>F658+F666+F670+F676+F680</f>
        <v>16643.63</v>
      </c>
    </row>
    <row r="658" spans="1:6" s="229" customFormat="1" ht="36" customHeight="1" x14ac:dyDescent="0.25">
      <c r="A658" s="23" t="s">
        <v>943</v>
      </c>
      <c r="B658" s="24" t="s">
        <v>279</v>
      </c>
      <c r="C658" s="24" t="s">
        <v>230</v>
      </c>
      <c r="D658" s="24" t="s">
        <v>944</v>
      </c>
      <c r="E658" s="24"/>
      <c r="F658" s="305">
        <f>F659</f>
        <v>15011</v>
      </c>
    </row>
    <row r="659" spans="1:6" s="229" customFormat="1" ht="15.75" x14ac:dyDescent="0.25">
      <c r="A659" s="25" t="s">
        <v>832</v>
      </c>
      <c r="B659" s="20" t="s">
        <v>279</v>
      </c>
      <c r="C659" s="20" t="s">
        <v>230</v>
      </c>
      <c r="D659" s="20" t="s">
        <v>942</v>
      </c>
      <c r="E659" s="20"/>
      <c r="F659" s="411">
        <f>F660+F662+F664</f>
        <v>15011</v>
      </c>
    </row>
    <row r="660" spans="1:6" s="229" customFormat="1" ht="78.75" x14ac:dyDescent="0.25">
      <c r="A660" s="25" t="s">
        <v>142</v>
      </c>
      <c r="B660" s="20" t="s">
        <v>279</v>
      </c>
      <c r="C660" s="20" t="s">
        <v>230</v>
      </c>
      <c r="D660" s="20" t="s">
        <v>942</v>
      </c>
      <c r="E660" s="20" t="s">
        <v>143</v>
      </c>
      <c r="F660" s="411">
        <f>F661</f>
        <v>13393</v>
      </c>
    </row>
    <row r="661" spans="1:6" s="229" customFormat="1" ht="21" customHeight="1" x14ac:dyDescent="0.25">
      <c r="A661" s="46" t="s">
        <v>357</v>
      </c>
      <c r="B661" s="20" t="s">
        <v>279</v>
      </c>
      <c r="C661" s="20" t="s">
        <v>230</v>
      </c>
      <c r="D661" s="20" t="s">
        <v>942</v>
      </c>
      <c r="E661" s="20" t="s">
        <v>224</v>
      </c>
      <c r="F661" s="411">
        <f>'Пр.6 ведом.20'!G278</f>
        <v>13393</v>
      </c>
    </row>
    <row r="662" spans="1:6" s="229" customFormat="1" ht="31.5" x14ac:dyDescent="0.25">
      <c r="A662" s="25" t="s">
        <v>146</v>
      </c>
      <c r="B662" s="20" t="s">
        <v>279</v>
      </c>
      <c r="C662" s="20" t="s">
        <v>230</v>
      </c>
      <c r="D662" s="20" t="s">
        <v>942</v>
      </c>
      <c r="E662" s="20" t="s">
        <v>147</v>
      </c>
      <c r="F662" s="411">
        <f>F663</f>
        <v>1540</v>
      </c>
    </row>
    <row r="663" spans="1:6" s="229" customFormat="1" ht="31.5" x14ac:dyDescent="0.25">
      <c r="A663" s="25" t="s">
        <v>148</v>
      </c>
      <c r="B663" s="20" t="s">
        <v>279</v>
      </c>
      <c r="C663" s="20" t="s">
        <v>230</v>
      </c>
      <c r="D663" s="20" t="s">
        <v>942</v>
      </c>
      <c r="E663" s="20" t="s">
        <v>149</v>
      </c>
      <c r="F663" s="411">
        <f>'Пр.6 ведом.20'!G280</f>
        <v>1540</v>
      </c>
    </row>
    <row r="664" spans="1:6" s="229" customFormat="1" ht="15.75" x14ac:dyDescent="0.25">
      <c r="A664" s="25" t="s">
        <v>150</v>
      </c>
      <c r="B664" s="20" t="s">
        <v>279</v>
      </c>
      <c r="C664" s="20" t="s">
        <v>230</v>
      </c>
      <c r="D664" s="20" t="s">
        <v>942</v>
      </c>
      <c r="E664" s="20" t="s">
        <v>160</v>
      </c>
      <c r="F664" s="411">
        <f>F665</f>
        <v>78</v>
      </c>
    </row>
    <row r="665" spans="1:6" s="229" customFormat="1" ht="15.75" x14ac:dyDescent="0.25">
      <c r="A665" s="25" t="s">
        <v>726</v>
      </c>
      <c r="B665" s="20" t="s">
        <v>279</v>
      </c>
      <c r="C665" s="20" t="s">
        <v>230</v>
      </c>
      <c r="D665" s="20" t="s">
        <v>942</v>
      </c>
      <c r="E665" s="20" t="s">
        <v>153</v>
      </c>
      <c r="F665" s="411">
        <f>'Пр.6 ведом.20'!G282</f>
        <v>78</v>
      </c>
    </row>
    <row r="666" spans="1:6" s="229" customFormat="1" ht="47.25" x14ac:dyDescent="0.25">
      <c r="A666" s="278" t="s">
        <v>1196</v>
      </c>
      <c r="B666" s="24" t="s">
        <v>279</v>
      </c>
      <c r="C666" s="24" t="s">
        <v>230</v>
      </c>
      <c r="D666" s="24" t="s">
        <v>946</v>
      </c>
      <c r="E666" s="24"/>
      <c r="F666" s="305">
        <f>F667</f>
        <v>45</v>
      </c>
    </row>
    <row r="667" spans="1:6" s="229" customFormat="1" ht="31.5" x14ac:dyDescent="0.25">
      <c r="A667" s="216" t="s">
        <v>831</v>
      </c>
      <c r="B667" s="20" t="s">
        <v>279</v>
      </c>
      <c r="C667" s="20" t="s">
        <v>230</v>
      </c>
      <c r="D667" s="20" t="s">
        <v>945</v>
      </c>
      <c r="E667" s="20"/>
      <c r="F667" s="411">
        <f>F668</f>
        <v>45</v>
      </c>
    </row>
    <row r="668" spans="1:6" s="229" customFormat="1" ht="20.25" customHeight="1" x14ac:dyDescent="0.25">
      <c r="A668" s="25" t="s">
        <v>263</v>
      </c>
      <c r="B668" s="20" t="s">
        <v>279</v>
      </c>
      <c r="C668" s="20" t="s">
        <v>230</v>
      </c>
      <c r="D668" s="20" t="s">
        <v>945</v>
      </c>
      <c r="E668" s="20" t="s">
        <v>264</v>
      </c>
      <c r="F668" s="411">
        <f>F669</f>
        <v>45</v>
      </c>
    </row>
    <row r="669" spans="1:6" s="229" customFormat="1" ht="15.75" x14ac:dyDescent="0.25">
      <c r="A669" s="25" t="s">
        <v>866</v>
      </c>
      <c r="B669" s="20" t="s">
        <v>279</v>
      </c>
      <c r="C669" s="20" t="s">
        <v>230</v>
      </c>
      <c r="D669" s="20" t="s">
        <v>945</v>
      </c>
      <c r="E669" s="20" t="s">
        <v>865</v>
      </c>
      <c r="F669" s="411">
        <f>'Пр.6 ведом.20'!G286</f>
        <v>45</v>
      </c>
    </row>
    <row r="670" spans="1:6" ht="47.25" x14ac:dyDescent="0.25">
      <c r="A670" s="283" t="s">
        <v>1174</v>
      </c>
      <c r="B670" s="24" t="s">
        <v>279</v>
      </c>
      <c r="C670" s="24" t="s">
        <v>230</v>
      </c>
      <c r="D670" s="24" t="s">
        <v>947</v>
      </c>
      <c r="E670" s="24"/>
      <c r="F670" s="305">
        <f>F671</f>
        <v>250.00000000000003</v>
      </c>
    </row>
    <row r="671" spans="1:6" ht="31.5" x14ac:dyDescent="0.25">
      <c r="A671" s="31" t="s">
        <v>861</v>
      </c>
      <c r="B671" s="20" t="s">
        <v>279</v>
      </c>
      <c r="C671" s="20" t="s">
        <v>230</v>
      </c>
      <c r="D671" s="20" t="s">
        <v>948</v>
      </c>
      <c r="E671" s="20"/>
      <c r="F671" s="411">
        <f>F672+F674</f>
        <v>250.00000000000003</v>
      </c>
    </row>
    <row r="672" spans="1:6" ht="78.75" x14ac:dyDescent="0.25">
      <c r="A672" s="25" t="s">
        <v>142</v>
      </c>
      <c r="B672" s="20" t="s">
        <v>279</v>
      </c>
      <c r="C672" s="20" t="s">
        <v>230</v>
      </c>
      <c r="D672" s="20" t="s">
        <v>948</v>
      </c>
      <c r="E672" s="20" t="s">
        <v>143</v>
      </c>
      <c r="F672" s="411">
        <f>F673</f>
        <v>250.00000000000003</v>
      </c>
    </row>
    <row r="673" spans="1:6" s="229" customFormat="1" ht="18.75" customHeight="1" x14ac:dyDescent="0.25">
      <c r="A673" s="46" t="s">
        <v>357</v>
      </c>
      <c r="B673" s="20" t="s">
        <v>279</v>
      </c>
      <c r="C673" s="20" t="s">
        <v>230</v>
      </c>
      <c r="D673" s="20" t="s">
        <v>948</v>
      </c>
      <c r="E673" s="20" t="s">
        <v>224</v>
      </c>
      <c r="F673" s="411">
        <f>'Пр.6 ведом.20'!G290</f>
        <v>250.00000000000003</v>
      </c>
    </row>
    <row r="674" spans="1:6" s="229" customFormat="1" ht="31.5" x14ac:dyDescent="0.25">
      <c r="A674" s="25" t="s">
        <v>146</v>
      </c>
      <c r="B674" s="20" t="s">
        <v>279</v>
      </c>
      <c r="C674" s="20" t="s">
        <v>230</v>
      </c>
      <c r="D674" s="20" t="s">
        <v>948</v>
      </c>
      <c r="E674" s="20" t="s">
        <v>147</v>
      </c>
      <c r="F674" s="411">
        <f>F675</f>
        <v>0</v>
      </c>
    </row>
    <row r="675" spans="1:6" s="229" customFormat="1" ht="31.5" x14ac:dyDescent="0.25">
      <c r="A675" s="25" t="s">
        <v>148</v>
      </c>
      <c r="B675" s="20" t="s">
        <v>279</v>
      </c>
      <c r="C675" s="20" t="s">
        <v>230</v>
      </c>
      <c r="D675" s="20" t="s">
        <v>948</v>
      </c>
      <c r="E675" s="20" t="s">
        <v>149</v>
      </c>
      <c r="F675" s="411">
        <f>'Пр.6 ведом.20'!G292</f>
        <v>0</v>
      </c>
    </row>
    <row r="676" spans="1:6" s="229" customFormat="1" ht="31.5" x14ac:dyDescent="0.25">
      <c r="A676" s="23" t="s">
        <v>1081</v>
      </c>
      <c r="B676" s="24" t="s">
        <v>279</v>
      </c>
      <c r="C676" s="24" t="s">
        <v>230</v>
      </c>
      <c r="D676" s="24" t="s">
        <v>953</v>
      </c>
      <c r="E676" s="24"/>
      <c r="F676" s="305">
        <f>F677</f>
        <v>336</v>
      </c>
    </row>
    <row r="677" spans="1:6" s="229" customFormat="1" ht="47.25" x14ac:dyDescent="0.25">
      <c r="A677" s="25" t="s">
        <v>886</v>
      </c>
      <c r="B677" s="20" t="s">
        <v>279</v>
      </c>
      <c r="C677" s="20" t="s">
        <v>230</v>
      </c>
      <c r="D677" s="20" t="s">
        <v>1274</v>
      </c>
      <c r="E677" s="20"/>
      <c r="F677" s="411">
        <f>F678</f>
        <v>336</v>
      </c>
    </row>
    <row r="678" spans="1:6" s="229" customFormat="1" ht="78.75" x14ac:dyDescent="0.25">
      <c r="A678" s="25" t="s">
        <v>142</v>
      </c>
      <c r="B678" s="20" t="s">
        <v>279</v>
      </c>
      <c r="C678" s="20" t="s">
        <v>230</v>
      </c>
      <c r="D678" s="20" t="s">
        <v>1274</v>
      </c>
      <c r="E678" s="20" t="s">
        <v>143</v>
      </c>
      <c r="F678" s="411">
        <f>F679</f>
        <v>336</v>
      </c>
    </row>
    <row r="679" spans="1:6" s="229" customFormat="1" ht="31.5" x14ac:dyDescent="0.25">
      <c r="A679" s="25" t="s">
        <v>144</v>
      </c>
      <c r="B679" s="20" t="s">
        <v>279</v>
      </c>
      <c r="C679" s="20" t="s">
        <v>230</v>
      </c>
      <c r="D679" s="20" t="s">
        <v>1274</v>
      </c>
      <c r="E679" s="20" t="s">
        <v>224</v>
      </c>
      <c r="F679" s="411">
        <f>'Пр.6 ведом.20'!G296</f>
        <v>336</v>
      </c>
    </row>
    <row r="680" spans="1:6" s="229" customFormat="1" ht="47.25" x14ac:dyDescent="0.25">
      <c r="A680" s="23" t="s">
        <v>973</v>
      </c>
      <c r="B680" s="24" t="s">
        <v>279</v>
      </c>
      <c r="C680" s="24" t="s">
        <v>230</v>
      </c>
      <c r="D680" s="24" t="s">
        <v>1275</v>
      </c>
      <c r="E680" s="24"/>
      <c r="F680" s="305">
        <f>F681+F684+F687</f>
        <v>1001.6300000000001</v>
      </c>
    </row>
    <row r="681" spans="1:6" s="229" customFormat="1" ht="63" x14ac:dyDescent="0.25">
      <c r="A681" s="31" t="s">
        <v>304</v>
      </c>
      <c r="B681" s="20" t="s">
        <v>279</v>
      </c>
      <c r="C681" s="20" t="s">
        <v>230</v>
      </c>
      <c r="D681" s="20" t="s">
        <v>1276</v>
      </c>
      <c r="E681" s="20"/>
      <c r="F681" s="411">
        <f>F682</f>
        <v>100.8</v>
      </c>
    </row>
    <row r="682" spans="1:6" s="229" customFormat="1" ht="78.75" x14ac:dyDescent="0.25">
      <c r="A682" s="25" t="s">
        <v>142</v>
      </c>
      <c r="B682" s="20" t="s">
        <v>279</v>
      </c>
      <c r="C682" s="20" t="s">
        <v>230</v>
      </c>
      <c r="D682" s="20" t="s">
        <v>1276</v>
      </c>
      <c r="E682" s="20" t="s">
        <v>143</v>
      </c>
      <c r="F682" s="411">
        <f>F683</f>
        <v>100.8</v>
      </c>
    </row>
    <row r="683" spans="1:6" s="229" customFormat="1" ht="21" customHeight="1" x14ac:dyDescent="0.25">
      <c r="A683" s="46" t="s">
        <v>357</v>
      </c>
      <c r="B683" s="20" t="s">
        <v>279</v>
      </c>
      <c r="C683" s="20" t="s">
        <v>230</v>
      </c>
      <c r="D683" s="20" t="s">
        <v>1276</v>
      </c>
      <c r="E683" s="20" t="s">
        <v>224</v>
      </c>
      <c r="F683" s="411">
        <f>'Пр.6 ведом.20'!G300</f>
        <v>100.8</v>
      </c>
    </row>
    <row r="684" spans="1:6" s="229" customFormat="1" ht="63" x14ac:dyDescent="0.25">
      <c r="A684" s="31" t="s">
        <v>306</v>
      </c>
      <c r="B684" s="20" t="s">
        <v>279</v>
      </c>
      <c r="C684" s="20" t="s">
        <v>230</v>
      </c>
      <c r="D684" s="20" t="s">
        <v>1277</v>
      </c>
      <c r="E684" s="20"/>
      <c r="F684" s="411">
        <f>F685</f>
        <v>298.35000000000002</v>
      </c>
    </row>
    <row r="685" spans="1:6" s="229" customFormat="1" ht="78.75" x14ac:dyDescent="0.25">
      <c r="A685" s="25" t="s">
        <v>142</v>
      </c>
      <c r="B685" s="20" t="s">
        <v>279</v>
      </c>
      <c r="C685" s="20" t="s">
        <v>230</v>
      </c>
      <c r="D685" s="20" t="s">
        <v>1277</v>
      </c>
      <c r="E685" s="20" t="s">
        <v>143</v>
      </c>
      <c r="F685" s="411">
        <f>F686</f>
        <v>298.35000000000002</v>
      </c>
    </row>
    <row r="686" spans="1:6" s="229" customFormat="1" ht="21" customHeight="1" x14ac:dyDescent="0.25">
      <c r="A686" s="46" t="s">
        <v>357</v>
      </c>
      <c r="B686" s="20" t="s">
        <v>279</v>
      </c>
      <c r="C686" s="20" t="s">
        <v>230</v>
      </c>
      <c r="D686" s="20" t="s">
        <v>1277</v>
      </c>
      <c r="E686" s="20" t="s">
        <v>224</v>
      </c>
      <c r="F686" s="411">
        <f>'Пр.6 ведом.20'!G303</f>
        <v>298.35000000000002</v>
      </c>
    </row>
    <row r="687" spans="1:6" s="229" customFormat="1" ht="94.5" x14ac:dyDescent="0.25">
      <c r="A687" s="31" t="s">
        <v>308</v>
      </c>
      <c r="B687" s="20" t="s">
        <v>279</v>
      </c>
      <c r="C687" s="20" t="s">
        <v>230</v>
      </c>
      <c r="D687" s="20" t="s">
        <v>1278</v>
      </c>
      <c r="E687" s="20"/>
      <c r="F687" s="411">
        <f>F688</f>
        <v>602.48</v>
      </c>
    </row>
    <row r="688" spans="1:6" s="229" customFormat="1" ht="78.75" x14ac:dyDescent="0.25">
      <c r="A688" s="25" t="s">
        <v>142</v>
      </c>
      <c r="B688" s="20" t="s">
        <v>279</v>
      </c>
      <c r="C688" s="20" t="s">
        <v>230</v>
      </c>
      <c r="D688" s="20" t="s">
        <v>1278</v>
      </c>
      <c r="E688" s="20" t="s">
        <v>143</v>
      </c>
      <c r="F688" s="411">
        <f>F689</f>
        <v>602.48</v>
      </c>
    </row>
    <row r="689" spans="1:6" s="229" customFormat="1" ht="20.25" customHeight="1" x14ac:dyDescent="0.25">
      <c r="A689" s="46" t="s">
        <v>357</v>
      </c>
      <c r="B689" s="20" t="s">
        <v>279</v>
      </c>
      <c r="C689" s="20" t="s">
        <v>230</v>
      </c>
      <c r="D689" s="20" t="s">
        <v>1278</v>
      </c>
      <c r="E689" s="20" t="s">
        <v>224</v>
      </c>
      <c r="F689" s="411">
        <f>'Пр.6 ведом.20'!G306</f>
        <v>602.48</v>
      </c>
    </row>
    <row r="690" spans="1:6" s="229" customFormat="1" ht="63" x14ac:dyDescent="0.25">
      <c r="A690" s="41" t="s">
        <v>729</v>
      </c>
      <c r="B690" s="24" t="s">
        <v>279</v>
      </c>
      <c r="C690" s="24" t="s">
        <v>230</v>
      </c>
      <c r="D690" s="24" t="s">
        <v>727</v>
      </c>
      <c r="E690" s="24"/>
      <c r="F690" s="305">
        <f>F691</f>
        <v>521.70000000000005</v>
      </c>
    </row>
    <row r="691" spans="1:6" s="229" customFormat="1" ht="47.25" x14ac:dyDescent="0.25">
      <c r="A691" s="41" t="s">
        <v>951</v>
      </c>
      <c r="B691" s="24" t="s">
        <v>279</v>
      </c>
      <c r="C691" s="24" t="s">
        <v>230</v>
      </c>
      <c r="D691" s="24" t="s">
        <v>949</v>
      </c>
      <c r="E691" s="24"/>
      <c r="F691" s="305">
        <f>F692+F695</f>
        <v>521.70000000000005</v>
      </c>
    </row>
    <row r="692" spans="1:6" s="229" customFormat="1" ht="35.25" customHeight="1" x14ac:dyDescent="0.25">
      <c r="A692" s="101" t="s">
        <v>1163</v>
      </c>
      <c r="B692" s="20" t="s">
        <v>279</v>
      </c>
      <c r="C692" s="20" t="s">
        <v>230</v>
      </c>
      <c r="D692" s="20" t="s">
        <v>950</v>
      </c>
      <c r="E692" s="32"/>
      <c r="F692" s="411">
        <f>F693</f>
        <v>221</v>
      </c>
    </row>
    <row r="693" spans="1:6" s="229" customFormat="1" ht="31.5" x14ac:dyDescent="0.25">
      <c r="A693" s="25" t="s">
        <v>146</v>
      </c>
      <c r="B693" s="20" t="s">
        <v>279</v>
      </c>
      <c r="C693" s="20" t="s">
        <v>230</v>
      </c>
      <c r="D693" s="20" t="s">
        <v>950</v>
      </c>
      <c r="E693" s="32" t="s">
        <v>147</v>
      </c>
      <c r="F693" s="411">
        <f>F694</f>
        <v>221</v>
      </c>
    </row>
    <row r="694" spans="1:6" s="229" customFormat="1" ht="36.75" customHeight="1" x14ac:dyDescent="0.25">
      <c r="A694" s="25" t="s">
        <v>148</v>
      </c>
      <c r="B694" s="20" t="s">
        <v>279</v>
      </c>
      <c r="C694" s="20" t="s">
        <v>230</v>
      </c>
      <c r="D694" s="20" t="s">
        <v>950</v>
      </c>
      <c r="E694" s="32" t="s">
        <v>149</v>
      </c>
      <c r="F694" s="411">
        <f>'Пр.6 ведом.20'!G311</f>
        <v>221</v>
      </c>
    </row>
    <row r="695" spans="1:6" s="229" customFormat="1" ht="47.25" x14ac:dyDescent="0.25">
      <c r="A695" s="101" t="s">
        <v>802</v>
      </c>
      <c r="B695" s="20" t="s">
        <v>279</v>
      </c>
      <c r="C695" s="20" t="s">
        <v>230</v>
      </c>
      <c r="D695" s="20" t="s">
        <v>1032</v>
      </c>
      <c r="E695" s="32"/>
      <c r="F695" s="411">
        <f>F696</f>
        <v>300.7</v>
      </c>
    </row>
    <row r="696" spans="1:6" s="229" customFormat="1" ht="31.5" x14ac:dyDescent="0.25">
      <c r="A696" s="29" t="s">
        <v>287</v>
      </c>
      <c r="B696" s="20" t="s">
        <v>279</v>
      </c>
      <c r="C696" s="20" t="s">
        <v>230</v>
      </c>
      <c r="D696" s="20" t="s">
        <v>1032</v>
      </c>
      <c r="E696" s="32" t="s">
        <v>288</v>
      </c>
      <c r="F696" s="411">
        <f>F697</f>
        <v>300.7</v>
      </c>
    </row>
    <row r="697" spans="1:6" s="229" customFormat="1" ht="15.75" x14ac:dyDescent="0.25">
      <c r="A697" s="195" t="s">
        <v>289</v>
      </c>
      <c r="B697" s="20" t="s">
        <v>279</v>
      </c>
      <c r="C697" s="20" t="s">
        <v>230</v>
      </c>
      <c r="D697" s="20" t="s">
        <v>1032</v>
      </c>
      <c r="E697" s="32" t="s">
        <v>290</v>
      </c>
      <c r="F697" s="411">
        <f>'Пр.6 ведом.20'!G721</f>
        <v>300.7</v>
      </c>
    </row>
    <row r="698" spans="1:6" s="229" customFormat="1" ht="15.75" x14ac:dyDescent="0.25">
      <c r="A698" s="23" t="s">
        <v>481</v>
      </c>
      <c r="B698" s="24" t="s">
        <v>279</v>
      </c>
      <c r="C698" s="24" t="s">
        <v>279</v>
      </c>
      <c r="D698" s="24"/>
      <c r="E698" s="285"/>
      <c r="F698" s="305">
        <f>F699+F718</f>
        <v>6564.9</v>
      </c>
    </row>
    <row r="699" spans="1:6" s="229" customFormat="1" ht="47.25" x14ac:dyDescent="0.25">
      <c r="A699" s="23" t="s">
        <v>358</v>
      </c>
      <c r="B699" s="24" t="s">
        <v>279</v>
      </c>
      <c r="C699" s="24" t="s">
        <v>279</v>
      </c>
      <c r="D699" s="24" t="s">
        <v>359</v>
      </c>
      <c r="E699" s="24"/>
      <c r="F699" s="305">
        <f>F700</f>
        <v>760</v>
      </c>
    </row>
    <row r="700" spans="1:6" s="229" customFormat="1" ht="31.5" x14ac:dyDescent="0.25">
      <c r="A700" s="23" t="s">
        <v>360</v>
      </c>
      <c r="B700" s="24" t="s">
        <v>279</v>
      </c>
      <c r="C700" s="24" t="s">
        <v>279</v>
      </c>
      <c r="D700" s="24" t="s">
        <v>361</v>
      </c>
      <c r="E700" s="24"/>
      <c r="F700" s="305">
        <f>F701+F708+F714</f>
        <v>760</v>
      </c>
    </row>
    <row r="701" spans="1:6" s="229" customFormat="1" ht="47.25" x14ac:dyDescent="0.25">
      <c r="A701" s="273" t="s">
        <v>1207</v>
      </c>
      <c r="B701" s="24" t="s">
        <v>279</v>
      </c>
      <c r="C701" s="24" t="s">
        <v>279</v>
      </c>
      <c r="D701" s="24" t="s">
        <v>954</v>
      </c>
      <c r="E701" s="24"/>
      <c r="F701" s="305">
        <f>F702+F705</f>
        <v>280</v>
      </c>
    </row>
    <row r="702" spans="1:6" s="229" customFormat="1" ht="31.5" x14ac:dyDescent="0.25">
      <c r="A702" s="101" t="s">
        <v>1213</v>
      </c>
      <c r="B702" s="20" t="s">
        <v>279</v>
      </c>
      <c r="C702" s="20" t="s">
        <v>279</v>
      </c>
      <c r="D702" s="20" t="s">
        <v>955</v>
      </c>
      <c r="E702" s="20"/>
      <c r="F702" s="411">
        <f>F703</f>
        <v>280</v>
      </c>
    </row>
    <row r="703" spans="1:6" s="229" customFormat="1" ht="78.75" x14ac:dyDescent="0.25">
      <c r="A703" s="25" t="s">
        <v>142</v>
      </c>
      <c r="B703" s="20" t="s">
        <v>279</v>
      </c>
      <c r="C703" s="20" t="s">
        <v>279</v>
      </c>
      <c r="D703" s="20" t="s">
        <v>955</v>
      </c>
      <c r="E703" s="20" t="s">
        <v>143</v>
      </c>
      <c r="F703" s="411">
        <f>F704</f>
        <v>280</v>
      </c>
    </row>
    <row r="704" spans="1:6" s="229" customFormat="1" ht="17.25" customHeight="1" x14ac:dyDescent="0.25">
      <c r="A704" s="25" t="s">
        <v>357</v>
      </c>
      <c r="B704" s="20" t="s">
        <v>279</v>
      </c>
      <c r="C704" s="20" t="s">
        <v>279</v>
      </c>
      <c r="D704" s="20" t="s">
        <v>955</v>
      </c>
      <c r="E704" s="20" t="s">
        <v>224</v>
      </c>
      <c r="F704" s="411">
        <f>'Пр.6 ведом.20'!G318</f>
        <v>280</v>
      </c>
    </row>
    <row r="705" spans="1:6" s="229" customFormat="1" ht="19.5" hidden="1" customHeight="1" x14ac:dyDescent="0.25">
      <c r="A705" s="25" t="s">
        <v>1208</v>
      </c>
      <c r="B705" s="20" t="s">
        <v>279</v>
      </c>
      <c r="C705" s="20" t="s">
        <v>279</v>
      </c>
      <c r="D705" s="20" t="s">
        <v>1232</v>
      </c>
      <c r="E705" s="20"/>
      <c r="F705" s="411">
        <f>F706</f>
        <v>0</v>
      </c>
    </row>
    <row r="706" spans="1:6" s="229" customFormat="1" ht="31.5" hidden="1" x14ac:dyDescent="0.25">
      <c r="A706" s="25" t="s">
        <v>146</v>
      </c>
      <c r="B706" s="20" t="s">
        <v>279</v>
      </c>
      <c r="C706" s="20" t="s">
        <v>279</v>
      </c>
      <c r="D706" s="20" t="s">
        <v>1232</v>
      </c>
      <c r="E706" s="20" t="s">
        <v>147</v>
      </c>
      <c r="F706" s="411">
        <f>F707</f>
        <v>0</v>
      </c>
    </row>
    <row r="707" spans="1:6" s="229" customFormat="1" ht="31.5" hidden="1" x14ac:dyDescent="0.25">
      <c r="A707" s="25" t="s">
        <v>148</v>
      </c>
      <c r="B707" s="20" t="s">
        <v>279</v>
      </c>
      <c r="C707" s="20" t="s">
        <v>279</v>
      </c>
      <c r="D707" s="20" t="s">
        <v>1232</v>
      </c>
      <c r="E707" s="20" t="s">
        <v>149</v>
      </c>
      <c r="F707" s="411">
        <f>'Пр.6 ведом.20'!G321</f>
        <v>0</v>
      </c>
    </row>
    <row r="708" spans="1:6" s="229" customFormat="1" ht="63" x14ac:dyDescent="0.25">
      <c r="A708" s="23" t="s">
        <v>1209</v>
      </c>
      <c r="B708" s="24" t="s">
        <v>279</v>
      </c>
      <c r="C708" s="24" t="s">
        <v>279</v>
      </c>
      <c r="D708" s="24" t="s">
        <v>956</v>
      </c>
      <c r="E708" s="24"/>
      <c r="F708" s="305">
        <f>F709</f>
        <v>455</v>
      </c>
    </row>
    <row r="709" spans="1:6" s="229" customFormat="1" ht="15.75" x14ac:dyDescent="0.25">
      <c r="A709" s="25" t="s">
        <v>1210</v>
      </c>
      <c r="B709" s="20" t="s">
        <v>279</v>
      </c>
      <c r="C709" s="20" t="s">
        <v>279</v>
      </c>
      <c r="D709" s="20" t="s">
        <v>974</v>
      </c>
      <c r="E709" s="20"/>
      <c r="F709" s="411">
        <f>F710+F712</f>
        <v>455</v>
      </c>
    </row>
    <row r="710" spans="1:6" s="229" customFormat="1" ht="78.75" x14ac:dyDescent="0.25">
      <c r="A710" s="25" t="s">
        <v>142</v>
      </c>
      <c r="B710" s="20" t="s">
        <v>279</v>
      </c>
      <c r="C710" s="20" t="s">
        <v>279</v>
      </c>
      <c r="D710" s="20" t="s">
        <v>974</v>
      </c>
      <c r="E710" s="20" t="s">
        <v>143</v>
      </c>
      <c r="F710" s="411">
        <f>F711</f>
        <v>40</v>
      </c>
    </row>
    <row r="711" spans="1:6" s="229" customFormat="1" ht="18.75" customHeight="1" x14ac:dyDescent="0.25">
      <c r="A711" s="25" t="s">
        <v>357</v>
      </c>
      <c r="B711" s="20" t="s">
        <v>279</v>
      </c>
      <c r="C711" s="20" t="s">
        <v>279</v>
      </c>
      <c r="D711" s="20" t="s">
        <v>974</v>
      </c>
      <c r="E711" s="20" t="s">
        <v>224</v>
      </c>
      <c r="F711" s="411">
        <f>'Пр.6 ведом.20'!G325</f>
        <v>40</v>
      </c>
    </row>
    <row r="712" spans="1:6" s="229" customFormat="1" ht="31.5" x14ac:dyDescent="0.25">
      <c r="A712" s="25" t="s">
        <v>146</v>
      </c>
      <c r="B712" s="20" t="s">
        <v>279</v>
      </c>
      <c r="C712" s="20" t="s">
        <v>279</v>
      </c>
      <c r="D712" s="20" t="s">
        <v>974</v>
      </c>
      <c r="E712" s="20" t="s">
        <v>147</v>
      </c>
      <c r="F712" s="411">
        <f>F713</f>
        <v>415</v>
      </c>
    </row>
    <row r="713" spans="1:6" s="229" customFormat="1" ht="31.5" x14ac:dyDescent="0.25">
      <c r="A713" s="25" t="s">
        <v>148</v>
      </c>
      <c r="B713" s="20" t="s">
        <v>279</v>
      </c>
      <c r="C713" s="20" t="s">
        <v>279</v>
      </c>
      <c r="D713" s="20" t="s">
        <v>974</v>
      </c>
      <c r="E713" s="20" t="s">
        <v>149</v>
      </c>
      <c r="F713" s="411">
        <f>'Пр.6 ведом.20'!G327</f>
        <v>415</v>
      </c>
    </row>
    <row r="714" spans="1:6" s="229" customFormat="1" ht="31.5" x14ac:dyDescent="0.25">
      <c r="A714" s="23" t="s">
        <v>1215</v>
      </c>
      <c r="B714" s="24" t="s">
        <v>279</v>
      </c>
      <c r="C714" s="24" t="s">
        <v>279</v>
      </c>
      <c r="D714" s="24" t="s">
        <v>1211</v>
      </c>
      <c r="E714" s="24"/>
      <c r="F714" s="305">
        <f>F715</f>
        <v>25</v>
      </c>
    </row>
    <row r="715" spans="1:6" s="229" customFormat="1" ht="47.25" x14ac:dyDescent="0.25">
      <c r="A715" s="303" t="s">
        <v>1212</v>
      </c>
      <c r="B715" s="20" t="s">
        <v>279</v>
      </c>
      <c r="C715" s="20" t="s">
        <v>279</v>
      </c>
      <c r="D715" s="20" t="s">
        <v>1233</v>
      </c>
      <c r="E715" s="20"/>
      <c r="F715" s="411">
        <f>F716</f>
        <v>25</v>
      </c>
    </row>
    <row r="716" spans="1:6" s="229" customFormat="1" ht="31.5" x14ac:dyDescent="0.25">
      <c r="A716" s="25" t="s">
        <v>263</v>
      </c>
      <c r="B716" s="20" t="s">
        <v>279</v>
      </c>
      <c r="C716" s="20" t="s">
        <v>279</v>
      </c>
      <c r="D716" s="20" t="s">
        <v>1233</v>
      </c>
      <c r="E716" s="20" t="s">
        <v>264</v>
      </c>
      <c r="F716" s="411">
        <f>F717</f>
        <v>25</v>
      </c>
    </row>
    <row r="717" spans="1:6" s="229" customFormat="1" ht="31.5" x14ac:dyDescent="0.25">
      <c r="A717" s="25" t="s">
        <v>363</v>
      </c>
      <c r="B717" s="20" t="s">
        <v>279</v>
      </c>
      <c r="C717" s="20" t="s">
        <v>279</v>
      </c>
      <c r="D717" s="20" t="s">
        <v>1233</v>
      </c>
      <c r="E717" s="20" t="s">
        <v>364</v>
      </c>
      <c r="F717" s="411">
        <f>'Пр.6 ведом.20'!G331</f>
        <v>25</v>
      </c>
    </row>
    <row r="718" spans="1:6" ht="47.25" x14ac:dyDescent="0.25">
      <c r="A718" s="23" t="s">
        <v>441</v>
      </c>
      <c r="B718" s="24" t="s">
        <v>279</v>
      </c>
      <c r="C718" s="24" t="s">
        <v>279</v>
      </c>
      <c r="D718" s="24" t="s">
        <v>421</v>
      </c>
      <c r="E718" s="24"/>
      <c r="F718" s="305">
        <f>F719</f>
        <v>5804.9</v>
      </c>
    </row>
    <row r="719" spans="1:6" ht="31.5" x14ac:dyDescent="0.25">
      <c r="A719" s="23" t="s">
        <v>482</v>
      </c>
      <c r="B719" s="24" t="s">
        <v>279</v>
      </c>
      <c r="C719" s="24" t="s">
        <v>483</v>
      </c>
      <c r="D719" s="24" t="s">
        <v>484</v>
      </c>
      <c r="E719" s="24"/>
      <c r="F719" s="305">
        <f>F720</f>
        <v>5804.9</v>
      </c>
    </row>
    <row r="720" spans="1:6" ht="31.5" x14ac:dyDescent="0.25">
      <c r="A720" s="23" t="s">
        <v>1061</v>
      </c>
      <c r="B720" s="24" t="s">
        <v>279</v>
      </c>
      <c r="C720" s="24" t="s">
        <v>279</v>
      </c>
      <c r="D720" s="24" t="s">
        <v>1062</v>
      </c>
      <c r="E720" s="24"/>
      <c r="F720" s="305">
        <f>F721+F724</f>
        <v>5804.9</v>
      </c>
    </row>
    <row r="721" spans="1:6" ht="39.75" customHeight="1" x14ac:dyDescent="0.25">
      <c r="A721" s="31" t="s">
        <v>1246</v>
      </c>
      <c r="B721" s="20" t="s">
        <v>279</v>
      </c>
      <c r="C721" s="20" t="s">
        <v>279</v>
      </c>
      <c r="D721" s="20" t="s">
        <v>1063</v>
      </c>
      <c r="E721" s="20"/>
      <c r="F721" s="411">
        <f>F722</f>
        <v>3584</v>
      </c>
    </row>
    <row r="722" spans="1:6" ht="35.25" customHeight="1" x14ac:dyDescent="0.25">
      <c r="A722" s="25" t="s">
        <v>287</v>
      </c>
      <c r="B722" s="20" t="s">
        <v>279</v>
      </c>
      <c r="C722" s="20" t="s">
        <v>279</v>
      </c>
      <c r="D722" s="20" t="s">
        <v>1063</v>
      </c>
      <c r="E722" s="20" t="s">
        <v>288</v>
      </c>
      <c r="F722" s="411">
        <f>F723</f>
        <v>3584</v>
      </c>
    </row>
    <row r="723" spans="1:6" ht="15.75" x14ac:dyDescent="0.25">
      <c r="A723" s="25" t="s">
        <v>289</v>
      </c>
      <c r="B723" s="20" t="s">
        <v>279</v>
      </c>
      <c r="C723" s="20" t="s">
        <v>279</v>
      </c>
      <c r="D723" s="20" t="s">
        <v>1063</v>
      </c>
      <c r="E723" s="20" t="s">
        <v>290</v>
      </c>
      <c r="F723" s="411">
        <f>'Пр.6 ведом.20'!G728</f>
        <v>3584</v>
      </c>
    </row>
    <row r="724" spans="1:6" ht="31.5" x14ac:dyDescent="0.25">
      <c r="A724" s="31" t="s">
        <v>489</v>
      </c>
      <c r="B724" s="20" t="s">
        <v>279</v>
      </c>
      <c r="C724" s="20" t="s">
        <v>279</v>
      </c>
      <c r="D724" s="20" t="s">
        <v>1064</v>
      </c>
      <c r="E724" s="20"/>
      <c r="F724" s="411">
        <f>F725</f>
        <v>2220.9</v>
      </c>
    </row>
    <row r="725" spans="1:6" ht="31.5" x14ac:dyDescent="0.25">
      <c r="A725" s="25" t="s">
        <v>287</v>
      </c>
      <c r="B725" s="20" t="s">
        <v>279</v>
      </c>
      <c r="C725" s="20" t="s">
        <v>279</v>
      </c>
      <c r="D725" s="20" t="s">
        <v>1064</v>
      </c>
      <c r="E725" s="20" t="s">
        <v>288</v>
      </c>
      <c r="F725" s="411">
        <f>F726</f>
        <v>2220.9</v>
      </c>
    </row>
    <row r="726" spans="1:6" ht="15.75" x14ac:dyDescent="0.25">
      <c r="A726" s="25" t="s">
        <v>289</v>
      </c>
      <c r="B726" s="20" t="s">
        <v>279</v>
      </c>
      <c r="C726" s="20" t="s">
        <v>279</v>
      </c>
      <c r="D726" s="20" t="s">
        <v>1064</v>
      </c>
      <c r="E726" s="20" t="s">
        <v>290</v>
      </c>
      <c r="F726" s="411">
        <f>'Пр.6 ведом.20'!G731</f>
        <v>2220.9</v>
      </c>
    </row>
    <row r="727" spans="1:6" ht="15" customHeight="1" x14ac:dyDescent="0.25">
      <c r="A727" s="23" t="s">
        <v>310</v>
      </c>
      <c r="B727" s="24" t="s">
        <v>279</v>
      </c>
      <c r="C727" s="24" t="s">
        <v>234</v>
      </c>
      <c r="D727" s="24"/>
      <c r="E727" s="24"/>
      <c r="F727" s="305">
        <f>F728+F738</f>
        <v>19830</v>
      </c>
    </row>
    <row r="728" spans="1:6" ht="31.5" x14ac:dyDescent="0.25">
      <c r="A728" s="23" t="s">
        <v>992</v>
      </c>
      <c r="B728" s="24" t="s">
        <v>279</v>
      </c>
      <c r="C728" s="24" t="s">
        <v>234</v>
      </c>
      <c r="D728" s="24" t="s">
        <v>906</v>
      </c>
      <c r="E728" s="24"/>
      <c r="F728" s="305">
        <f>F729</f>
        <v>5585</v>
      </c>
    </row>
    <row r="729" spans="1:6" ht="15.75" x14ac:dyDescent="0.25">
      <c r="A729" s="23" t="s">
        <v>993</v>
      </c>
      <c r="B729" s="24" t="s">
        <v>279</v>
      </c>
      <c r="C729" s="24" t="s">
        <v>234</v>
      </c>
      <c r="D729" s="24" t="s">
        <v>907</v>
      </c>
      <c r="E729" s="24"/>
      <c r="F729" s="305">
        <f>F730+F735</f>
        <v>5585</v>
      </c>
    </row>
    <row r="730" spans="1:6" ht="31.5" x14ac:dyDescent="0.25">
      <c r="A730" s="25" t="s">
        <v>969</v>
      </c>
      <c r="B730" s="20" t="s">
        <v>279</v>
      </c>
      <c r="C730" s="20" t="s">
        <v>234</v>
      </c>
      <c r="D730" s="20" t="s">
        <v>908</v>
      </c>
      <c r="E730" s="20"/>
      <c r="F730" s="411">
        <f>F731+F733</f>
        <v>5459</v>
      </c>
    </row>
    <row r="731" spans="1:6" ht="78.75" x14ac:dyDescent="0.25">
      <c r="A731" s="25" t="s">
        <v>142</v>
      </c>
      <c r="B731" s="20" t="s">
        <v>279</v>
      </c>
      <c r="C731" s="20" t="s">
        <v>234</v>
      </c>
      <c r="D731" s="20" t="s">
        <v>908</v>
      </c>
      <c r="E731" s="20" t="s">
        <v>143</v>
      </c>
      <c r="F731" s="411">
        <f>F732</f>
        <v>5247</v>
      </c>
    </row>
    <row r="732" spans="1:6" ht="31.5" x14ac:dyDescent="0.25">
      <c r="A732" s="25" t="s">
        <v>144</v>
      </c>
      <c r="B732" s="20" t="s">
        <v>279</v>
      </c>
      <c r="C732" s="20" t="s">
        <v>234</v>
      </c>
      <c r="D732" s="20" t="s">
        <v>908</v>
      </c>
      <c r="E732" s="20" t="s">
        <v>145</v>
      </c>
      <c r="F732" s="411">
        <f>'Пр.6 ведом.20'!G737</f>
        <v>5247</v>
      </c>
    </row>
    <row r="733" spans="1:6" ht="31.5" x14ac:dyDescent="0.25">
      <c r="A733" s="25" t="s">
        <v>146</v>
      </c>
      <c r="B733" s="20" t="s">
        <v>279</v>
      </c>
      <c r="C733" s="20" t="s">
        <v>234</v>
      </c>
      <c r="D733" s="20" t="s">
        <v>908</v>
      </c>
      <c r="E733" s="20" t="s">
        <v>147</v>
      </c>
      <c r="F733" s="411">
        <f>F734</f>
        <v>212</v>
      </c>
    </row>
    <row r="734" spans="1:6" ht="31.5" x14ac:dyDescent="0.25">
      <c r="A734" s="25" t="s">
        <v>148</v>
      </c>
      <c r="B734" s="20" t="s">
        <v>279</v>
      </c>
      <c r="C734" s="20" t="s">
        <v>234</v>
      </c>
      <c r="D734" s="20" t="s">
        <v>908</v>
      </c>
      <c r="E734" s="20" t="s">
        <v>149</v>
      </c>
      <c r="F734" s="411">
        <f>'Пр.6 ведом.20'!G739</f>
        <v>212</v>
      </c>
    </row>
    <row r="735" spans="1:6" ht="47.25" x14ac:dyDescent="0.25">
      <c r="A735" s="25" t="s">
        <v>886</v>
      </c>
      <c r="B735" s="20" t="s">
        <v>279</v>
      </c>
      <c r="C735" s="20" t="s">
        <v>234</v>
      </c>
      <c r="D735" s="20" t="s">
        <v>910</v>
      </c>
      <c r="E735" s="20"/>
      <c r="F735" s="411">
        <f>F736</f>
        <v>126</v>
      </c>
    </row>
    <row r="736" spans="1:6" ht="78.75" x14ac:dyDescent="0.25">
      <c r="A736" s="25" t="s">
        <v>142</v>
      </c>
      <c r="B736" s="20" t="s">
        <v>279</v>
      </c>
      <c r="C736" s="20" t="s">
        <v>234</v>
      </c>
      <c r="D736" s="20" t="s">
        <v>910</v>
      </c>
      <c r="E736" s="20" t="s">
        <v>143</v>
      </c>
      <c r="F736" s="411">
        <f>F737</f>
        <v>126</v>
      </c>
    </row>
    <row r="737" spans="1:6" ht="31.5" x14ac:dyDescent="0.25">
      <c r="A737" s="25" t="s">
        <v>144</v>
      </c>
      <c r="B737" s="20" t="s">
        <v>279</v>
      </c>
      <c r="C737" s="20" t="s">
        <v>234</v>
      </c>
      <c r="D737" s="20" t="s">
        <v>910</v>
      </c>
      <c r="E737" s="20" t="s">
        <v>145</v>
      </c>
      <c r="F737" s="411">
        <f>'Пр.6 ведом.20'!G742</f>
        <v>126</v>
      </c>
    </row>
    <row r="738" spans="1:6" ht="15.75" x14ac:dyDescent="0.25">
      <c r="A738" s="23" t="s">
        <v>156</v>
      </c>
      <c r="B738" s="24" t="s">
        <v>279</v>
      </c>
      <c r="C738" s="24" t="s">
        <v>234</v>
      </c>
      <c r="D738" s="24" t="s">
        <v>914</v>
      </c>
      <c r="E738" s="24"/>
      <c r="F738" s="305">
        <f>F739+F743</f>
        <v>14245</v>
      </c>
    </row>
    <row r="739" spans="1:6" ht="31.5" x14ac:dyDescent="0.25">
      <c r="A739" s="23" t="s">
        <v>918</v>
      </c>
      <c r="B739" s="24" t="s">
        <v>279</v>
      </c>
      <c r="C739" s="24" t="s">
        <v>234</v>
      </c>
      <c r="D739" s="24" t="s">
        <v>913</v>
      </c>
      <c r="E739" s="24"/>
      <c r="F739" s="305">
        <f>F740</f>
        <v>300</v>
      </c>
    </row>
    <row r="740" spans="1:6" ht="15.75" x14ac:dyDescent="0.25">
      <c r="A740" s="25" t="s">
        <v>493</v>
      </c>
      <c r="B740" s="20" t="s">
        <v>279</v>
      </c>
      <c r="C740" s="20" t="s">
        <v>234</v>
      </c>
      <c r="D740" s="20" t="s">
        <v>1065</v>
      </c>
      <c r="E740" s="20"/>
      <c r="F740" s="411">
        <f>F741</f>
        <v>300</v>
      </c>
    </row>
    <row r="741" spans="1:6" ht="31.5" x14ac:dyDescent="0.25">
      <c r="A741" s="25" t="s">
        <v>146</v>
      </c>
      <c r="B741" s="20" t="s">
        <v>279</v>
      </c>
      <c r="C741" s="20" t="s">
        <v>234</v>
      </c>
      <c r="D741" s="20" t="s">
        <v>1065</v>
      </c>
      <c r="E741" s="20" t="s">
        <v>147</v>
      </c>
      <c r="F741" s="411">
        <f>F742</f>
        <v>300</v>
      </c>
    </row>
    <row r="742" spans="1:6" ht="39.75" customHeight="1" x14ac:dyDescent="0.25">
      <c r="A742" s="25" t="s">
        <v>148</v>
      </c>
      <c r="B742" s="20" t="s">
        <v>279</v>
      </c>
      <c r="C742" s="20" t="s">
        <v>234</v>
      </c>
      <c r="D742" s="20" t="s">
        <v>1065</v>
      </c>
      <c r="E742" s="20" t="s">
        <v>149</v>
      </c>
      <c r="F742" s="411">
        <f>'Пр.6 ведом.20'!G747</f>
        <v>300</v>
      </c>
    </row>
    <row r="743" spans="1:6" ht="36.75" customHeight="1" x14ac:dyDescent="0.25">
      <c r="A743" s="23" t="s">
        <v>1006</v>
      </c>
      <c r="B743" s="24" t="s">
        <v>279</v>
      </c>
      <c r="C743" s="24" t="s">
        <v>234</v>
      </c>
      <c r="D743" s="24" t="s">
        <v>989</v>
      </c>
      <c r="E743" s="24"/>
      <c r="F743" s="305">
        <f>F744+F751</f>
        <v>13945</v>
      </c>
    </row>
    <row r="744" spans="1:6" ht="31.5" x14ac:dyDescent="0.25">
      <c r="A744" s="25" t="s">
        <v>976</v>
      </c>
      <c r="B744" s="20" t="s">
        <v>279</v>
      </c>
      <c r="C744" s="20" t="s">
        <v>234</v>
      </c>
      <c r="D744" s="20" t="s">
        <v>990</v>
      </c>
      <c r="E744" s="20"/>
      <c r="F744" s="412">
        <f>F745+F747+F749</f>
        <v>13609</v>
      </c>
    </row>
    <row r="745" spans="1:6" ht="78.75" x14ac:dyDescent="0.25">
      <c r="A745" s="25" t="s">
        <v>142</v>
      </c>
      <c r="B745" s="20" t="s">
        <v>279</v>
      </c>
      <c r="C745" s="20" t="s">
        <v>234</v>
      </c>
      <c r="D745" s="20" t="s">
        <v>990</v>
      </c>
      <c r="E745" s="20" t="s">
        <v>143</v>
      </c>
      <c r="F745" s="412">
        <f>F746</f>
        <v>12517</v>
      </c>
    </row>
    <row r="746" spans="1:6" ht="24" customHeight="1" x14ac:dyDescent="0.25">
      <c r="A746" s="25" t="s">
        <v>357</v>
      </c>
      <c r="B746" s="20" t="s">
        <v>279</v>
      </c>
      <c r="C746" s="20" t="s">
        <v>234</v>
      </c>
      <c r="D746" s="20" t="s">
        <v>990</v>
      </c>
      <c r="E746" s="20" t="s">
        <v>224</v>
      </c>
      <c r="F746" s="411">
        <f>'Пр.6 ведом.20'!G751</f>
        <v>12517</v>
      </c>
    </row>
    <row r="747" spans="1:6" ht="31.5" x14ac:dyDescent="0.25">
      <c r="A747" s="25" t="s">
        <v>146</v>
      </c>
      <c r="B747" s="20" t="s">
        <v>279</v>
      </c>
      <c r="C747" s="20" t="s">
        <v>234</v>
      </c>
      <c r="D747" s="20" t="s">
        <v>990</v>
      </c>
      <c r="E747" s="20" t="s">
        <v>147</v>
      </c>
      <c r="F747" s="411">
        <f>F748</f>
        <v>1077</v>
      </c>
    </row>
    <row r="748" spans="1:6" ht="31.5" customHeight="1" x14ac:dyDescent="0.25">
      <c r="A748" s="25" t="s">
        <v>148</v>
      </c>
      <c r="B748" s="20" t="s">
        <v>279</v>
      </c>
      <c r="C748" s="20" t="s">
        <v>234</v>
      </c>
      <c r="D748" s="20" t="s">
        <v>990</v>
      </c>
      <c r="E748" s="20" t="s">
        <v>149</v>
      </c>
      <c r="F748" s="411">
        <f>'Пр.6 ведом.20'!G753</f>
        <v>1077</v>
      </c>
    </row>
    <row r="749" spans="1:6" ht="22.5" customHeight="1" x14ac:dyDescent="0.25">
      <c r="A749" s="25" t="s">
        <v>150</v>
      </c>
      <c r="B749" s="20" t="s">
        <v>279</v>
      </c>
      <c r="C749" s="20" t="s">
        <v>234</v>
      </c>
      <c r="D749" s="20" t="s">
        <v>990</v>
      </c>
      <c r="E749" s="20" t="s">
        <v>160</v>
      </c>
      <c r="F749" s="411">
        <f t="shared" ref="F749" si="100">F750</f>
        <v>15</v>
      </c>
    </row>
    <row r="750" spans="1:6" ht="15.75" customHeight="1" x14ac:dyDescent="0.25">
      <c r="A750" s="25" t="s">
        <v>583</v>
      </c>
      <c r="B750" s="20" t="s">
        <v>279</v>
      </c>
      <c r="C750" s="20" t="s">
        <v>234</v>
      </c>
      <c r="D750" s="20" t="s">
        <v>990</v>
      </c>
      <c r="E750" s="20" t="s">
        <v>153</v>
      </c>
      <c r="F750" s="411">
        <f>'Пр.6 ведом.20'!G755</f>
        <v>15</v>
      </c>
    </row>
    <row r="751" spans="1:6" ht="47.25" customHeight="1" x14ac:dyDescent="0.25">
      <c r="A751" s="25" t="s">
        <v>886</v>
      </c>
      <c r="B751" s="20" t="s">
        <v>279</v>
      </c>
      <c r="C751" s="20" t="s">
        <v>234</v>
      </c>
      <c r="D751" s="20" t="s">
        <v>991</v>
      </c>
      <c r="E751" s="20"/>
      <c r="F751" s="411">
        <f>F752</f>
        <v>336</v>
      </c>
    </row>
    <row r="752" spans="1:6" ht="78.75" x14ac:dyDescent="0.25">
      <c r="A752" s="25" t="s">
        <v>142</v>
      </c>
      <c r="B752" s="20" t="s">
        <v>279</v>
      </c>
      <c r="C752" s="20" t="s">
        <v>234</v>
      </c>
      <c r="D752" s="20" t="s">
        <v>991</v>
      </c>
      <c r="E752" s="20" t="s">
        <v>143</v>
      </c>
      <c r="F752" s="411">
        <f>F753</f>
        <v>336</v>
      </c>
    </row>
    <row r="753" spans="1:12" ht="31.5" x14ac:dyDescent="0.25">
      <c r="A753" s="25" t="s">
        <v>144</v>
      </c>
      <c r="B753" s="20" t="s">
        <v>279</v>
      </c>
      <c r="C753" s="20" t="s">
        <v>234</v>
      </c>
      <c r="D753" s="20" t="s">
        <v>991</v>
      </c>
      <c r="E753" s="20" t="s">
        <v>145</v>
      </c>
      <c r="F753" s="411">
        <f>'Пр.6 ведом.20'!G758</f>
        <v>336</v>
      </c>
    </row>
    <row r="754" spans="1:12" ht="15.75" x14ac:dyDescent="0.25">
      <c r="A754" s="41" t="s">
        <v>313</v>
      </c>
      <c r="B754" s="7" t="s">
        <v>314</v>
      </c>
      <c r="C754" s="7"/>
      <c r="D754" s="7"/>
      <c r="E754" s="7"/>
      <c r="F754" s="305">
        <f>F755+F825</f>
        <v>69347.7</v>
      </c>
      <c r="H754" s="22"/>
    </row>
    <row r="755" spans="1:12" ht="15.75" x14ac:dyDescent="0.25">
      <c r="A755" s="41" t="s">
        <v>315</v>
      </c>
      <c r="B755" s="7" t="s">
        <v>314</v>
      </c>
      <c r="C755" s="7" t="s">
        <v>133</v>
      </c>
      <c r="D755" s="7"/>
      <c r="E755" s="7"/>
      <c r="F755" s="305">
        <f>F756+F815+F820</f>
        <v>52008.7</v>
      </c>
      <c r="G755" s="22"/>
      <c r="H755" s="22"/>
      <c r="I755" s="22"/>
      <c r="J755" s="22"/>
    </row>
    <row r="756" spans="1:12" ht="34.5" customHeight="1" x14ac:dyDescent="0.25">
      <c r="A756" s="23" t="s">
        <v>281</v>
      </c>
      <c r="B756" s="24" t="s">
        <v>314</v>
      </c>
      <c r="C756" s="24" t="s">
        <v>133</v>
      </c>
      <c r="D756" s="24" t="s">
        <v>282</v>
      </c>
      <c r="E756" s="24"/>
      <c r="F756" s="305">
        <f>F757+F784</f>
        <v>51115.5</v>
      </c>
      <c r="H756" s="219"/>
    </row>
    <row r="757" spans="1:12" ht="47.25" x14ac:dyDescent="0.25">
      <c r="A757" s="23" t="s">
        <v>316</v>
      </c>
      <c r="B757" s="24" t="s">
        <v>314</v>
      </c>
      <c r="C757" s="24" t="s">
        <v>133</v>
      </c>
      <c r="D757" s="24" t="s">
        <v>317</v>
      </c>
      <c r="E757" s="24"/>
      <c r="F757" s="305">
        <f>F758+F766+F772+F776+F780</f>
        <v>26699.79</v>
      </c>
    </row>
    <row r="758" spans="1:12" ht="34.5" customHeight="1" x14ac:dyDescent="0.25">
      <c r="A758" s="23" t="s">
        <v>958</v>
      </c>
      <c r="B758" s="24" t="s">
        <v>314</v>
      </c>
      <c r="C758" s="24" t="s">
        <v>133</v>
      </c>
      <c r="D758" s="24" t="s">
        <v>959</v>
      </c>
      <c r="E758" s="24"/>
      <c r="F758" s="305">
        <f>F759</f>
        <v>23784</v>
      </c>
    </row>
    <row r="759" spans="1:12" ht="15.75" x14ac:dyDescent="0.25">
      <c r="A759" s="25" t="s">
        <v>832</v>
      </c>
      <c r="B759" s="20" t="s">
        <v>314</v>
      </c>
      <c r="C759" s="20" t="s">
        <v>133</v>
      </c>
      <c r="D759" s="20" t="s">
        <v>957</v>
      </c>
      <c r="E759" s="20"/>
      <c r="F759" s="411">
        <f>F760+F762+F764</f>
        <v>23784</v>
      </c>
    </row>
    <row r="760" spans="1:12" ht="78.75" x14ac:dyDescent="0.25">
      <c r="A760" s="25" t="s">
        <v>142</v>
      </c>
      <c r="B760" s="20" t="s">
        <v>314</v>
      </c>
      <c r="C760" s="20" t="s">
        <v>133</v>
      </c>
      <c r="D760" s="20" t="s">
        <v>957</v>
      </c>
      <c r="E760" s="20" t="s">
        <v>143</v>
      </c>
      <c r="F760" s="411">
        <f>F761</f>
        <v>20032</v>
      </c>
    </row>
    <row r="761" spans="1:12" ht="15.75" x14ac:dyDescent="0.25">
      <c r="A761" s="25" t="s">
        <v>223</v>
      </c>
      <c r="B761" s="20" t="s">
        <v>314</v>
      </c>
      <c r="C761" s="20" t="s">
        <v>133</v>
      </c>
      <c r="D761" s="20" t="s">
        <v>957</v>
      </c>
      <c r="E761" s="20" t="s">
        <v>224</v>
      </c>
      <c r="F761" s="411">
        <f>'Пр.6 ведом.20'!G339</f>
        <v>20032</v>
      </c>
    </row>
    <row r="762" spans="1:12" ht="31.5" x14ac:dyDescent="0.25">
      <c r="A762" s="25" t="s">
        <v>146</v>
      </c>
      <c r="B762" s="20" t="s">
        <v>314</v>
      </c>
      <c r="C762" s="20" t="s">
        <v>133</v>
      </c>
      <c r="D762" s="20" t="s">
        <v>957</v>
      </c>
      <c r="E762" s="20" t="s">
        <v>147</v>
      </c>
      <c r="F762" s="411">
        <f>F763</f>
        <v>3715</v>
      </c>
      <c r="G762" s="22"/>
      <c r="L762" s="22"/>
    </row>
    <row r="763" spans="1:12" ht="31.5" x14ac:dyDescent="0.25">
      <c r="A763" s="25" t="s">
        <v>148</v>
      </c>
      <c r="B763" s="20" t="s">
        <v>314</v>
      </c>
      <c r="C763" s="20" t="s">
        <v>133</v>
      </c>
      <c r="D763" s="20" t="s">
        <v>957</v>
      </c>
      <c r="E763" s="20" t="s">
        <v>149</v>
      </c>
      <c r="F763" s="411">
        <f>'Пр.6 ведом.20'!G341</f>
        <v>3715</v>
      </c>
    </row>
    <row r="764" spans="1:12" ht="15.75" x14ac:dyDescent="0.25">
      <c r="A764" s="25" t="s">
        <v>150</v>
      </c>
      <c r="B764" s="20" t="s">
        <v>314</v>
      </c>
      <c r="C764" s="20" t="s">
        <v>133</v>
      </c>
      <c r="D764" s="20" t="s">
        <v>957</v>
      </c>
      <c r="E764" s="20" t="s">
        <v>160</v>
      </c>
      <c r="F764" s="411">
        <f t="shared" ref="F764" si="101">F765</f>
        <v>37</v>
      </c>
    </row>
    <row r="765" spans="1:12" ht="15.75" x14ac:dyDescent="0.25">
      <c r="A765" s="25" t="s">
        <v>583</v>
      </c>
      <c r="B765" s="20" t="s">
        <v>314</v>
      </c>
      <c r="C765" s="20" t="s">
        <v>133</v>
      </c>
      <c r="D765" s="20" t="s">
        <v>957</v>
      </c>
      <c r="E765" s="20" t="s">
        <v>153</v>
      </c>
      <c r="F765" s="411">
        <f>'Пр.6 ведом.20'!G343</f>
        <v>37</v>
      </c>
    </row>
    <row r="766" spans="1:12" ht="31.5" x14ac:dyDescent="0.25">
      <c r="A766" s="279" t="s">
        <v>972</v>
      </c>
      <c r="B766" s="24" t="s">
        <v>314</v>
      </c>
      <c r="C766" s="24" t="s">
        <v>133</v>
      </c>
      <c r="D766" s="24" t="s">
        <v>960</v>
      </c>
      <c r="E766" s="24"/>
      <c r="F766" s="305">
        <f>F767</f>
        <v>250</v>
      </c>
    </row>
    <row r="767" spans="1:12" ht="31.5" x14ac:dyDescent="0.25">
      <c r="A767" s="31" t="s">
        <v>861</v>
      </c>
      <c r="B767" s="20" t="s">
        <v>314</v>
      </c>
      <c r="C767" s="20" t="s">
        <v>133</v>
      </c>
      <c r="D767" s="20" t="s">
        <v>961</v>
      </c>
      <c r="E767" s="20"/>
      <c r="F767" s="411">
        <f>F768+F770</f>
        <v>250</v>
      </c>
    </row>
    <row r="768" spans="1:12" ht="78.75" x14ac:dyDescent="0.25">
      <c r="A768" s="25" t="s">
        <v>142</v>
      </c>
      <c r="B768" s="20" t="s">
        <v>314</v>
      </c>
      <c r="C768" s="20" t="s">
        <v>133</v>
      </c>
      <c r="D768" s="20" t="s">
        <v>961</v>
      </c>
      <c r="E768" s="20" t="s">
        <v>143</v>
      </c>
      <c r="F768" s="411">
        <f>F769</f>
        <v>0</v>
      </c>
    </row>
    <row r="769" spans="1:8" ht="15.75" x14ac:dyDescent="0.25">
      <c r="A769" s="25" t="s">
        <v>223</v>
      </c>
      <c r="B769" s="20" t="s">
        <v>314</v>
      </c>
      <c r="C769" s="20" t="s">
        <v>133</v>
      </c>
      <c r="D769" s="20" t="s">
        <v>961</v>
      </c>
      <c r="E769" s="20" t="s">
        <v>224</v>
      </c>
      <c r="F769" s="411">
        <f>'Пр.6 ведом.20'!G347</f>
        <v>0</v>
      </c>
    </row>
    <row r="770" spans="1:8" ht="31.5" x14ac:dyDescent="0.25">
      <c r="A770" s="25" t="s">
        <v>146</v>
      </c>
      <c r="B770" s="20" t="s">
        <v>314</v>
      </c>
      <c r="C770" s="20" t="s">
        <v>133</v>
      </c>
      <c r="D770" s="20" t="s">
        <v>961</v>
      </c>
      <c r="E770" s="20" t="s">
        <v>147</v>
      </c>
      <c r="F770" s="411">
        <f>F771</f>
        <v>250</v>
      </c>
    </row>
    <row r="771" spans="1:8" ht="31.5" x14ac:dyDescent="0.25">
      <c r="A771" s="25" t="s">
        <v>148</v>
      </c>
      <c r="B771" s="20" t="s">
        <v>314</v>
      </c>
      <c r="C771" s="20" t="s">
        <v>133</v>
      </c>
      <c r="D771" s="20" t="s">
        <v>961</v>
      </c>
      <c r="E771" s="20" t="s">
        <v>149</v>
      </c>
      <c r="F771" s="411">
        <f>'Пр.6 ведом.20'!G349</f>
        <v>250</v>
      </c>
    </row>
    <row r="772" spans="1:8" ht="31.5" x14ac:dyDescent="0.25">
      <c r="A772" s="23" t="s">
        <v>1081</v>
      </c>
      <c r="B772" s="24" t="s">
        <v>314</v>
      </c>
      <c r="C772" s="24" t="s">
        <v>133</v>
      </c>
      <c r="D772" s="24" t="s">
        <v>1170</v>
      </c>
      <c r="E772" s="24"/>
      <c r="F772" s="305">
        <f>F773</f>
        <v>588</v>
      </c>
    </row>
    <row r="773" spans="1:8" ht="47.25" x14ac:dyDescent="0.25">
      <c r="A773" s="25" t="s">
        <v>886</v>
      </c>
      <c r="B773" s="20" t="s">
        <v>314</v>
      </c>
      <c r="C773" s="20" t="s">
        <v>133</v>
      </c>
      <c r="D773" s="20" t="s">
        <v>1171</v>
      </c>
      <c r="E773" s="20"/>
      <c r="F773" s="411">
        <f>F774</f>
        <v>588</v>
      </c>
    </row>
    <row r="774" spans="1:8" ht="78.75" x14ac:dyDescent="0.25">
      <c r="A774" s="25" t="s">
        <v>142</v>
      </c>
      <c r="B774" s="20" t="s">
        <v>314</v>
      </c>
      <c r="C774" s="20" t="s">
        <v>133</v>
      </c>
      <c r="D774" s="20" t="s">
        <v>1171</v>
      </c>
      <c r="E774" s="20" t="s">
        <v>143</v>
      </c>
      <c r="F774" s="411">
        <f>F775</f>
        <v>588</v>
      </c>
    </row>
    <row r="775" spans="1:8" ht="31.5" x14ac:dyDescent="0.25">
      <c r="A775" s="25" t="s">
        <v>144</v>
      </c>
      <c r="B775" s="20" t="s">
        <v>314</v>
      </c>
      <c r="C775" s="20" t="s">
        <v>133</v>
      </c>
      <c r="D775" s="20" t="s">
        <v>1171</v>
      </c>
      <c r="E775" s="20" t="s">
        <v>224</v>
      </c>
      <c r="F775" s="411">
        <f>'Пр.6 ведом.20'!G353</f>
        <v>588</v>
      </c>
    </row>
    <row r="776" spans="1:8" ht="47.25" x14ac:dyDescent="0.25">
      <c r="A776" s="280" t="s">
        <v>973</v>
      </c>
      <c r="B776" s="24" t="s">
        <v>314</v>
      </c>
      <c r="C776" s="24" t="s">
        <v>133</v>
      </c>
      <c r="D776" s="24" t="s">
        <v>1172</v>
      </c>
      <c r="E776" s="24"/>
      <c r="F776" s="305">
        <f>F777</f>
        <v>824.29</v>
      </c>
    </row>
    <row r="777" spans="1:8" s="1" customFormat="1" ht="94.5" x14ac:dyDescent="0.25">
      <c r="A777" s="31" t="s">
        <v>308</v>
      </c>
      <c r="B777" s="20" t="s">
        <v>314</v>
      </c>
      <c r="C777" s="20" t="s">
        <v>133</v>
      </c>
      <c r="D777" s="20" t="s">
        <v>1173</v>
      </c>
      <c r="E777" s="20"/>
      <c r="F777" s="411">
        <f>F778</f>
        <v>824.29</v>
      </c>
    </row>
    <row r="778" spans="1:8" ht="78.75" x14ac:dyDescent="0.25">
      <c r="A778" s="25" t="s">
        <v>142</v>
      </c>
      <c r="B778" s="20" t="s">
        <v>314</v>
      </c>
      <c r="C778" s="20" t="s">
        <v>133</v>
      </c>
      <c r="D778" s="20" t="s">
        <v>1173</v>
      </c>
      <c r="E778" s="20" t="s">
        <v>143</v>
      </c>
      <c r="F778" s="411">
        <f>F779</f>
        <v>824.29</v>
      </c>
    </row>
    <row r="779" spans="1:8" ht="15.75" x14ac:dyDescent="0.25">
      <c r="A779" s="25" t="s">
        <v>223</v>
      </c>
      <c r="B779" s="20" t="s">
        <v>314</v>
      </c>
      <c r="C779" s="20" t="s">
        <v>133</v>
      </c>
      <c r="D779" s="20" t="s">
        <v>1173</v>
      </c>
      <c r="E779" s="20" t="s">
        <v>224</v>
      </c>
      <c r="F779" s="411">
        <f>'Пр.6 ведом.20'!G357</f>
        <v>824.29</v>
      </c>
    </row>
    <row r="780" spans="1:8" s="229" customFormat="1" ht="31.5" x14ac:dyDescent="0.25">
      <c r="A780" s="369" t="s">
        <v>1430</v>
      </c>
      <c r="B780" s="24" t="s">
        <v>314</v>
      </c>
      <c r="C780" s="24" t="s">
        <v>133</v>
      </c>
      <c r="D780" s="24" t="s">
        <v>1431</v>
      </c>
      <c r="E780" s="24"/>
      <c r="F780" s="416">
        <f>F781</f>
        <v>1253.5</v>
      </c>
    </row>
    <row r="781" spans="1:8" s="229" customFormat="1" ht="47.25" x14ac:dyDescent="0.25">
      <c r="A781" s="370" t="s">
        <v>1432</v>
      </c>
      <c r="B781" s="20" t="s">
        <v>314</v>
      </c>
      <c r="C781" s="20" t="s">
        <v>133</v>
      </c>
      <c r="D781" s="20" t="s">
        <v>1433</v>
      </c>
      <c r="E781" s="20"/>
      <c r="F781" s="415">
        <f>F782</f>
        <v>1253.5</v>
      </c>
    </row>
    <row r="782" spans="1:8" s="229" customFormat="1" ht="31.5" x14ac:dyDescent="0.25">
      <c r="A782" s="25" t="s">
        <v>146</v>
      </c>
      <c r="B782" s="20" t="s">
        <v>314</v>
      </c>
      <c r="C782" s="20" t="s">
        <v>133</v>
      </c>
      <c r="D782" s="20" t="s">
        <v>1433</v>
      </c>
      <c r="E782" s="20" t="s">
        <v>147</v>
      </c>
      <c r="F782" s="415">
        <f>F783</f>
        <v>1253.5</v>
      </c>
    </row>
    <row r="783" spans="1:8" s="229" customFormat="1" ht="31.5" x14ac:dyDescent="0.25">
      <c r="A783" s="25" t="s">
        <v>148</v>
      </c>
      <c r="B783" s="20" t="s">
        <v>314</v>
      </c>
      <c r="C783" s="20" t="s">
        <v>133</v>
      </c>
      <c r="D783" s="20" t="s">
        <v>1433</v>
      </c>
      <c r="E783" s="20" t="s">
        <v>149</v>
      </c>
      <c r="F783" s="415">
        <f>'Пр.6 ведом.20'!G361</f>
        <v>1253.5</v>
      </c>
    </row>
    <row r="784" spans="1:8" ht="31.5" x14ac:dyDescent="0.25">
      <c r="A784" s="23" t="s">
        <v>327</v>
      </c>
      <c r="B784" s="24" t="s">
        <v>314</v>
      </c>
      <c r="C784" s="24" t="s">
        <v>133</v>
      </c>
      <c r="D784" s="24" t="s">
        <v>328</v>
      </c>
      <c r="E784" s="24"/>
      <c r="F784" s="305">
        <f>F785+F793+F797+F801+F808</f>
        <v>24415.71</v>
      </c>
      <c r="H784" s="22"/>
    </row>
    <row r="785" spans="1:6" ht="34.5" customHeight="1" x14ac:dyDescent="0.25">
      <c r="A785" s="23" t="s">
        <v>958</v>
      </c>
      <c r="B785" s="24" t="s">
        <v>314</v>
      </c>
      <c r="C785" s="24" t="s">
        <v>133</v>
      </c>
      <c r="D785" s="24" t="s">
        <v>962</v>
      </c>
      <c r="E785" s="24"/>
      <c r="F785" s="305">
        <f>F786</f>
        <v>22194</v>
      </c>
    </row>
    <row r="786" spans="1:6" ht="15.75" x14ac:dyDescent="0.25">
      <c r="A786" s="25" t="s">
        <v>832</v>
      </c>
      <c r="B786" s="20" t="s">
        <v>314</v>
      </c>
      <c r="C786" s="20" t="s">
        <v>133</v>
      </c>
      <c r="D786" s="20" t="s">
        <v>963</v>
      </c>
      <c r="E786" s="20"/>
      <c r="F786" s="411">
        <f>F787+F789+F791</f>
        <v>22194</v>
      </c>
    </row>
    <row r="787" spans="1:6" ht="78.75" x14ac:dyDescent="0.25">
      <c r="A787" s="25" t="s">
        <v>142</v>
      </c>
      <c r="B787" s="20" t="s">
        <v>314</v>
      </c>
      <c r="C787" s="20" t="s">
        <v>133</v>
      </c>
      <c r="D787" s="20" t="s">
        <v>963</v>
      </c>
      <c r="E787" s="20" t="s">
        <v>143</v>
      </c>
      <c r="F787" s="411">
        <f>'Пр.6 ведом.20'!G366</f>
        <v>19218</v>
      </c>
    </row>
    <row r="788" spans="1:6" ht="15.75" x14ac:dyDescent="0.25">
      <c r="A788" s="25" t="s">
        <v>223</v>
      </c>
      <c r="B788" s="20" t="s">
        <v>314</v>
      </c>
      <c r="C788" s="20" t="s">
        <v>133</v>
      </c>
      <c r="D788" s="20" t="s">
        <v>963</v>
      </c>
      <c r="E788" s="20" t="s">
        <v>224</v>
      </c>
      <c r="F788" s="411">
        <f>'Пр.6 ведом.20'!G366</f>
        <v>19218</v>
      </c>
    </row>
    <row r="789" spans="1:6" ht="31.5" x14ac:dyDescent="0.25">
      <c r="A789" s="25" t="s">
        <v>146</v>
      </c>
      <c r="B789" s="20" t="s">
        <v>314</v>
      </c>
      <c r="C789" s="20" t="s">
        <v>133</v>
      </c>
      <c r="D789" s="20" t="s">
        <v>963</v>
      </c>
      <c r="E789" s="20" t="s">
        <v>147</v>
      </c>
      <c r="F789" s="411">
        <f>'Пр.6 ведом.20'!G368</f>
        <v>2950</v>
      </c>
    </row>
    <row r="790" spans="1:6" ht="31.5" x14ac:dyDescent="0.25">
      <c r="A790" s="25" t="s">
        <v>148</v>
      </c>
      <c r="B790" s="20" t="s">
        <v>314</v>
      </c>
      <c r="C790" s="20" t="s">
        <v>133</v>
      </c>
      <c r="D790" s="20" t="s">
        <v>963</v>
      </c>
      <c r="E790" s="20" t="s">
        <v>149</v>
      </c>
      <c r="F790" s="411">
        <f>'Пр.6 ведом.20'!G368</f>
        <v>2950</v>
      </c>
    </row>
    <row r="791" spans="1:6" ht="15.75" x14ac:dyDescent="0.25">
      <c r="A791" s="25" t="s">
        <v>150</v>
      </c>
      <c r="B791" s="20" t="s">
        <v>314</v>
      </c>
      <c r="C791" s="20" t="s">
        <v>133</v>
      </c>
      <c r="D791" s="20" t="s">
        <v>963</v>
      </c>
      <c r="E791" s="20" t="s">
        <v>160</v>
      </c>
      <c r="F791" s="411">
        <f>'Пр.6 ведом.20'!G370</f>
        <v>26</v>
      </c>
    </row>
    <row r="792" spans="1:6" ht="15.75" x14ac:dyDescent="0.25">
      <c r="A792" s="25" t="s">
        <v>583</v>
      </c>
      <c r="B792" s="20" t="s">
        <v>314</v>
      </c>
      <c r="C792" s="20" t="s">
        <v>133</v>
      </c>
      <c r="D792" s="20" t="s">
        <v>963</v>
      </c>
      <c r="E792" s="20" t="s">
        <v>153</v>
      </c>
      <c r="F792" s="411">
        <f>'Пр.6 ведом.20'!G370</f>
        <v>26</v>
      </c>
    </row>
    <row r="793" spans="1:6" ht="31.5" x14ac:dyDescent="0.25">
      <c r="A793" s="23" t="s">
        <v>975</v>
      </c>
      <c r="B793" s="24" t="s">
        <v>314</v>
      </c>
      <c r="C793" s="24" t="s">
        <v>133</v>
      </c>
      <c r="D793" s="24" t="s">
        <v>964</v>
      </c>
      <c r="E793" s="24"/>
      <c r="F793" s="305">
        <f>F794</f>
        <v>50</v>
      </c>
    </row>
    <row r="794" spans="1:6" ht="31.5" x14ac:dyDescent="0.25">
      <c r="A794" s="25" t="s">
        <v>867</v>
      </c>
      <c r="B794" s="20" t="s">
        <v>314</v>
      </c>
      <c r="C794" s="20" t="s">
        <v>133</v>
      </c>
      <c r="D794" s="20" t="s">
        <v>965</v>
      </c>
      <c r="E794" s="20"/>
      <c r="F794" s="411">
        <f>F795</f>
        <v>50</v>
      </c>
    </row>
    <row r="795" spans="1:6" ht="31.5" x14ac:dyDescent="0.25">
      <c r="A795" s="25" t="s">
        <v>146</v>
      </c>
      <c r="B795" s="20" t="s">
        <v>314</v>
      </c>
      <c r="C795" s="20" t="s">
        <v>133</v>
      </c>
      <c r="D795" s="20" t="s">
        <v>965</v>
      </c>
      <c r="E795" s="20" t="s">
        <v>147</v>
      </c>
      <c r="F795" s="411">
        <f>F796</f>
        <v>50</v>
      </c>
    </row>
    <row r="796" spans="1:6" ht="31.5" x14ac:dyDescent="0.25">
      <c r="A796" s="25" t="s">
        <v>148</v>
      </c>
      <c r="B796" s="20" t="s">
        <v>314</v>
      </c>
      <c r="C796" s="20" t="s">
        <v>133</v>
      </c>
      <c r="D796" s="20" t="s">
        <v>965</v>
      </c>
      <c r="E796" s="20" t="s">
        <v>149</v>
      </c>
      <c r="F796" s="411">
        <f>'Пр.6 ведом.20'!G374</f>
        <v>50</v>
      </c>
    </row>
    <row r="797" spans="1:6" ht="31.5" x14ac:dyDescent="0.25">
      <c r="A797" s="23" t="s">
        <v>1081</v>
      </c>
      <c r="B797" s="24" t="s">
        <v>314</v>
      </c>
      <c r="C797" s="24" t="s">
        <v>133</v>
      </c>
      <c r="D797" s="24" t="s">
        <v>966</v>
      </c>
      <c r="E797" s="24"/>
      <c r="F797" s="305">
        <f>F798</f>
        <v>507</v>
      </c>
    </row>
    <row r="798" spans="1:6" ht="31.5" customHeight="1" x14ac:dyDescent="0.25">
      <c r="A798" s="25" t="s">
        <v>886</v>
      </c>
      <c r="B798" s="20" t="s">
        <v>314</v>
      </c>
      <c r="C798" s="20" t="s">
        <v>133</v>
      </c>
      <c r="D798" s="20" t="s">
        <v>1263</v>
      </c>
      <c r="E798" s="20"/>
      <c r="F798" s="411">
        <f>F799</f>
        <v>507</v>
      </c>
    </row>
    <row r="799" spans="1:6" ht="31.5" customHeight="1" x14ac:dyDescent="0.25">
      <c r="A799" s="25" t="s">
        <v>142</v>
      </c>
      <c r="B799" s="20" t="s">
        <v>314</v>
      </c>
      <c r="C799" s="20" t="s">
        <v>133</v>
      </c>
      <c r="D799" s="20" t="s">
        <v>1263</v>
      </c>
      <c r="E799" s="20" t="s">
        <v>143</v>
      </c>
      <c r="F799" s="411">
        <f t="shared" ref="F799" si="102">F800</f>
        <v>507</v>
      </c>
    </row>
    <row r="800" spans="1:6" ht="38.25" customHeight="1" x14ac:dyDescent="0.25">
      <c r="A800" s="25" t="s">
        <v>144</v>
      </c>
      <c r="B800" s="20" t="s">
        <v>314</v>
      </c>
      <c r="C800" s="20" t="s">
        <v>133</v>
      </c>
      <c r="D800" s="20" t="s">
        <v>1263</v>
      </c>
      <c r="E800" s="20" t="s">
        <v>224</v>
      </c>
      <c r="F800" s="411">
        <f>'Пр.6 ведом.20'!G378</f>
        <v>507</v>
      </c>
    </row>
    <row r="801" spans="1:8" ht="32.25" customHeight="1" x14ac:dyDescent="0.25">
      <c r="A801" s="23" t="s">
        <v>1169</v>
      </c>
      <c r="B801" s="24" t="s">
        <v>314</v>
      </c>
      <c r="C801" s="24" t="s">
        <v>133</v>
      </c>
      <c r="D801" s="24" t="s">
        <v>967</v>
      </c>
      <c r="E801" s="24"/>
      <c r="F801" s="305">
        <f>F802+F805</f>
        <v>68.7</v>
      </c>
    </row>
    <row r="802" spans="1:8" ht="15.75" customHeight="1" x14ac:dyDescent="0.25">
      <c r="A802" s="25" t="s">
        <v>344</v>
      </c>
      <c r="B802" s="20" t="s">
        <v>314</v>
      </c>
      <c r="C802" s="20" t="s">
        <v>133</v>
      </c>
      <c r="D802" s="20" t="s">
        <v>1264</v>
      </c>
      <c r="E802" s="20"/>
      <c r="F802" s="411">
        <f>F803</f>
        <v>3.5</v>
      </c>
    </row>
    <row r="803" spans="1:8" ht="31.5" x14ac:dyDescent="0.25">
      <c r="A803" s="25" t="s">
        <v>146</v>
      </c>
      <c r="B803" s="20" t="s">
        <v>314</v>
      </c>
      <c r="C803" s="20" t="s">
        <v>133</v>
      </c>
      <c r="D803" s="20" t="s">
        <v>1264</v>
      </c>
      <c r="E803" s="20" t="s">
        <v>147</v>
      </c>
      <c r="F803" s="411">
        <f>F804</f>
        <v>3.5</v>
      </c>
    </row>
    <row r="804" spans="1:8" ht="31.5" customHeight="1" x14ac:dyDescent="0.25">
      <c r="A804" s="25" t="s">
        <v>148</v>
      </c>
      <c r="B804" s="20" t="s">
        <v>314</v>
      </c>
      <c r="C804" s="20" t="s">
        <v>133</v>
      </c>
      <c r="D804" s="20" t="s">
        <v>1264</v>
      </c>
      <c r="E804" s="20" t="s">
        <v>149</v>
      </c>
      <c r="F804" s="411">
        <f>'Пр.6 ведом.20'!G382</f>
        <v>3.5</v>
      </c>
    </row>
    <row r="805" spans="1:8" ht="18.75" customHeight="1" x14ac:dyDescent="0.25">
      <c r="A805" s="25" t="s">
        <v>344</v>
      </c>
      <c r="B805" s="20" t="s">
        <v>314</v>
      </c>
      <c r="C805" s="20" t="s">
        <v>133</v>
      </c>
      <c r="D805" s="20" t="s">
        <v>1265</v>
      </c>
      <c r="E805" s="20"/>
      <c r="F805" s="411">
        <f>F806</f>
        <v>65.2</v>
      </c>
    </row>
    <row r="806" spans="1:8" ht="31.5" x14ac:dyDescent="0.25">
      <c r="A806" s="25" t="s">
        <v>146</v>
      </c>
      <c r="B806" s="20" t="s">
        <v>314</v>
      </c>
      <c r="C806" s="20" t="s">
        <v>133</v>
      </c>
      <c r="D806" s="20" t="s">
        <v>1265</v>
      </c>
      <c r="E806" s="20" t="s">
        <v>147</v>
      </c>
      <c r="F806" s="411">
        <f t="shared" ref="F806" si="103">F807</f>
        <v>65.2</v>
      </c>
    </row>
    <row r="807" spans="1:8" ht="31.5" x14ac:dyDescent="0.25">
      <c r="A807" s="25" t="s">
        <v>148</v>
      </c>
      <c r="B807" s="20" t="s">
        <v>314</v>
      </c>
      <c r="C807" s="20" t="s">
        <v>133</v>
      </c>
      <c r="D807" s="20" t="s">
        <v>1265</v>
      </c>
      <c r="E807" s="38">
        <v>240</v>
      </c>
      <c r="F807" s="411">
        <f>'Пр.6 ведом.20'!G385</f>
        <v>65.2</v>
      </c>
    </row>
    <row r="808" spans="1:8" ht="47.25" x14ac:dyDescent="0.25">
      <c r="A808" s="280" t="s">
        <v>973</v>
      </c>
      <c r="B808" s="24" t="s">
        <v>314</v>
      </c>
      <c r="C808" s="24" t="s">
        <v>133</v>
      </c>
      <c r="D808" s="24" t="s">
        <v>1266</v>
      </c>
      <c r="E808" s="24"/>
      <c r="F808" s="417">
        <f>F809+F812</f>
        <v>1596.01</v>
      </c>
    </row>
    <row r="809" spans="1:8" ht="31.5" customHeight="1" x14ac:dyDescent="0.25">
      <c r="A809" s="25" t="s">
        <v>346</v>
      </c>
      <c r="B809" s="20" t="s">
        <v>314</v>
      </c>
      <c r="C809" s="20" t="s">
        <v>133</v>
      </c>
      <c r="D809" s="20" t="s">
        <v>1267</v>
      </c>
      <c r="E809" s="20"/>
      <c r="F809" s="412">
        <f t="shared" ref="F809" si="104">F810</f>
        <v>319.7</v>
      </c>
    </row>
    <row r="810" spans="1:8" ht="47.25" customHeight="1" x14ac:dyDescent="0.25">
      <c r="A810" s="25" t="s">
        <v>142</v>
      </c>
      <c r="B810" s="20" t="s">
        <v>314</v>
      </c>
      <c r="C810" s="20" t="s">
        <v>133</v>
      </c>
      <c r="D810" s="20" t="s">
        <v>1267</v>
      </c>
      <c r="E810" s="20" t="s">
        <v>143</v>
      </c>
      <c r="F810" s="412">
        <f>F811</f>
        <v>319.7</v>
      </c>
    </row>
    <row r="811" spans="1:8" ht="15.75" x14ac:dyDescent="0.25">
      <c r="A811" s="25" t="s">
        <v>223</v>
      </c>
      <c r="B811" s="20" t="s">
        <v>314</v>
      </c>
      <c r="C811" s="20" t="s">
        <v>133</v>
      </c>
      <c r="D811" s="20" t="s">
        <v>1267</v>
      </c>
      <c r="E811" s="20" t="s">
        <v>224</v>
      </c>
      <c r="F811" s="411">
        <f>'Пр.6 ведом.20'!G389</f>
        <v>319.7</v>
      </c>
    </row>
    <row r="812" spans="1:8" ht="94.5" x14ac:dyDescent="0.25">
      <c r="A812" s="31" t="s">
        <v>308</v>
      </c>
      <c r="B812" s="20" t="s">
        <v>314</v>
      </c>
      <c r="C812" s="20" t="s">
        <v>133</v>
      </c>
      <c r="D812" s="20" t="s">
        <v>1268</v>
      </c>
      <c r="E812" s="20"/>
      <c r="F812" s="411">
        <f>F813</f>
        <v>1276.31</v>
      </c>
    </row>
    <row r="813" spans="1:8" ht="78.75" x14ac:dyDescent="0.25">
      <c r="A813" s="25" t="s">
        <v>142</v>
      </c>
      <c r="B813" s="20" t="s">
        <v>314</v>
      </c>
      <c r="C813" s="20" t="s">
        <v>133</v>
      </c>
      <c r="D813" s="20" t="s">
        <v>1268</v>
      </c>
      <c r="E813" s="20" t="s">
        <v>143</v>
      </c>
      <c r="F813" s="412">
        <f t="shared" ref="F813" si="105">F814</f>
        <v>1276.31</v>
      </c>
    </row>
    <row r="814" spans="1:8" ht="15.75" x14ac:dyDescent="0.25">
      <c r="A814" s="25" t="s">
        <v>223</v>
      </c>
      <c r="B814" s="20" t="s">
        <v>314</v>
      </c>
      <c r="C814" s="20" t="s">
        <v>133</v>
      </c>
      <c r="D814" s="20" t="s">
        <v>1268</v>
      </c>
      <c r="E814" s="20" t="s">
        <v>224</v>
      </c>
      <c r="F814" s="412">
        <f>'Пр.6 ведом.20'!G392</f>
        <v>1276.31</v>
      </c>
    </row>
    <row r="815" spans="1:8" ht="63" x14ac:dyDescent="0.25">
      <c r="A815" s="34" t="s">
        <v>804</v>
      </c>
      <c r="B815" s="24" t="s">
        <v>314</v>
      </c>
      <c r="C815" s="24" t="s">
        <v>133</v>
      </c>
      <c r="D815" s="24" t="s">
        <v>339</v>
      </c>
      <c r="E815" s="24"/>
      <c r="F815" s="417">
        <f>F816</f>
        <v>100</v>
      </c>
    </row>
    <row r="816" spans="1:8" ht="63" x14ac:dyDescent="0.25">
      <c r="A816" s="34" t="s">
        <v>1198</v>
      </c>
      <c r="B816" s="24" t="s">
        <v>314</v>
      </c>
      <c r="C816" s="24" t="s">
        <v>133</v>
      </c>
      <c r="D816" s="24" t="s">
        <v>1030</v>
      </c>
      <c r="E816" s="24"/>
      <c r="F816" s="305">
        <f>F817</f>
        <v>100</v>
      </c>
      <c r="H816" s="22"/>
    </row>
    <row r="817" spans="1:8" ht="47.25" x14ac:dyDescent="0.25">
      <c r="A817" s="31" t="s">
        <v>1283</v>
      </c>
      <c r="B817" s="20" t="s">
        <v>314</v>
      </c>
      <c r="C817" s="20" t="s">
        <v>133</v>
      </c>
      <c r="D817" s="20" t="s">
        <v>1200</v>
      </c>
      <c r="E817" s="20"/>
      <c r="F817" s="411">
        <f>F818</f>
        <v>100</v>
      </c>
    </row>
    <row r="818" spans="1:8" ht="31.5" x14ac:dyDescent="0.25">
      <c r="A818" s="25" t="s">
        <v>146</v>
      </c>
      <c r="B818" s="20" t="s">
        <v>314</v>
      </c>
      <c r="C818" s="20" t="s">
        <v>133</v>
      </c>
      <c r="D818" s="20" t="s">
        <v>1200</v>
      </c>
      <c r="E818" s="20" t="s">
        <v>147</v>
      </c>
      <c r="F818" s="411">
        <f>F819</f>
        <v>100</v>
      </c>
    </row>
    <row r="819" spans="1:8" ht="31.5" x14ac:dyDescent="0.25">
      <c r="A819" s="25" t="s">
        <v>148</v>
      </c>
      <c r="B819" s="20" t="s">
        <v>314</v>
      </c>
      <c r="C819" s="20" t="s">
        <v>133</v>
      </c>
      <c r="D819" s="20" t="s">
        <v>1200</v>
      </c>
      <c r="E819" s="20" t="s">
        <v>149</v>
      </c>
      <c r="F819" s="411">
        <f>'Пр.6 ведом.20'!G397</f>
        <v>100</v>
      </c>
    </row>
    <row r="820" spans="1:8" ht="63" x14ac:dyDescent="0.25">
      <c r="A820" s="41" t="s">
        <v>1185</v>
      </c>
      <c r="B820" s="24" t="s">
        <v>314</v>
      </c>
      <c r="C820" s="24" t="s">
        <v>133</v>
      </c>
      <c r="D820" s="24" t="s">
        <v>727</v>
      </c>
      <c r="E820" s="285"/>
      <c r="F820" s="305">
        <f t="shared" ref="F820" si="106">F821</f>
        <v>793.2</v>
      </c>
    </row>
    <row r="821" spans="1:8" ht="47.25" x14ac:dyDescent="0.25">
      <c r="A821" s="41" t="s">
        <v>951</v>
      </c>
      <c r="B821" s="24" t="s">
        <v>314</v>
      </c>
      <c r="C821" s="24" t="s">
        <v>133</v>
      </c>
      <c r="D821" s="24" t="s">
        <v>949</v>
      </c>
      <c r="E821" s="285"/>
      <c r="F821" s="305">
        <f>F822</f>
        <v>793.2</v>
      </c>
      <c r="G821" s="199"/>
      <c r="H821" s="109"/>
    </row>
    <row r="822" spans="1:8" ht="47.25" x14ac:dyDescent="0.25">
      <c r="A822" s="101" t="s">
        <v>1194</v>
      </c>
      <c r="B822" s="20" t="s">
        <v>314</v>
      </c>
      <c r="C822" s="20" t="s">
        <v>133</v>
      </c>
      <c r="D822" s="20" t="s">
        <v>950</v>
      </c>
      <c r="E822" s="32"/>
      <c r="F822" s="412">
        <f>F823</f>
        <v>793.2</v>
      </c>
    </row>
    <row r="823" spans="1:8" ht="31.5" x14ac:dyDescent="0.25">
      <c r="A823" s="25" t="s">
        <v>146</v>
      </c>
      <c r="B823" s="20" t="s">
        <v>314</v>
      </c>
      <c r="C823" s="20" t="s">
        <v>133</v>
      </c>
      <c r="D823" s="20" t="s">
        <v>950</v>
      </c>
      <c r="E823" s="32" t="s">
        <v>147</v>
      </c>
      <c r="F823" s="411">
        <f>F824</f>
        <v>793.2</v>
      </c>
    </row>
    <row r="824" spans="1:8" ht="31.5" x14ac:dyDescent="0.25">
      <c r="A824" s="25" t="s">
        <v>148</v>
      </c>
      <c r="B824" s="20" t="s">
        <v>314</v>
      </c>
      <c r="C824" s="20" t="s">
        <v>133</v>
      </c>
      <c r="D824" s="20" t="s">
        <v>950</v>
      </c>
      <c r="E824" s="32" t="s">
        <v>149</v>
      </c>
      <c r="F824" s="411">
        <f>'Пр.6 ведом.20'!G402</f>
        <v>793.2</v>
      </c>
    </row>
    <row r="825" spans="1:8" s="229" customFormat="1" ht="31.5" x14ac:dyDescent="0.25">
      <c r="A825" s="23" t="s">
        <v>348</v>
      </c>
      <c r="B825" s="24" t="s">
        <v>314</v>
      </c>
      <c r="C825" s="24" t="s">
        <v>165</v>
      </c>
      <c r="D825" s="24"/>
      <c r="E825" s="32"/>
      <c r="F825" s="305">
        <f>F826+F836+F848</f>
        <v>17339</v>
      </c>
    </row>
    <row r="826" spans="1:8" s="229" customFormat="1" ht="31.5" x14ac:dyDescent="0.25">
      <c r="A826" s="23" t="s">
        <v>992</v>
      </c>
      <c r="B826" s="24" t="s">
        <v>314</v>
      </c>
      <c r="C826" s="24" t="s">
        <v>165</v>
      </c>
      <c r="D826" s="24" t="s">
        <v>906</v>
      </c>
      <c r="E826" s="32"/>
      <c r="F826" s="305">
        <f>F827</f>
        <v>6870</v>
      </c>
    </row>
    <row r="827" spans="1:8" s="229" customFormat="1" ht="15.75" x14ac:dyDescent="0.25">
      <c r="A827" s="23" t="s">
        <v>993</v>
      </c>
      <c r="B827" s="24" t="s">
        <v>314</v>
      </c>
      <c r="C827" s="24" t="s">
        <v>165</v>
      </c>
      <c r="D827" s="24" t="s">
        <v>907</v>
      </c>
      <c r="E827" s="32"/>
      <c r="F827" s="305">
        <f>F828+F833</f>
        <v>6870</v>
      </c>
    </row>
    <row r="828" spans="1:8" s="229" customFormat="1" ht="31.5" x14ac:dyDescent="0.25">
      <c r="A828" s="25" t="s">
        <v>969</v>
      </c>
      <c r="B828" s="20" t="s">
        <v>314</v>
      </c>
      <c r="C828" s="20" t="s">
        <v>165</v>
      </c>
      <c r="D828" s="20" t="s">
        <v>908</v>
      </c>
      <c r="E828" s="32"/>
      <c r="F828" s="411">
        <f>F829+F831</f>
        <v>6744</v>
      </c>
    </row>
    <row r="829" spans="1:8" s="229" customFormat="1" ht="78.75" x14ac:dyDescent="0.25">
      <c r="A829" s="25" t="s">
        <v>142</v>
      </c>
      <c r="B829" s="20" t="s">
        <v>314</v>
      </c>
      <c r="C829" s="20" t="s">
        <v>165</v>
      </c>
      <c r="D829" s="20" t="s">
        <v>908</v>
      </c>
      <c r="E829" s="32" t="s">
        <v>143</v>
      </c>
      <c r="F829" s="411">
        <f>F830</f>
        <v>6744</v>
      </c>
    </row>
    <row r="830" spans="1:8" ht="31.5" x14ac:dyDescent="0.25">
      <c r="A830" s="25" t="s">
        <v>144</v>
      </c>
      <c r="B830" s="20" t="s">
        <v>314</v>
      </c>
      <c r="C830" s="20" t="s">
        <v>165</v>
      </c>
      <c r="D830" s="20" t="s">
        <v>908</v>
      </c>
      <c r="E830" s="40" t="s">
        <v>145</v>
      </c>
      <c r="F830" s="411">
        <f>'Пр.6 ведом.20'!G408</f>
        <v>6744</v>
      </c>
    </row>
    <row r="831" spans="1:8" ht="31.5" x14ac:dyDescent="0.25">
      <c r="A831" s="25" t="s">
        <v>146</v>
      </c>
      <c r="B831" s="20" t="s">
        <v>314</v>
      </c>
      <c r="C831" s="20" t="s">
        <v>165</v>
      </c>
      <c r="D831" s="20" t="s">
        <v>908</v>
      </c>
      <c r="E831" s="40" t="s">
        <v>147</v>
      </c>
      <c r="F831" s="411">
        <f>F832</f>
        <v>0</v>
      </c>
    </row>
    <row r="832" spans="1:8" ht="31.5" x14ac:dyDescent="0.25">
      <c r="A832" s="25" t="s">
        <v>148</v>
      </c>
      <c r="B832" s="20" t="s">
        <v>314</v>
      </c>
      <c r="C832" s="20" t="s">
        <v>165</v>
      </c>
      <c r="D832" s="20" t="s">
        <v>908</v>
      </c>
      <c r="E832" s="40" t="s">
        <v>149</v>
      </c>
      <c r="F832" s="411">
        <f>'Пр.6 ведом.20'!G410</f>
        <v>0</v>
      </c>
    </row>
    <row r="833" spans="1:6" ht="47.25" x14ac:dyDescent="0.25">
      <c r="A833" s="25" t="s">
        <v>886</v>
      </c>
      <c r="B833" s="20" t="s">
        <v>314</v>
      </c>
      <c r="C833" s="20" t="s">
        <v>165</v>
      </c>
      <c r="D833" s="20" t="s">
        <v>910</v>
      </c>
      <c r="E833" s="40"/>
      <c r="F833" s="411">
        <f>F834</f>
        <v>126</v>
      </c>
    </row>
    <row r="834" spans="1:6" ht="78.75" x14ac:dyDescent="0.25">
      <c r="A834" s="25" t="s">
        <v>142</v>
      </c>
      <c r="B834" s="20" t="s">
        <v>314</v>
      </c>
      <c r="C834" s="20" t="s">
        <v>165</v>
      </c>
      <c r="D834" s="20" t="s">
        <v>910</v>
      </c>
      <c r="E834" s="40" t="s">
        <v>143</v>
      </c>
      <c r="F834" s="411">
        <f t="shared" ref="F834" si="107">F835</f>
        <v>126</v>
      </c>
    </row>
    <row r="835" spans="1:6" ht="31.5" x14ac:dyDescent="0.25">
      <c r="A835" s="25" t="s">
        <v>144</v>
      </c>
      <c r="B835" s="20" t="s">
        <v>314</v>
      </c>
      <c r="C835" s="20" t="s">
        <v>165</v>
      </c>
      <c r="D835" s="20" t="s">
        <v>910</v>
      </c>
      <c r="E835" s="40" t="s">
        <v>145</v>
      </c>
      <c r="F835" s="411">
        <f>'Пр.6 ведом.20'!G413</f>
        <v>126</v>
      </c>
    </row>
    <row r="836" spans="1:6" ht="15.75" x14ac:dyDescent="0.25">
      <c r="A836" s="23" t="s">
        <v>1003</v>
      </c>
      <c r="B836" s="24" t="s">
        <v>314</v>
      </c>
      <c r="C836" s="24" t="s">
        <v>165</v>
      </c>
      <c r="D836" s="24" t="s">
        <v>914</v>
      </c>
      <c r="E836" s="40"/>
      <c r="F836" s="305">
        <f t="shared" ref="F836" si="108">F837</f>
        <v>10209</v>
      </c>
    </row>
    <row r="837" spans="1:6" ht="31.5" x14ac:dyDescent="0.25">
      <c r="A837" s="23" t="s">
        <v>1006</v>
      </c>
      <c r="B837" s="24" t="s">
        <v>314</v>
      </c>
      <c r="C837" s="24" t="s">
        <v>165</v>
      </c>
      <c r="D837" s="24" t="s">
        <v>989</v>
      </c>
      <c r="E837" s="40"/>
      <c r="F837" s="305">
        <f>F838+F845</f>
        <v>10209</v>
      </c>
    </row>
    <row r="838" spans="1:6" ht="31.5" x14ac:dyDescent="0.25">
      <c r="A838" s="25" t="s">
        <v>976</v>
      </c>
      <c r="B838" s="20" t="s">
        <v>314</v>
      </c>
      <c r="C838" s="20" t="s">
        <v>165</v>
      </c>
      <c r="D838" s="20" t="s">
        <v>990</v>
      </c>
      <c r="E838" s="40"/>
      <c r="F838" s="411">
        <f>F839+F841+F843</f>
        <v>9999</v>
      </c>
    </row>
    <row r="839" spans="1:6" ht="78.75" x14ac:dyDescent="0.25">
      <c r="A839" s="25" t="s">
        <v>142</v>
      </c>
      <c r="B839" s="20" t="s">
        <v>314</v>
      </c>
      <c r="C839" s="20" t="s">
        <v>165</v>
      </c>
      <c r="D839" s="20" t="s">
        <v>990</v>
      </c>
      <c r="E839" s="40" t="s">
        <v>143</v>
      </c>
      <c r="F839" s="411">
        <f t="shared" ref="F839" si="109">F840</f>
        <v>8048</v>
      </c>
    </row>
    <row r="840" spans="1:6" ht="21.75" customHeight="1" x14ac:dyDescent="0.25">
      <c r="A840" s="25" t="s">
        <v>357</v>
      </c>
      <c r="B840" s="20" t="s">
        <v>314</v>
      </c>
      <c r="C840" s="20" t="s">
        <v>165</v>
      </c>
      <c r="D840" s="20" t="s">
        <v>990</v>
      </c>
      <c r="E840" s="40" t="s">
        <v>224</v>
      </c>
      <c r="F840" s="411">
        <f>'Пр.6 ведом.20'!G418</f>
        <v>8048</v>
      </c>
    </row>
    <row r="841" spans="1:6" ht="31.5" x14ac:dyDescent="0.25">
      <c r="A841" s="25" t="s">
        <v>146</v>
      </c>
      <c r="B841" s="20" t="s">
        <v>314</v>
      </c>
      <c r="C841" s="20" t="s">
        <v>165</v>
      </c>
      <c r="D841" s="20" t="s">
        <v>990</v>
      </c>
      <c r="E841" s="40" t="s">
        <v>147</v>
      </c>
      <c r="F841" s="411">
        <f t="shared" ref="F841:F843" si="110">F842</f>
        <v>1937</v>
      </c>
    </row>
    <row r="842" spans="1:6" ht="31.5" x14ac:dyDescent="0.25">
      <c r="A842" s="25" t="s">
        <v>148</v>
      </c>
      <c r="B842" s="20" t="s">
        <v>314</v>
      </c>
      <c r="C842" s="20" t="s">
        <v>165</v>
      </c>
      <c r="D842" s="20" t="s">
        <v>990</v>
      </c>
      <c r="E842" s="40" t="s">
        <v>149</v>
      </c>
      <c r="F842" s="411">
        <f>'Пр.6 ведом.20'!G420</f>
        <v>1937</v>
      </c>
    </row>
    <row r="843" spans="1:6" ht="15.75" x14ac:dyDescent="0.25">
      <c r="A843" s="25" t="s">
        <v>150</v>
      </c>
      <c r="B843" s="20" t="s">
        <v>314</v>
      </c>
      <c r="C843" s="20" t="s">
        <v>165</v>
      </c>
      <c r="D843" s="20" t="s">
        <v>990</v>
      </c>
      <c r="E843" s="40" t="s">
        <v>160</v>
      </c>
      <c r="F843" s="411">
        <f t="shared" si="110"/>
        <v>14</v>
      </c>
    </row>
    <row r="844" spans="1:6" ht="15.75" x14ac:dyDescent="0.25">
      <c r="A844" s="25" t="s">
        <v>583</v>
      </c>
      <c r="B844" s="20" t="s">
        <v>314</v>
      </c>
      <c r="C844" s="20" t="s">
        <v>165</v>
      </c>
      <c r="D844" s="20" t="s">
        <v>990</v>
      </c>
      <c r="E844" s="40" t="s">
        <v>153</v>
      </c>
      <c r="F844" s="411">
        <f>'Пр.6 ведом.20'!G422</f>
        <v>14</v>
      </c>
    </row>
    <row r="845" spans="1:6" ht="47.25" x14ac:dyDescent="0.25">
      <c r="A845" s="25" t="s">
        <v>886</v>
      </c>
      <c r="B845" s="20" t="s">
        <v>314</v>
      </c>
      <c r="C845" s="20" t="s">
        <v>165</v>
      </c>
      <c r="D845" s="20" t="s">
        <v>991</v>
      </c>
      <c r="E845" s="40"/>
      <c r="F845" s="411">
        <f>F846</f>
        <v>210</v>
      </c>
    </row>
    <row r="846" spans="1:6" ht="78.75" x14ac:dyDescent="0.25">
      <c r="A846" s="25" t="s">
        <v>142</v>
      </c>
      <c r="B846" s="20" t="s">
        <v>314</v>
      </c>
      <c r="C846" s="20" t="s">
        <v>165</v>
      </c>
      <c r="D846" s="20" t="s">
        <v>991</v>
      </c>
      <c r="E846" s="40" t="s">
        <v>143</v>
      </c>
      <c r="F846" s="411">
        <f t="shared" ref="F846" si="111">F847</f>
        <v>210</v>
      </c>
    </row>
    <row r="847" spans="1:6" ht="31.5" x14ac:dyDescent="0.25">
      <c r="A847" s="25" t="s">
        <v>144</v>
      </c>
      <c r="B847" s="20" t="s">
        <v>314</v>
      </c>
      <c r="C847" s="20" t="s">
        <v>165</v>
      </c>
      <c r="D847" s="20" t="s">
        <v>991</v>
      </c>
      <c r="E847" s="40" t="s">
        <v>224</v>
      </c>
      <c r="F847" s="411">
        <f>'Пр.6 ведом.20'!G425</f>
        <v>210</v>
      </c>
    </row>
    <row r="848" spans="1:6" ht="47.25" x14ac:dyDescent="0.25">
      <c r="A848" s="23" t="s">
        <v>358</v>
      </c>
      <c r="B848" s="24" t="s">
        <v>314</v>
      </c>
      <c r="C848" s="24" t="s">
        <v>165</v>
      </c>
      <c r="D848" s="24" t="s">
        <v>359</v>
      </c>
      <c r="E848" s="40"/>
      <c r="F848" s="305">
        <f>F849</f>
        <v>260</v>
      </c>
    </row>
    <row r="849" spans="1:8" ht="47.25" x14ac:dyDescent="0.25">
      <c r="A849" s="23" t="s">
        <v>379</v>
      </c>
      <c r="B849" s="24" t="s">
        <v>314</v>
      </c>
      <c r="C849" s="24" t="s">
        <v>165</v>
      </c>
      <c r="D849" s="24" t="s">
        <v>380</v>
      </c>
      <c r="E849" s="40"/>
      <c r="F849" s="305">
        <f>F850</f>
        <v>260</v>
      </c>
    </row>
    <row r="850" spans="1:8" ht="31.5" x14ac:dyDescent="0.25">
      <c r="A850" s="23" t="s">
        <v>1152</v>
      </c>
      <c r="B850" s="24" t="s">
        <v>314</v>
      </c>
      <c r="C850" s="24" t="s">
        <v>165</v>
      </c>
      <c r="D850" s="24" t="s">
        <v>968</v>
      </c>
      <c r="E850" s="40"/>
      <c r="F850" s="305">
        <f>F851</f>
        <v>260</v>
      </c>
    </row>
    <row r="851" spans="1:8" ht="31.5" x14ac:dyDescent="0.25">
      <c r="A851" s="25" t="s">
        <v>1151</v>
      </c>
      <c r="B851" s="20" t="s">
        <v>314</v>
      </c>
      <c r="C851" s="20" t="s">
        <v>165</v>
      </c>
      <c r="D851" s="20" t="s">
        <v>1234</v>
      </c>
      <c r="E851" s="40"/>
      <c r="F851" s="411">
        <f t="shared" ref="F851" si="112">F852</f>
        <v>260</v>
      </c>
    </row>
    <row r="852" spans="1:8" ht="31.5" x14ac:dyDescent="0.25">
      <c r="A852" s="25" t="s">
        <v>146</v>
      </c>
      <c r="B852" s="20" t="s">
        <v>314</v>
      </c>
      <c r="C852" s="20" t="s">
        <v>165</v>
      </c>
      <c r="D852" s="20" t="s">
        <v>1234</v>
      </c>
      <c r="E852" s="40"/>
      <c r="F852" s="411">
        <f>F853</f>
        <v>260</v>
      </c>
    </row>
    <row r="853" spans="1:8" ht="31.5" x14ac:dyDescent="0.25">
      <c r="A853" s="25" t="s">
        <v>148</v>
      </c>
      <c r="B853" s="20" t="s">
        <v>314</v>
      </c>
      <c r="C853" s="20" t="s">
        <v>165</v>
      </c>
      <c r="D853" s="20" t="s">
        <v>1234</v>
      </c>
      <c r="E853" s="40"/>
      <c r="F853" s="411">
        <f>'Пр.6 ведом.20'!G431</f>
        <v>260</v>
      </c>
    </row>
    <row r="854" spans="1:8" s="229" customFormat="1" ht="15.75" x14ac:dyDescent="0.25">
      <c r="A854" s="23" t="s">
        <v>258</v>
      </c>
      <c r="B854" s="24" t="s">
        <v>259</v>
      </c>
      <c r="C854" s="24"/>
      <c r="D854" s="24"/>
      <c r="E854" s="24"/>
      <c r="F854" s="305">
        <f>F855+F861+F898</f>
        <v>16554.8</v>
      </c>
      <c r="H854" s="22"/>
    </row>
    <row r="855" spans="1:8" s="229" customFormat="1" ht="15.75" x14ac:dyDescent="0.25">
      <c r="A855" s="23" t="s">
        <v>260</v>
      </c>
      <c r="B855" s="24" t="s">
        <v>259</v>
      </c>
      <c r="C855" s="24" t="s">
        <v>133</v>
      </c>
      <c r="D855" s="24"/>
      <c r="E855" s="24"/>
      <c r="F855" s="305">
        <f>F856</f>
        <v>9456</v>
      </c>
    </row>
    <row r="856" spans="1:8" s="229" customFormat="1" ht="15.75" x14ac:dyDescent="0.25">
      <c r="A856" s="23" t="s">
        <v>156</v>
      </c>
      <c r="B856" s="24" t="s">
        <v>259</v>
      </c>
      <c r="C856" s="24" t="s">
        <v>133</v>
      </c>
      <c r="D856" s="24" t="s">
        <v>914</v>
      </c>
      <c r="E856" s="24"/>
      <c r="F856" s="305">
        <f>F857</f>
        <v>9456</v>
      </c>
    </row>
    <row r="857" spans="1:8" s="229" customFormat="1" ht="31.5" x14ac:dyDescent="0.25">
      <c r="A857" s="23" t="s">
        <v>918</v>
      </c>
      <c r="B857" s="24" t="s">
        <v>259</v>
      </c>
      <c r="C857" s="24" t="s">
        <v>133</v>
      </c>
      <c r="D857" s="24" t="s">
        <v>913</v>
      </c>
      <c r="E857" s="24"/>
      <c r="F857" s="305">
        <f>F858</f>
        <v>9456</v>
      </c>
    </row>
    <row r="858" spans="1:8" s="229" customFormat="1" ht="15.75" x14ac:dyDescent="0.25">
      <c r="A858" s="25" t="s">
        <v>261</v>
      </c>
      <c r="B858" s="20" t="s">
        <v>259</v>
      </c>
      <c r="C858" s="20" t="s">
        <v>133</v>
      </c>
      <c r="D858" s="20" t="s">
        <v>930</v>
      </c>
      <c r="E858" s="20"/>
      <c r="F858" s="411">
        <f>F859</f>
        <v>9456</v>
      </c>
    </row>
    <row r="859" spans="1:8" s="229" customFormat="1" ht="18" customHeight="1" x14ac:dyDescent="0.25">
      <c r="A859" s="25" t="s">
        <v>263</v>
      </c>
      <c r="B859" s="20" t="s">
        <v>259</v>
      </c>
      <c r="C859" s="20" t="s">
        <v>133</v>
      </c>
      <c r="D859" s="20" t="s">
        <v>930</v>
      </c>
      <c r="E859" s="20" t="s">
        <v>264</v>
      </c>
      <c r="F859" s="411">
        <f>F860</f>
        <v>9456</v>
      </c>
    </row>
    <row r="860" spans="1:8" s="229" customFormat="1" ht="31.5" x14ac:dyDescent="0.25">
      <c r="A860" s="25" t="s">
        <v>265</v>
      </c>
      <c r="B860" s="20" t="s">
        <v>259</v>
      </c>
      <c r="C860" s="20" t="s">
        <v>133</v>
      </c>
      <c r="D860" s="20" t="s">
        <v>930</v>
      </c>
      <c r="E860" s="20" t="s">
        <v>266</v>
      </c>
      <c r="F860" s="411">
        <f>'Пр.6 ведом.20'!G193</f>
        <v>9456</v>
      </c>
    </row>
    <row r="861" spans="1:8" ht="15.75" x14ac:dyDescent="0.25">
      <c r="A861" s="23" t="s">
        <v>267</v>
      </c>
      <c r="B861" s="24" t="s">
        <v>259</v>
      </c>
      <c r="C861" s="24" t="s">
        <v>230</v>
      </c>
      <c r="D861" s="24"/>
      <c r="E861" s="24"/>
      <c r="F861" s="305">
        <f>F866+F893+F862</f>
        <v>3390.4</v>
      </c>
    </row>
    <row r="862" spans="1:8" s="229" customFormat="1" ht="31.5" x14ac:dyDescent="0.25">
      <c r="A862" s="23" t="s">
        <v>934</v>
      </c>
      <c r="B862" s="24" t="s">
        <v>259</v>
      </c>
      <c r="C862" s="24" t="s">
        <v>230</v>
      </c>
      <c r="D862" s="24" t="s">
        <v>911</v>
      </c>
      <c r="E862" s="20"/>
      <c r="F862" s="416">
        <f>F863</f>
        <v>1431.2</v>
      </c>
    </row>
    <row r="863" spans="1:8" s="229" customFormat="1" ht="47.25" x14ac:dyDescent="0.25">
      <c r="A863" s="25" t="s">
        <v>1437</v>
      </c>
      <c r="B863" s="20" t="s">
        <v>259</v>
      </c>
      <c r="C863" s="20" t="s">
        <v>230</v>
      </c>
      <c r="D863" s="20" t="s">
        <v>1436</v>
      </c>
      <c r="E863" s="20"/>
      <c r="F863" s="415">
        <f>F864</f>
        <v>1431.2</v>
      </c>
    </row>
    <row r="864" spans="1:8" s="229" customFormat="1" ht="31.5" x14ac:dyDescent="0.25">
      <c r="A864" s="25" t="s">
        <v>146</v>
      </c>
      <c r="B864" s="20" t="s">
        <v>259</v>
      </c>
      <c r="C864" s="20" t="s">
        <v>230</v>
      </c>
      <c r="D864" s="20" t="s">
        <v>1436</v>
      </c>
      <c r="E864" s="20" t="s">
        <v>147</v>
      </c>
      <c r="F864" s="415">
        <f>F865</f>
        <v>1431.2</v>
      </c>
    </row>
    <row r="865" spans="1:6" s="229" customFormat="1" ht="31.5" x14ac:dyDescent="0.25">
      <c r="A865" s="25" t="s">
        <v>148</v>
      </c>
      <c r="B865" s="20" t="s">
        <v>259</v>
      </c>
      <c r="C865" s="20" t="s">
        <v>230</v>
      </c>
      <c r="D865" s="20" t="s">
        <v>1436</v>
      </c>
      <c r="E865" s="20" t="s">
        <v>149</v>
      </c>
      <c r="F865" s="415">
        <f>'Пр.6 ведом.20'!G528</f>
        <v>1431.2</v>
      </c>
    </row>
    <row r="866" spans="1:6" ht="47.25" x14ac:dyDescent="0.25">
      <c r="A866" s="23" t="s">
        <v>358</v>
      </c>
      <c r="B866" s="24" t="s">
        <v>259</v>
      </c>
      <c r="C866" s="24" t="s">
        <v>230</v>
      </c>
      <c r="D866" s="24" t="s">
        <v>359</v>
      </c>
      <c r="E866" s="24"/>
      <c r="F866" s="305">
        <f>F867+F872+F877+F888</f>
        <v>1949.2</v>
      </c>
    </row>
    <row r="867" spans="1:6" ht="31.5" x14ac:dyDescent="0.25">
      <c r="A867" s="23" t="s">
        <v>367</v>
      </c>
      <c r="B867" s="24" t="s">
        <v>259</v>
      </c>
      <c r="C867" s="24" t="s">
        <v>230</v>
      </c>
      <c r="D867" s="24" t="s">
        <v>368</v>
      </c>
      <c r="E867" s="24"/>
      <c r="F867" s="305">
        <f t="shared" ref="F867" si="113">F868</f>
        <v>169.20000000000002</v>
      </c>
    </row>
    <row r="868" spans="1:6" ht="30" customHeight="1" x14ac:dyDescent="0.25">
      <c r="A868" s="23" t="s">
        <v>978</v>
      </c>
      <c r="B868" s="24" t="s">
        <v>259</v>
      </c>
      <c r="C868" s="24" t="s">
        <v>230</v>
      </c>
      <c r="D868" s="24" t="s">
        <v>977</v>
      </c>
      <c r="E868" s="24"/>
      <c r="F868" s="305">
        <f>F869</f>
        <v>169.20000000000002</v>
      </c>
    </row>
    <row r="869" spans="1:6" ht="31.5" x14ac:dyDescent="0.25">
      <c r="A869" s="25" t="s">
        <v>870</v>
      </c>
      <c r="B869" s="20" t="s">
        <v>259</v>
      </c>
      <c r="C869" s="20" t="s">
        <v>230</v>
      </c>
      <c r="D869" s="20" t="s">
        <v>979</v>
      </c>
      <c r="E869" s="20"/>
      <c r="F869" s="411">
        <f>F870</f>
        <v>169.20000000000002</v>
      </c>
    </row>
    <row r="870" spans="1:6" ht="19.5" customHeight="1" x14ac:dyDescent="0.25">
      <c r="A870" s="25" t="s">
        <v>263</v>
      </c>
      <c r="B870" s="20" t="s">
        <v>259</v>
      </c>
      <c r="C870" s="20" t="s">
        <v>230</v>
      </c>
      <c r="D870" s="20" t="s">
        <v>979</v>
      </c>
      <c r="E870" s="20" t="s">
        <v>264</v>
      </c>
      <c r="F870" s="411">
        <f t="shared" ref="F870:F872" si="114">F871</f>
        <v>169.20000000000002</v>
      </c>
    </row>
    <row r="871" spans="1:6" ht="31.5" x14ac:dyDescent="0.25">
      <c r="A871" s="25" t="s">
        <v>265</v>
      </c>
      <c r="B871" s="20" t="s">
        <v>259</v>
      </c>
      <c r="C871" s="20" t="s">
        <v>230</v>
      </c>
      <c r="D871" s="20" t="s">
        <v>979</v>
      </c>
      <c r="E871" s="20" t="s">
        <v>266</v>
      </c>
      <c r="F871" s="411">
        <f>'Пр.6 ведом.20'!G439</f>
        <v>169.20000000000002</v>
      </c>
    </row>
    <row r="872" spans="1:6" ht="31.5" x14ac:dyDescent="0.25">
      <c r="A872" s="23" t="s">
        <v>370</v>
      </c>
      <c r="B872" s="19">
        <v>10</v>
      </c>
      <c r="C872" s="24" t="s">
        <v>230</v>
      </c>
      <c r="D872" s="24" t="s">
        <v>371</v>
      </c>
      <c r="E872" s="24"/>
      <c r="F872" s="305">
        <f t="shared" si="114"/>
        <v>420</v>
      </c>
    </row>
    <row r="873" spans="1:6" ht="31.5" x14ac:dyDescent="0.25">
      <c r="A873" s="23" t="s">
        <v>1153</v>
      </c>
      <c r="B873" s="19">
        <v>10</v>
      </c>
      <c r="C873" s="24" t="s">
        <v>230</v>
      </c>
      <c r="D873" s="24" t="s">
        <v>980</v>
      </c>
      <c r="E873" s="24"/>
      <c r="F873" s="305">
        <f>F874</f>
        <v>420</v>
      </c>
    </row>
    <row r="874" spans="1:6" ht="15.75" x14ac:dyDescent="0.25">
      <c r="A874" s="25" t="s">
        <v>1214</v>
      </c>
      <c r="B874" s="20" t="s">
        <v>259</v>
      </c>
      <c r="C874" s="20" t="s">
        <v>230</v>
      </c>
      <c r="D874" s="20" t="s">
        <v>981</v>
      </c>
      <c r="E874" s="20"/>
      <c r="F874" s="411">
        <f>F875</f>
        <v>420</v>
      </c>
    </row>
    <row r="875" spans="1:6" ht="18.75" customHeight="1" x14ac:dyDescent="0.25">
      <c r="A875" s="25" t="s">
        <v>263</v>
      </c>
      <c r="B875" s="20" t="s">
        <v>259</v>
      </c>
      <c r="C875" s="20" t="s">
        <v>230</v>
      </c>
      <c r="D875" s="20" t="s">
        <v>981</v>
      </c>
      <c r="E875" s="20" t="s">
        <v>264</v>
      </c>
      <c r="F875" s="411">
        <f>F876</f>
        <v>420</v>
      </c>
    </row>
    <row r="876" spans="1:6" ht="31.5" customHeight="1" x14ac:dyDescent="0.25">
      <c r="A876" s="25" t="s">
        <v>363</v>
      </c>
      <c r="B876" s="20" t="s">
        <v>259</v>
      </c>
      <c r="C876" s="20" t="s">
        <v>230</v>
      </c>
      <c r="D876" s="20" t="s">
        <v>981</v>
      </c>
      <c r="E876" s="20" t="s">
        <v>364</v>
      </c>
      <c r="F876" s="411">
        <f>'Пр.6 ведом.20'!G444</f>
        <v>420</v>
      </c>
    </row>
    <row r="877" spans="1:6" ht="19.5" customHeight="1" x14ac:dyDescent="0.25">
      <c r="A877" s="23" t="s">
        <v>373</v>
      </c>
      <c r="B877" s="19">
        <v>10</v>
      </c>
      <c r="C877" s="24" t="s">
        <v>230</v>
      </c>
      <c r="D877" s="24" t="s">
        <v>374</v>
      </c>
      <c r="E877" s="24"/>
      <c r="F877" s="305">
        <f>F878+F882</f>
        <v>1110</v>
      </c>
    </row>
    <row r="878" spans="1:6" ht="31.5" x14ac:dyDescent="0.25">
      <c r="A878" s="23" t="s">
        <v>1216</v>
      </c>
      <c r="B878" s="24" t="s">
        <v>259</v>
      </c>
      <c r="C878" s="24" t="s">
        <v>230</v>
      </c>
      <c r="D878" s="24" t="s">
        <v>983</v>
      </c>
      <c r="E878" s="24"/>
      <c r="F878" s="305">
        <f>F879</f>
        <v>630</v>
      </c>
    </row>
    <row r="879" spans="1:6" ht="49.5" customHeight="1" x14ac:dyDescent="0.25">
      <c r="A879" s="101" t="s">
        <v>1217</v>
      </c>
      <c r="B879" s="20" t="s">
        <v>259</v>
      </c>
      <c r="C879" s="20" t="s">
        <v>230</v>
      </c>
      <c r="D879" s="20" t="s">
        <v>984</v>
      </c>
      <c r="E879" s="20"/>
      <c r="F879" s="411">
        <f>F880</f>
        <v>630</v>
      </c>
    </row>
    <row r="880" spans="1:6" ht="20.25" customHeight="1" x14ac:dyDescent="0.25">
      <c r="A880" s="25" t="s">
        <v>263</v>
      </c>
      <c r="B880" s="20" t="s">
        <v>259</v>
      </c>
      <c r="C880" s="20" t="s">
        <v>230</v>
      </c>
      <c r="D880" s="20" t="s">
        <v>984</v>
      </c>
      <c r="E880" s="20" t="s">
        <v>264</v>
      </c>
      <c r="F880" s="411">
        <f t="shared" ref="F880" si="115">F881</f>
        <v>630</v>
      </c>
    </row>
    <row r="881" spans="1:6" ht="15.75" customHeight="1" x14ac:dyDescent="0.25">
      <c r="A881" s="25" t="s">
        <v>363</v>
      </c>
      <c r="B881" s="20" t="s">
        <v>259</v>
      </c>
      <c r="C881" s="20" t="s">
        <v>230</v>
      </c>
      <c r="D881" s="20" t="s">
        <v>984</v>
      </c>
      <c r="E881" s="20" t="s">
        <v>364</v>
      </c>
      <c r="F881" s="411">
        <f>'Пр.6 ведом.20'!G449</f>
        <v>630</v>
      </c>
    </row>
    <row r="882" spans="1:6" ht="34.5" customHeight="1" x14ac:dyDescent="0.25">
      <c r="A882" s="23" t="s">
        <v>982</v>
      </c>
      <c r="B882" s="19">
        <v>10</v>
      </c>
      <c r="C882" s="24" t="s">
        <v>230</v>
      </c>
      <c r="D882" s="24" t="s">
        <v>985</v>
      </c>
      <c r="E882" s="24"/>
      <c r="F882" s="305">
        <f>F883+F886</f>
        <v>480</v>
      </c>
    </row>
    <row r="883" spans="1:6" ht="31.5" x14ac:dyDescent="0.25">
      <c r="A883" s="25" t="s">
        <v>1154</v>
      </c>
      <c r="B883" s="20" t="s">
        <v>259</v>
      </c>
      <c r="C883" s="20" t="s">
        <v>230</v>
      </c>
      <c r="D883" s="20" t="s">
        <v>986</v>
      </c>
      <c r="E883" s="20"/>
      <c r="F883" s="411">
        <f t="shared" ref="F883:F884" si="116">F884</f>
        <v>270</v>
      </c>
    </row>
    <row r="884" spans="1:6" ht="31.5" x14ac:dyDescent="0.25">
      <c r="A884" s="25" t="s">
        <v>146</v>
      </c>
      <c r="B884" s="20" t="s">
        <v>259</v>
      </c>
      <c r="C884" s="20" t="s">
        <v>230</v>
      </c>
      <c r="D884" s="20" t="s">
        <v>986</v>
      </c>
      <c r="E884" s="20" t="s">
        <v>147</v>
      </c>
      <c r="F884" s="411">
        <f t="shared" si="116"/>
        <v>270</v>
      </c>
    </row>
    <row r="885" spans="1:6" ht="31.5" x14ac:dyDescent="0.25">
      <c r="A885" s="25" t="s">
        <v>148</v>
      </c>
      <c r="B885" s="20" t="s">
        <v>259</v>
      </c>
      <c r="C885" s="20" t="s">
        <v>230</v>
      </c>
      <c r="D885" s="20" t="s">
        <v>986</v>
      </c>
      <c r="E885" s="20" t="s">
        <v>149</v>
      </c>
      <c r="F885" s="411">
        <f>'Пр.6 ведом.20'!G453</f>
        <v>270</v>
      </c>
    </row>
    <row r="886" spans="1:6" s="229" customFormat="1" ht="31.5" x14ac:dyDescent="0.25">
      <c r="A886" s="25" t="s">
        <v>263</v>
      </c>
      <c r="B886" s="20" t="s">
        <v>259</v>
      </c>
      <c r="C886" s="20" t="s">
        <v>230</v>
      </c>
      <c r="D886" s="20" t="s">
        <v>986</v>
      </c>
      <c r="E886" s="20" t="s">
        <v>264</v>
      </c>
      <c r="F886" s="415">
        <f>F887</f>
        <v>210</v>
      </c>
    </row>
    <row r="887" spans="1:6" s="229" customFormat="1" ht="31.5" x14ac:dyDescent="0.25">
      <c r="A887" s="25" t="s">
        <v>363</v>
      </c>
      <c r="B887" s="20" t="s">
        <v>259</v>
      </c>
      <c r="C887" s="20" t="s">
        <v>230</v>
      </c>
      <c r="D887" s="20" t="s">
        <v>986</v>
      </c>
      <c r="E887" s="20" t="s">
        <v>364</v>
      </c>
      <c r="F887" s="415">
        <f>'Пр.6 ведом.20'!G455</f>
        <v>210</v>
      </c>
    </row>
    <row r="888" spans="1:6" ht="31.5" customHeight="1" x14ac:dyDescent="0.25">
      <c r="A888" s="23" t="s">
        <v>376</v>
      </c>
      <c r="B888" s="24" t="s">
        <v>259</v>
      </c>
      <c r="C888" s="24" t="s">
        <v>230</v>
      </c>
      <c r="D888" s="24" t="s">
        <v>377</v>
      </c>
      <c r="E888" s="24"/>
      <c r="F888" s="305">
        <f t="shared" ref="F888:F889" si="117">F889</f>
        <v>250</v>
      </c>
    </row>
    <row r="889" spans="1:6" ht="31.5" customHeight="1" x14ac:dyDescent="0.25">
      <c r="A889" s="23" t="s">
        <v>1219</v>
      </c>
      <c r="B889" s="24" t="s">
        <v>259</v>
      </c>
      <c r="C889" s="24" t="s">
        <v>230</v>
      </c>
      <c r="D889" s="24" t="s">
        <v>988</v>
      </c>
      <c r="E889" s="24"/>
      <c r="F889" s="305">
        <f t="shared" si="117"/>
        <v>250</v>
      </c>
    </row>
    <row r="890" spans="1:6" ht="47.25" customHeight="1" x14ac:dyDescent="0.25">
      <c r="A890" s="25" t="s">
        <v>1218</v>
      </c>
      <c r="B890" s="20" t="s">
        <v>259</v>
      </c>
      <c r="C890" s="20" t="s">
        <v>230</v>
      </c>
      <c r="D890" s="20" t="s">
        <v>987</v>
      </c>
      <c r="E890" s="20"/>
      <c r="F890" s="411">
        <f>F891</f>
        <v>250</v>
      </c>
    </row>
    <row r="891" spans="1:6" ht="19.5" customHeight="1" x14ac:dyDescent="0.25">
      <c r="A891" s="25" t="s">
        <v>263</v>
      </c>
      <c r="B891" s="20" t="s">
        <v>259</v>
      </c>
      <c r="C891" s="20" t="s">
        <v>230</v>
      </c>
      <c r="D891" s="20" t="s">
        <v>987</v>
      </c>
      <c r="E891" s="20" t="s">
        <v>264</v>
      </c>
      <c r="F891" s="411">
        <f t="shared" ref="F891" si="118">F892</f>
        <v>250</v>
      </c>
    </row>
    <row r="892" spans="1:6" ht="31.5" x14ac:dyDescent="0.25">
      <c r="A892" s="25" t="s">
        <v>363</v>
      </c>
      <c r="B892" s="20" t="s">
        <v>259</v>
      </c>
      <c r="C892" s="20" t="s">
        <v>230</v>
      </c>
      <c r="D892" s="20" t="s">
        <v>987</v>
      </c>
      <c r="E892" s="20" t="s">
        <v>364</v>
      </c>
      <c r="F892" s="411">
        <f>'Пр.6 ведом.20'!G460</f>
        <v>250</v>
      </c>
    </row>
    <row r="893" spans="1:6" ht="78" customHeight="1" x14ac:dyDescent="0.25">
      <c r="A893" s="23" t="s">
        <v>268</v>
      </c>
      <c r="B893" s="24" t="s">
        <v>259</v>
      </c>
      <c r="C893" s="24" t="s">
        <v>230</v>
      </c>
      <c r="D893" s="24" t="s">
        <v>269</v>
      </c>
      <c r="E893" s="24"/>
      <c r="F893" s="305">
        <f t="shared" ref="F893:F895" si="119">F894</f>
        <v>10</v>
      </c>
    </row>
    <row r="894" spans="1:6" ht="47.25" x14ac:dyDescent="0.25">
      <c r="A894" s="23" t="s">
        <v>933</v>
      </c>
      <c r="B894" s="24" t="s">
        <v>259</v>
      </c>
      <c r="C894" s="24" t="s">
        <v>230</v>
      </c>
      <c r="D894" s="24" t="s">
        <v>931</v>
      </c>
      <c r="E894" s="24"/>
      <c r="F894" s="305">
        <f t="shared" si="119"/>
        <v>10</v>
      </c>
    </row>
    <row r="895" spans="1:6" ht="31.5" x14ac:dyDescent="0.25">
      <c r="A895" s="25" t="s">
        <v>932</v>
      </c>
      <c r="B895" s="20" t="s">
        <v>259</v>
      </c>
      <c r="C895" s="20" t="s">
        <v>230</v>
      </c>
      <c r="D895" s="20" t="s">
        <v>1155</v>
      </c>
      <c r="E895" s="20"/>
      <c r="F895" s="411">
        <f t="shared" si="119"/>
        <v>10</v>
      </c>
    </row>
    <row r="896" spans="1:6" ht="19.5" customHeight="1" x14ac:dyDescent="0.25">
      <c r="A896" s="25" t="s">
        <v>263</v>
      </c>
      <c r="B896" s="20" t="s">
        <v>259</v>
      </c>
      <c r="C896" s="20" t="s">
        <v>230</v>
      </c>
      <c r="D896" s="20" t="s">
        <v>1155</v>
      </c>
      <c r="E896" s="20" t="s">
        <v>264</v>
      </c>
      <c r="F896" s="411">
        <v>10</v>
      </c>
    </row>
    <row r="897" spans="1:10" ht="31.5" x14ac:dyDescent="0.25">
      <c r="A897" s="25" t="s">
        <v>265</v>
      </c>
      <c r="B897" s="20" t="s">
        <v>259</v>
      </c>
      <c r="C897" s="20" t="s">
        <v>230</v>
      </c>
      <c r="D897" s="20" t="s">
        <v>1155</v>
      </c>
      <c r="E897" s="20" t="s">
        <v>266</v>
      </c>
      <c r="F897" s="411">
        <f>'Пр.6 ведом.20'!G199</f>
        <v>10</v>
      </c>
    </row>
    <row r="898" spans="1:10" s="229" customFormat="1" ht="15.75" x14ac:dyDescent="0.25">
      <c r="A898" s="23" t="s">
        <v>273</v>
      </c>
      <c r="B898" s="24" t="s">
        <v>259</v>
      </c>
      <c r="C898" s="24" t="s">
        <v>135</v>
      </c>
      <c r="D898" s="24"/>
      <c r="E898" s="24"/>
      <c r="F898" s="305">
        <f>F899+F906</f>
        <v>3708.4</v>
      </c>
    </row>
    <row r="899" spans="1:10" s="229" customFormat="1" ht="31.5" x14ac:dyDescent="0.25">
      <c r="A899" s="23" t="s">
        <v>992</v>
      </c>
      <c r="B899" s="24" t="s">
        <v>259</v>
      </c>
      <c r="C899" s="24" t="s">
        <v>135</v>
      </c>
      <c r="D899" s="24" t="s">
        <v>906</v>
      </c>
      <c r="E899" s="24"/>
      <c r="F899" s="305">
        <f>F900</f>
        <v>3621.4</v>
      </c>
    </row>
    <row r="900" spans="1:10" ht="31.5" x14ac:dyDescent="0.25">
      <c r="A900" s="23" t="s">
        <v>934</v>
      </c>
      <c r="B900" s="24" t="s">
        <v>259</v>
      </c>
      <c r="C900" s="24" t="s">
        <v>135</v>
      </c>
      <c r="D900" s="24" t="s">
        <v>911</v>
      </c>
      <c r="E900" s="24"/>
      <c r="F900" s="305">
        <f>F901</f>
        <v>3621.4</v>
      </c>
    </row>
    <row r="901" spans="1:10" ht="43.5" customHeight="1" x14ac:dyDescent="0.25">
      <c r="A901" s="31" t="s">
        <v>274</v>
      </c>
      <c r="B901" s="20" t="s">
        <v>259</v>
      </c>
      <c r="C901" s="20" t="s">
        <v>135</v>
      </c>
      <c r="D901" s="20" t="s">
        <v>1002</v>
      </c>
      <c r="E901" s="20"/>
      <c r="F901" s="411">
        <f>F902+F904</f>
        <v>3621.4</v>
      </c>
    </row>
    <row r="902" spans="1:10" ht="78.75" x14ac:dyDescent="0.25">
      <c r="A902" s="25" t="s">
        <v>142</v>
      </c>
      <c r="B902" s="20" t="s">
        <v>259</v>
      </c>
      <c r="C902" s="20" t="s">
        <v>135</v>
      </c>
      <c r="D902" s="20" t="s">
        <v>1002</v>
      </c>
      <c r="E902" s="20" t="s">
        <v>143</v>
      </c>
      <c r="F902" s="411">
        <f t="shared" ref="F902" si="120">F903</f>
        <v>3353.3</v>
      </c>
    </row>
    <row r="903" spans="1:10" ht="31.5" x14ac:dyDescent="0.25">
      <c r="A903" s="25" t="s">
        <v>144</v>
      </c>
      <c r="B903" s="20" t="s">
        <v>259</v>
      </c>
      <c r="C903" s="20" t="s">
        <v>135</v>
      </c>
      <c r="D903" s="20" t="s">
        <v>1002</v>
      </c>
      <c r="E903" s="20" t="s">
        <v>145</v>
      </c>
      <c r="F903" s="411">
        <f>'Пр.6 ведом.20'!G205</f>
        <v>3353.3</v>
      </c>
    </row>
    <row r="904" spans="1:10" ht="32.25" customHeight="1" x14ac:dyDescent="0.25">
      <c r="A904" s="25" t="s">
        <v>146</v>
      </c>
      <c r="B904" s="20" t="s">
        <v>259</v>
      </c>
      <c r="C904" s="20" t="s">
        <v>135</v>
      </c>
      <c r="D904" s="20" t="s">
        <v>1002</v>
      </c>
      <c r="E904" s="20" t="s">
        <v>147</v>
      </c>
      <c r="F904" s="411">
        <f t="shared" ref="F904" si="121">F905</f>
        <v>268.09999999999997</v>
      </c>
    </row>
    <row r="905" spans="1:10" ht="31.5" customHeight="1" x14ac:dyDescent="0.25">
      <c r="A905" s="25" t="s">
        <v>148</v>
      </c>
      <c r="B905" s="20" t="s">
        <v>259</v>
      </c>
      <c r="C905" s="20" t="s">
        <v>135</v>
      </c>
      <c r="D905" s="20" t="s">
        <v>1002</v>
      </c>
      <c r="E905" s="20" t="s">
        <v>149</v>
      </c>
      <c r="F905" s="411">
        <f>'Пр.6 ведом.20'!G207</f>
        <v>268.09999999999997</v>
      </c>
    </row>
    <row r="906" spans="1:10" s="229" customFormat="1" ht="15" customHeight="1" x14ac:dyDescent="0.25">
      <c r="A906" s="23" t="s">
        <v>156</v>
      </c>
      <c r="B906" s="24" t="s">
        <v>259</v>
      </c>
      <c r="C906" s="24" t="s">
        <v>135</v>
      </c>
      <c r="D906" s="24" t="s">
        <v>914</v>
      </c>
      <c r="E906" s="24"/>
      <c r="F906" s="305">
        <f>F907</f>
        <v>87</v>
      </c>
    </row>
    <row r="907" spans="1:10" ht="37.5" customHeight="1" x14ac:dyDescent="0.25">
      <c r="A907" s="23" t="s">
        <v>918</v>
      </c>
      <c r="B907" s="24" t="s">
        <v>259</v>
      </c>
      <c r="C907" s="24" t="s">
        <v>135</v>
      </c>
      <c r="D907" s="24" t="s">
        <v>913</v>
      </c>
      <c r="E907" s="24"/>
      <c r="F907" s="305">
        <f>F908</f>
        <v>87</v>
      </c>
    </row>
    <row r="908" spans="1:10" ht="15.75" customHeight="1" x14ac:dyDescent="0.25">
      <c r="A908" s="25" t="s">
        <v>587</v>
      </c>
      <c r="B908" s="20" t="s">
        <v>259</v>
      </c>
      <c r="C908" s="20" t="s">
        <v>135</v>
      </c>
      <c r="D908" s="20" t="s">
        <v>1138</v>
      </c>
      <c r="E908" s="20"/>
      <c r="F908" s="411">
        <f>F909</f>
        <v>87</v>
      </c>
    </row>
    <row r="909" spans="1:10" ht="31.5" customHeight="1" x14ac:dyDescent="0.25">
      <c r="A909" s="25" t="s">
        <v>146</v>
      </c>
      <c r="B909" s="20" t="s">
        <v>259</v>
      </c>
      <c r="C909" s="20" t="s">
        <v>135</v>
      </c>
      <c r="D909" s="20" t="s">
        <v>1138</v>
      </c>
      <c r="E909" s="20" t="s">
        <v>147</v>
      </c>
      <c r="F909" s="411">
        <f>F910</f>
        <v>87</v>
      </c>
    </row>
    <row r="910" spans="1:10" ht="35.25" customHeight="1" x14ac:dyDescent="0.25">
      <c r="A910" s="25" t="s">
        <v>148</v>
      </c>
      <c r="B910" s="20" t="s">
        <v>259</v>
      </c>
      <c r="C910" s="20" t="s">
        <v>135</v>
      </c>
      <c r="D910" s="20" t="s">
        <v>1138</v>
      </c>
      <c r="E910" s="20" t="s">
        <v>149</v>
      </c>
      <c r="F910" s="411">
        <f>'Пр.6 ведом.20'!G1047</f>
        <v>87</v>
      </c>
    </row>
    <row r="911" spans="1:10" ht="15.75" x14ac:dyDescent="0.25">
      <c r="A911" s="41" t="s">
        <v>505</v>
      </c>
      <c r="B911" s="7" t="s">
        <v>506</v>
      </c>
      <c r="C911" s="40"/>
      <c r="D911" s="40"/>
      <c r="E911" s="40"/>
      <c r="F911" s="305">
        <f>F912+F951</f>
        <v>58483.6</v>
      </c>
      <c r="H911" s="22"/>
    </row>
    <row r="912" spans="1:10" ht="15.75" x14ac:dyDescent="0.25">
      <c r="A912" s="23" t="s">
        <v>507</v>
      </c>
      <c r="B912" s="24" t="s">
        <v>506</v>
      </c>
      <c r="C912" s="24" t="s">
        <v>133</v>
      </c>
      <c r="D912" s="20"/>
      <c r="E912" s="20"/>
      <c r="F912" s="305">
        <f>F913+F946</f>
        <v>46727.6</v>
      </c>
      <c r="G912" s="22"/>
      <c r="H912" s="22"/>
      <c r="I912" s="22"/>
      <c r="J912" s="22"/>
    </row>
    <row r="913" spans="1:8" ht="47.25" x14ac:dyDescent="0.25">
      <c r="A913" s="23" t="s">
        <v>496</v>
      </c>
      <c r="B913" s="24" t="s">
        <v>506</v>
      </c>
      <c r="C913" s="24" t="s">
        <v>133</v>
      </c>
      <c r="D913" s="24" t="s">
        <v>497</v>
      </c>
      <c r="E913" s="24"/>
      <c r="F913" s="305">
        <f t="shared" ref="F913" si="122">F914</f>
        <v>46187.5</v>
      </c>
      <c r="H913" s="22"/>
    </row>
    <row r="914" spans="1:8" ht="47.25" x14ac:dyDescent="0.25">
      <c r="A914" s="23" t="s">
        <v>508</v>
      </c>
      <c r="B914" s="24" t="s">
        <v>506</v>
      </c>
      <c r="C914" s="24" t="s">
        <v>133</v>
      </c>
      <c r="D914" s="24" t="s">
        <v>509</v>
      </c>
      <c r="E914" s="24"/>
      <c r="F914" s="305">
        <f>F915+F925+F935+F942</f>
        <v>46187.5</v>
      </c>
      <c r="H914" s="22"/>
    </row>
    <row r="915" spans="1:8" ht="31.5" x14ac:dyDescent="0.25">
      <c r="A915" s="23" t="s">
        <v>1033</v>
      </c>
      <c r="B915" s="24" t="s">
        <v>506</v>
      </c>
      <c r="C915" s="24" t="s">
        <v>133</v>
      </c>
      <c r="D915" s="24" t="s">
        <v>1066</v>
      </c>
      <c r="E915" s="24"/>
      <c r="F915" s="305">
        <f>F916+F919+F922</f>
        <v>44582</v>
      </c>
    </row>
    <row r="916" spans="1:8" ht="47.25" x14ac:dyDescent="0.25">
      <c r="A916" s="25" t="s">
        <v>838</v>
      </c>
      <c r="B916" s="20" t="s">
        <v>506</v>
      </c>
      <c r="C916" s="20" t="s">
        <v>133</v>
      </c>
      <c r="D916" s="20" t="s">
        <v>1076</v>
      </c>
      <c r="E916" s="20"/>
      <c r="F916" s="411">
        <f>F917</f>
        <v>13108</v>
      </c>
    </row>
    <row r="917" spans="1:8" ht="31.5" x14ac:dyDescent="0.25">
      <c r="A917" s="25" t="s">
        <v>287</v>
      </c>
      <c r="B917" s="20" t="s">
        <v>506</v>
      </c>
      <c r="C917" s="20" t="s">
        <v>133</v>
      </c>
      <c r="D917" s="20" t="s">
        <v>1076</v>
      </c>
      <c r="E917" s="20" t="s">
        <v>288</v>
      </c>
      <c r="F917" s="411">
        <f>F918</f>
        <v>13108</v>
      </c>
    </row>
    <row r="918" spans="1:8" ht="15.75" x14ac:dyDescent="0.25">
      <c r="A918" s="25" t="s">
        <v>289</v>
      </c>
      <c r="B918" s="20" t="s">
        <v>506</v>
      </c>
      <c r="C918" s="20" t="s">
        <v>133</v>
      </c>
      <c r="D918" s="20" t="s">
        <v>1076</v>
      </c>
      <c r="E918" s="20" t="s">
        <v>290</v>
      </c>
      <c r="F918" s="411">
        <f>'Пр.6 ведом.20'!G774</f>
        <v>13108</v>
      </c>
      <c r="H918" s="22"/>
    </row>
    <row r="919" spans="1:8" ht="47.25" x14ac:dyDescent="0.25">
      <c r="A919" s="25" t="s">
        <v>859</v>
      </c>
      <c r="B919" s="20" t="s">
        <v>506</v>
      </c>
      <c r="C919" s="20" t="s">
        <v>133</v>
      </c>
      <c r="D919" s="20" t="s">
        <v>1077</v>
      </c>
      <c r="E919" s="20"/>
      <c r="F919" s="411">
        <f>F920</f>
        <v>12897</v>
      </c>
      <c r="H919" s="22"/>
    </row>
    <row r="920" spans="1:8" ht="31.5" x14ac:dyDescent="0.25">
      <c r="A920" s="25" t="s">
        <v>287</v>
      </c>
      <c r="B920" s="20" t="s">
        <v>506</v>
      </c>
      <c r="C920" s="20" t="s">
        <v>133</v>
      </c>
      <c r="D920" s="20" t="s">
        <v>1077</v>
      </c>
      <c r="E920" s="20" t="s">
        <v>288</v>
      </c>
      <c r="F920" s="411">
        <f>F921</f>
        <v>12897</v>
      </c>
      <c r="H920" s="22"/>
    </row>
    <row r="921" spans="1:8" ht="15.75" x14ac:dyDescent="0.25">
      <c r="A921" s="25" t="s">
        <v>289</v>
      </c>
      <c r="B921" s="20" t="s">
        <v>506</v>
      </c>
      <c r="C921" s="20" t="s">
        <v>133</v>
      </c>
      <c r="D921" s="20" t="s">
        <v>1077</v>
      </c>
      <c r="E921" s="20" t="s">
        <v>290</v>
      </c>
      <c r="F921" s="411">
        <f>'Пр.6 ведом.20'!G777</f>
        <v>12897</v>
      </c>
      <c r="H921" s="22"/>
    </row>
    <row r="922" spans="1:8" ht="47.25" x14ac:dyDescent="0.25">
      <c r="A922" s="25" t="s">
        <v>860</v>
      </c>
      <c r="B922" s="20" t="s">
        <v>506</v>
      </c>
      <c r="C922" s="20" t="s">
        <v>133</v>
      </c>
      <c r="D922" s="20" t="s">
        <v>1078</v>
      </c>
      <c r="E922" s="20"/>
      <c r="F922" s="411">
        <f>F923</f>
        <v>18577</v>
      </c>
      <c r="H922" s="22"/>
    </row>
    <row r="923" spans="1:8" ht="31.5" x14ac:dyDescent="0.25">
      <c r="A923" s="25" t="s">
        <v>287</v>
      </c>
      <c r="B923" s="20" t="s">
        <v>506</v>
      </c>
      <c r="C923" s="20" t="s">
        <v>133</v>
      </c>
      <c r="D923" s="20" t="s">
        <v>1078</v>
      </c>
      <c r="E923" s="20" t="s">
        <v>288</v>
      </c>
      <c r="F923" s="411">
        <f>F924</f>
        <v>18577</v>
      </c>
      <c r="H923" s="22"/>
    </row>
    <row r="924" spans="1:8" ht="15.75" x14ac:dyDescent="0.25">
      <c r="A924" s="25" t="s">
        <v>289</v>
      </c>
      <c r="B924" s="20" t="s">
        <v>506</v>
      </c>
      <c r="C924" s="20" t="s">
        <v>133</v>
      </c>
      <c r="D924" s="20" t="s">
        <v>1078</v>
      </c>
      <c r="E924" s="20" t="s">
        <v>290</v>
      </c>
      <c r="F924" s="411">
        <f>'Пр.6 ведом.20'!G780</f>
        <v>18577</v>
      </c>
      <c r="H924" s="22"/>
    </row>
    <row r="925" spans="1:8" ht="31.5" x14ac:dyDescent="0.25">
      <c r="A925" s="23" t="s">
        <v>1079</v>
      </c>
      <c r="B925" s="24" t="s">
        <v>506</v>
      </c>
      <c r="C925" s="24" t="s">
        <v>133</v>
      </c>
      <c r="D925" s="24" t="s">
        <v>1080</v>
      </c>
      <c r="E925" s="24"/>
      <c r="F925" s="305">
        <f>F926+F929+F932</f>
        <v>36</v>
      </c>
    </row>
    <row r="926" spans="1:8" ht="31.5" hidden="1" x14ac:dyDescent="0.25">
      <c r="A926" s="25" t="s">
        <v>293</v>
      </c>
      <c r="B926" s="20" t="s">
        <v>506</v>
      </c>
      <c r="C926" s="20" t="s">
        <v>133</v>
      </c>
      <c r="D926" s="20" t="s">
        <v>1084</v>
      </c>
      <c r="E926" s="20"/>
      <c r="F926" s="411">
        <f t="shared" ref="F926" si="123">F927</f>
        <v>0</v>
      </c>
    </row>
    <row r="927" spans="1:8" ht="31.5" hidden="1" x14ac:dyDescent="0.25">
      <c r="A927" s="25" t="s">
        <v>287</v>
      </c>
      <c r="B927" s="20" t="s">
        <v>506</v>
      </c>
      <c r="C927" s="20" t="s">
        <v>133</v>
      </c>
      <c r="D927" s="20" t="s">
        <v>1084</v>
      </c>
      <c r="E927" s="20" t="s">
        <v>288</v>
      </c>
      <c r="F927" s="411">
        <f>'Пр.6 ведом.20'!G784</f>
        <v>0</v>
      </c>
    </row>
    <row r="928" spans="1:8" ht="20.25" hidden="1" customHeight="1" x14ac:dyDescent="0.25">
      <c r="A928" s="25" t="s">
        <v>289</v>
      </c>
      <c r="B928" s="20" t="s">
        <v>506</v>
      </c>
      <c r="C928" s="20" t="s">
        <v>133</v>
      </c>
      <c r="D928" s="20" t="s">
        <v>1084</v>
      </c>
      <c r="E928" s="20" t="s">
        <v>290</v>
      </c>
      <c r="F928" s="411">
        <f>'Пр.6 ведом.20'!G784</f>
        <v>0</v>
      </c>
    </row>
    <row r="929" spans="1:6" ht="33" hidden="1" customHeight="1" x14ac:dyDescent="0.25">
      <c r="A929" s="25" t="s">
        <v>295</v>
      </c>
      <c r="B929" s="20" t="s">
        <v>506</v>
      </c>
      <c r="C929" s="20" t="s">
        <v>133</v>
      </c>
      <c r="D929" s="20" t="s">
        <v>1085</v>
      </c>
      <c r="E929" s="20"/>
      <c r="F929" s="411">
        <f t="shared" ref="F929" si="124">F930</f>
        <v>0</v>
      </c>
    </row>
    <row r="930" spans="1:6" ht="37.5" hidden="1" customHeight="1" x14ac:dyDescent="0.25">
      <c r="A930" s="25" t="s">
        <v>287</v>
      </c>
      <c r="B930" s="20" t="s">
        <v>506</v>
      </c>
      <c r="C930" s="20" t="s">
        <v>133</v>
      </c>
      <c r="D930" s="20" t="s">
        <v>1085</v>
      </c>
      <c r="E930" s="20" t="s">
        <v>288</v>
      </c>
      <c r="F930" s="411">
        <f>'Пр.6 ведом.20'!G787</f>
        <v>0</v>
      </c>
    </row>
    <row r="931" spans="1:6" s="229" customFormat="1" ht="15.75" hidden="1" customHeight="1" x14ac:dyDescent="0.25">
      <c r="A931" s="25" t="s">
        <v>289</v>
      </c>
      <c r="B931" s="20" t="s">
        <v>506</v>
      </c>
      <c r="C931" s="20" t="s">
        <v>133</v>
      </c>
      <c r="D931" s="20" t="s">
        <v>1085</v>
      </c>
      <c r="E931" s="20" t="s">
        <v>290</v>
      </c>
      <c r="F931" s="411">
        <f>'Пр.6 ведом.20'!G787</f>
        <v>0</v>
      </c>
    </row>
    <row r="932" spans="1:6" s="229" customFormat="1" ht="15.75" customHeight="1" x14ac:dyDescent="0.25">
      <c r="A932" s="25" t="s">
        <v>877</v>
      </c>
      <c r="B932" s="20" t="s">
        <v>506</v>
      </c>
      <c r="C932" s="20" t="s">
        <v>133</v>
      </c>
      <c r="D932" s="20" t="s">
        <v>1086</v>
      </c>
      <c r="E932" s="20"/>
      <c r="F932" s="411">
        <f>F933</f>
        <v>36</v>
      </c>
    </row>
    <row r="933" spans="1:6" s="229" customFormat="1" ht="33" customHeight="1" x14ac:dyDescent="0.25">
      <c r="A933" s="25" t="s">
        <v>287</v>
      </c>
      <c r="B933" s="20" t="s">
        <v>506</v>
      </c>
      <c r="C933" s="20" t="s">
        <v>133</v>
      </c>
      <c r="D933" s="20" t="s">
        <v>1086</v>
      </c>
      <c r="E933" s="20" t="s">
        <v>288</v>
      </c>
      <c r="F933" s="411">
        <f>'Пр.6 ведом.20'!G790</f>
        <v>36</v>
      </c>
    </row>
    <row r="934" spans="1:6" ht="20.25" customHeight="1" x14ac:dyDescent="0.25">
      <c r="A934" s="25" t="s">
        <v>289</v>
      </c>
      <c r="B934" s="20" t="s">
        <v>506</v>
      </c>
      <c r="C934" s="20" t="s">
        <v>133</v>
      </c>
      <c r="D934" s="20" t="s">
        <v>1086</v>
      </c>
      <c r="E934" s="20" t="s">
        <v>290</v>
      </c>
      <c r="F934" s="411">
        <f>'Пр.6 ведом.20'!G790</f>
        <v>36</v>
      </c>
    </row>
    <row r="935" spans="1:6" ht="47.25" customHeight="1" x14ac:dyDescent="0.25">
      <c r="A935" s="23" t="s">
        <v>1081</v>
      </c>
      <c r="B935" s="24" t="s">
        <v>506</v>
      </c>
      <c r="C935" s="24" t="s">
        <v>133</v>
      </c>
      <c r="D935" s="24" t="s">
        <v>1083</v>
      </c>
      <c r="E935" s="24"/>
      <c r="F935" s="305">
        <f>F936+F939</f>
        <v>756</v>
      </c>
    </row>
    <row r="936" spans="1:6" ht="39" hidden="1" customHeight="1" x14ac:dyDescent="0.25">
      <c r="A936" s="25" t="s">
        <v>816</v>
      </c>
      <c r="B936" s="20" t="s">
        <v>506</v>
      </c>
      <c r="C936" s="20" t="s">
        <v>133</v>
      </c>
      <c r="D936" s="20" t="s">
        <v>1087</v>
      </c>
      <c r="E936" s="20"/>
      <c r="F936" s="411">
        <f>'Пр.6 ведом.20'!G794</f>
        <v>0</v>
      </c>
    </row>
    <row r="937" spans="1:6" ht="40.5" hidden="1" customHeight="1" x14ac:dyDescent="0.25">
      <c r="A937" s="25" t="s">
        <v>287</v>
      </c>
      <c r="B937" s="20" t="s">
        <v>506</v>
      </c>
      <c r="C937" s="20" t="s">
        <v>133</v>
      </c>
      <c r="D937" s="20" t="s">
        <v>1087</v>
      </c>
      <c r="E937" s="20" t="s">
        <v>288</v>
      </c>
      <c r="F937" s="411">
        <f t="shared" ref="F937" si="125">F938</f>
        <v>0</v>
      </c>
    </row>
    <row r="938" spans="1:6" ht="15.75" hidden="1" customHeight="1" x14ac:dyDescent="0.25">
      <c r="A938" s="25" t="s">
        <v>289</v>
      </c>
      <c r="B938" s="20" t="s">
        <v>506</v>
      </c>
      <c r="C938" s="20" t="s">
        <v>133</v>
      </c>
      <c r="D938" s="20" t="s">
        <v>1087</v>
      </c>
      <c r="E938" s="20" t="s">
        <v>290</v>
      </c>
      <c r="F938" s="411">
        <f>'Пр.6 ведом.20'!G794</f>
        <v>0</v>
      </c>
    </row>
    <row r="939" spans="1:6" ht="15.75" customHeight="1" x14ac:dyDescent="0.25">
      <c r="A939" s="45" t="s">
        <v>786</v>
      </c>
      <c r="B939" s="20" t="s">
        <v>506</v>
      </c>
      <c r="C939" s="20" t="s">
        <v>133</v>
      </c>
      <c r="D939" s="20" t="s">
        <v>1088</v>
      </c>
      <c r="E939" s="20"/>
      <c r="F939" s="411">
        <f>'Пр.6 ведом.20'!G797</f>
        <v>756</v>
      </c>
    </row>
    <row r="940" spans="1:6" ht="47.25" customHeight="1" x14ac:dyDescent="0.25">
      <c r="A940" s="31" t="s">
        <v>287</v>
      </c>
      <c r="B940" s="20" t="s">
        <v>506</v>
      </c>
      <c r="C940" s="20" t="s">
        <v>133</v>
      </c>
      <c r="D940" s="20" t="s">
        <v>1088</v>
      </c>
      <c r="E940" s="20" t="s">
        <v>288</v>
      </c>
      <c r="F940" s="411">
        <f>F941</f>
        <v>756</v>
      </c>
    </row>
    <row r="941" spans="1:6" ht="15.75" x14ac:dyDescent="0.25">
      <c r="A941" s="31" t="s">
        <v>289</v>
      </c>
      <c r="B941" s="20" t="s">
        <v>506</v>
      </c>
      <c r="C941" s="20" t="s">
        <v>133</v>
      </c>
      <c r="D941" s="20" t="s">
        <v>1088</v>
      </c>
      <c r="E941" s="20" t="s">
        <v>290</v>
      </c>
      <c r="F941" s="411">
        <f>'Пр.6 ведом.20'!G797</f>
        <v>756</v>
      </c>
    </row>
    <row r="942" spans="1:6" ht="47.25" x14ac:dyDescent="0.25">
      <c r="A942" s="23" t="s">
        <v>973</v>
      </c>
      <c r="B942" s="24" t="s">
        <v>506</v>
      </c>
      <c r="C942" s="24" t="s">
        <v>133</v>
      </c>
      <c r="D942" s="24" t="s">
        <v>1089</v>
      </c>
      <c r="E942" s="24"/>
      <c r="F942" s="305">
        <f>F943</f>
        <v>813.5</v>
      </c>
    </row>
    <row r="943" spans="1:6" ht="15.75" customHeight="1" x14ac:dyDescent="0.25">
      <c r="A943" s="31" t="s">
        <v>479</v>
      </c>
      <c r="B943" s="20" t="s">
        <v>506</v>
      </c>
      <c r="C943" s="20" t="s">
        <v>133</v>
      </c>
      <c r="D943" s="20" t="s">
        <v>1090</v>
      </c>
      <c r="E943" s="20"/>
      <c r="F943" s="411">
        <f>F944</f>
        <v>813.5</v>
      </c>
    </row>
    <row r="944" spans="1:6" ht="31.5" x14ac:dyDescent="0.25">
      <c r="A944" s="25" t="s">
        <v>287</v>
      </c>
      <c r="B944" s="20" t="s">
        <v>506</v>
      </c>
      <c r="C944" s="20" t="s">
        <v>133</v>
      </c>
      <c r="D944" s="20" t="s">
        <v>1090</v>
      </c>
      <c r="E944" s="20" t="s">
        <v>288</v>
      </c>
      <c r="F944" s="411">
        <f t="shared" ref="F944:F946" si="126">F945</f>
        <v>813.5</v>
      </c>
    </row>
    <row r="945" spans="1:6" ht="15.75" x14ac:dyDescent="0.25">
      <c r="A945" s="25" t="s">
        <v>289</v>
      </c>
      <c r="B945" s="20" t="s">
        <v>506</v>
      </c>
      <c r="C945" s="20" t="s">
        <v>133</v>
      </c>
      <c r="D945" s="20" t="s">
        <v>1090</v>
      </c>
      <c r="E945" s="20" t="s">
        <v>290</v>
      </c>
      <c r="F945" s="411">
        <f>'Пр.6 ведом.20'!G801</f>
        <v>813.5</v>
      </c>
    </row>
    <row r="946" spans="1:6" ht="63" x14ac:dyDescent="0.25">
      <c r="A946" s="41" t="s">
        <v>1185</v>
      </c>
      <c r="B946" s="24" t="s">
        <v>506</v>
      </c>
      <c r="C946" s="24" t="s">
        <v>133</v>
      </c>
      <c r="D946" s="24" t="s">
        <v>727</v>
      </c>
      <c r="E946" s="285"/>
      <c r="F946" s="305">
        <f t="shared" si="126"/>
        <v>540.1</v>
      </c>
    </row>
    <row r="947" spans="1:6" ht="47.25" x14ac:dyDescent="0.25">
      <c r="A947" s="41" t="s">
        <v>951</v>
      </c>
      <c r="B947" s="24" t="s">
        <v>506</v>
      </c>
      <c r="C947" s="24" t="s">
        <v>133</v>
      </c>
      <c r="D947" s="24" t="s">
        <v>949</v>
      </c>
      <c r="E947" s="285"/>
      <c r="F947" s="305">
        <f>F948</f>
        <v>540.1</v>
      </c>
    </row>
    <row r="948" spans="1:6" ht="47.25" x14ac:dyDescent="0.25">
      <c r="A948" s="101" t="s">
        <v>802</v>
      </c>
      <c r="B948" s="20" t="s">
        <v>506</v>
      </c>
      <c r="C948" s="20" t="s">
        <v>133</v>
      </c>
      <c r="D948" s="20" t="s">
        <v>1032</v>
      </c>
      <c r="E948" s="32"/>
      <c r="F948" s="411">
        <f>F949</f>
        <v>540.1</v>
      </c>
    </row>
    <row r="949" spans="1:6" ht="31.5" x14ac:dyDescent="0.25">
      <c r="A949" s="29" t="s">
        <v>287</v>
      </c>
      <c r="B949" s="20" t="s">
        <v>506</v>
      </c>
      <c r="C949" s="20" t="s">
        <v>133</v>
      </c>
      <c r="D949" s="20" t="s">
        <v>1032</v>
      </c>
      <c r="E949" s="32" t="s">
        <v>288</v>
      </c>
      <c r="F949" s="411">
        <f>F950</f>
        <v>540.1</v>
      </c>
    </row>
    <row r="950" spans="1:6" ht="15.75" x14ac:dyDescent="0.25">
      <c r="A950" s="195" t="s">
        <v>289</v>
      </c>
      <c r="B950" s="20" t="s">
        <v>506</v>
      </c>
      <c r="C950" s="20" t="s">
        <v>133</v>
      </c>
      <c r="D950" s="20" t="s">
        <v>1032</v>
      </c>
      <c r="E950" s="32" t="s">
        <v>290</v>
      </c>
      <c r="F950" s="411">
        <f>'Пр.6 ведом.20'!G806</f>
        <v>540.1</v>
      </c>
    </row>
    <row r="951" spans="1:6" ht="31.5" x14ac:dyDescent="0.25">
      <c r="A951" s="23" t="s">
        <v>515</v>
      </c>
      <c r="B951" s="24" t="s">
        <v>506</v>
      </c>
      <c r="C951" s="24" t="s">
        <v>249</v>
      </c>
      <c r="D951" s="24"/>
      <c r="E951" s="24"/>
      <c r="F951" s="305">
        <f>F952+F960+F972</f>
        <v>11756</v>
      </c>
    </row>
    <row r="952" spans="1:6" ht="31.5" x14ac:dyDescent="0.25">
      <c r="A952" s="23" t="s">
        <v>992</v>
      </c>
      <c r="B952" s="24" t="s">
        <v>506</v>
      </c>
      <c r="C952" s="24" t="s">
        <v>249</v>
      </c>
      <c r="D952" s="24" t="s">
        <v>906</v>
      </c>
      <c r="E952" s="24"/>
      <c r="F952" s="305">
        <f>F953</f>
        <v>4531</v>
      </c>
    </row>
    <row r="953" spans="1:6" ht="15.75" x14ac:dyDescent="0.25">
      <c r="A953" s="23" t="s">
        <v>993</v>
      </c>
      <c r="B953" s="24" t="s">
        <v>506</v>
      </c>
      <c r="C953" s="24" t="s">
        <v>249</v>
      </c>
      <c r="D953" s="24" t="s">
        <v>907</v>
      </c>
      <c r="E953" s="24"/>
      <c r="F953" s="305">
        <f>F954+F957</f>
        <v>4531</v>
      </c>
    </row>
    <row r="954" spans="1:6" ht="31.5" x14ac:dyDescent="0.25">
      <c r="A954" s="25" t="s">
        <v>969</v>
      </c>
      <c r="B954" s="20" t="s">
        <v>506</v>
      </c>
      <c r="C954" s="20" t="s">
        <v>249</v>
      </c>
      <c r="D954" s="20" t="s">
        <v>908</v>
      </c>
      <c r="E954" s="20"/>
      <c r="F954" s="411">
        <f>F955</f>
        <v>4447</v>
      </c>
    </row>
    <row r="955" spans="1:6" ht="78.75" x14ac:dyDescent="0.25">
      <c r="A955" s="25" t="s">
        <v>142</v>
      </c>
      <c r="B955" s="20" t="s">
        <v>506</v>
      </c>
      <c r="C955" s="20" t="s">
        <v>249</v>
      </c>
      <c r="D955" s="20" t="s">
        <v>908</v>
      </c>
      <c r="E955" s="20" t="s">
        <v>143</v>
      </c>
      <c r="F955" s="411">
        <f>F956</f>
        <v>4447</v>
      </c>
    </row>
    <row r="956" spans="1:6" ht="31.5" x14ac:dyDescent="0.25">
      <c r="A956" s="25" t="s">
        <v>144</v>
      </c>
      <c r="B956" s="20" t="s">
        <v>506</v>
      </c>
      <c r="C956" s="20" t="s">
        <v>249</v>
      </c>
      <c r="D956" s="20" t="s">
        <v>908</v>
      </c>
      <c r="E956" s="20" t="s">
        <v>145</v>
      </c>
      <c r="F956" s="411">
        <f>'Пр.6 ведом.20'!G812</f>
        <v>4447</v>
      </c>
    </row>
    <row r="957" spans="1:6" ht="47.25" x14ac:dyDescent="0.25">
      <c r="A957" s="25" t="s">
        <v>886</v>
      </c>
      <c r="B957" s="20" t="s">
        <v>506</v>
      </c>
      <c r="C957" s="20" t="s">
        <v>249</v>
      </c>
      <c r="D957" s="20" t="s">
        <v>910</v>
      </c>
      <c r="E957" s="20"/>
      <c r="F957" s="411">
        <f>F958</f>
        <v>84</v>
      </c>
    </row>
    <row r="958" spans="1:6" ht="78.75" x14ac:dyDescent="0.25">
      <c r="A958" s="25" t="s">
        <v>142</v>
      </c>
      <c r="B958" s="20" t="s">
        <v>506</v>
      </c>
      <c r="C958" s="20" t="s">
        <v>249</v>
      </c>
      <c r="D958" s="20" t="s">
        <v>910</v>
      </c>
      <c r="E958" s="20" t="s">
        <v>143</v>
      </c>
      <c r="F958" s="411">
        <f>F959</f>
        <v>84</v>
      </c>
    </row>
    <row r="959" spans="1:6" ht="31.5" x14ac:dyDescent="0.25">
      <c r="A959" s="25" t="s">
        <v>144</v>
      </c>
      <c r="B959" s="20" t="s">
        <v>506</v>
      </c>
      <c r="C959" s="20" t="s">
        <v>249</v>
      </c>
      <c r="D959" s="20" t="s">
        <v>910</v>
      </c>
      <c r="E959" s="20" t="s">
        <v>145</v>
      </c>
      <c r="F959" s="411">
        <f>'Пр.6 ведом.20'!G815</f>
        <v>84</v>
      </c>
    </row>
    <row r="960" spans="1:6" ht="15.75" x14ac:dyDescent="0.25">
      <c r="A960" s="23" t="s">
        <v>156</v>
      </c>
      <c r="B960" s="24" t="s">
        <v>506</v>
      </c>
      <c r="C960" s="24" t="s">
        <v>249</v>
      </c>
      <c r="D960" s="24" t="s">
        <v>914</v>
      </c>
      <c r="E960" s="24"/>
      <c r="F960" s="305">
        <f>F961</f>
        <v>5225</v>
      </c>
    </row>
    <row r="961" spans="1:6" ht="31.5" x14ac:dyDescent="0.25">
      <c r="A961" s="23" t="s">
        <v>1006</v>
      </c>
      <c r="B961" s="24" t="s">
        <v>506</v>
      </c>
      <c r="C961" s="24" t="s">
        <v>249</v>
      </c>
      <c r="D961" s="24" t="s">
        <v>989</v>
      </c>
      <c r="E961" s="24"/>
      <c r="F961" s="305">
        <f>F962+F969</f>
        <v>5225</v>
      </c>
    </row>
    <row r="962" spans="1:6" ht="31.5" x14ac:dyDescent="0.25">
      <c r="A962" s="25" t="s">
        <v>976</v>
      </c>
      <c r="B962" s="20" t="s">
        <v>506</v>
      </c>
      <c r="C962" s="20" t="s">
        <v>249</v>
      </c>
      <c r="D962" s="20" t="s">
        <v>990</v>
      </c>
      <c r="E962" s="20"/>
      <c r="F962" s="411">
        <f>F963+F965+F967</f>
        <v>5015</v>
      </c>
    </row>
    <row r="963" spans="1:6" ht="78.75" x14ac:dyDescent="0.25">
      <c r="A963" s="25" t="s">
        <v>142</v>
      </c>
      <c r="B963" s="20" t="s">
        <v>506</v>
      </c>
      <c r="C963" s="20" t="s">
        <v>249</v>
      </c>
      <c r="D963" s="20" t="s">
        <v>990</v>
      </c>
      <c r="E963" s="20" t="s">
        <v>143</v>
      </c>
      <c r="F963" s="411">
        <f>F964</f>
        <v>4454</v>
      </c>
    </row>
    <row r="964" spans="1:6" ht="31.5" x14ac:dyDescent="0.25">
      <c r="A964" s="25" t="s">
        <v>357</v>
      </c>
      <c r="B964" s="20" t="s">
        <v>506</v>
      </c>
      <c r="C964" s="20" t="s">
        <v>249</v>
      </c>
      <c r="D964" s="20" t="s">
        <v>990</v>
      </c>
      <c r="E964" s="20" t="s">
        <v>224</v>
      </c>
      <c r="F964" s="411">
        <f>'Пр.6 ведом.20'!G820</f>
        <v>4454</v>
      </c>
    </row>
    <row r="965" spans="1:6" ht="31.5" x14ac:dyDescent="0.25">
      <c r="A965" s="25" t="s">
        <v>146</v>
      </c>
      <c r="B965" s="20" t="s">
        <v>506</v>
      </c>
      <c r="C965" s="20" t="s">
        <v>249</v>
      </c>
      <c r="D965" s="20" t="s">
        <v>990</v>
      </c>
      <c r="E965" s="20" t="s">
        <v>147</v>
      </c>
      <c r="F965" s="411">
        <f t="shared" ref="F965" si="127">F966</f>
        <v>510</v>
      </c>
    </row>
    <row r="966" spans="1:6" ht="31.5" x14ac:dyDescent="0.25">
      <c r="A966" s="25" t="s">
        <v>148</v>
      </c>
      <c r="B966" s="20" t="s">
        <v>506</v>
      </c>
      <c r="C966" s="20" t="s">
        <v>249</v>
      </c>
      <c r="D966" s="20" t="s">
        <v>990</v>
      </c>
      <c r="E966" s="20" t="s">
        <v>149</v>
      </c>
      <c r="F966" s="411">
        <f>'Пр.6 ведом.20'!G822</f>
        <v>510</v>
      </c>
    </row>
    <row r="967" spans="1:6" ht="15.75" x14ac:dyDescent="0.25">
      <c r="A967" s="25" t="s">
        <v>150</v>
      </c>
      <c r="B967" s="20" t="s">
        <v>506</v>
      </c>
      <c r="C967" s="20" t="s">
        <v>249</v>
      </c>
      <c r="D967" s="20" t="s">
        <v>990</v>
      </c>
      <c r="E967" s="20" t="s">
        <v>160</v>
      </c>
      <c r="F967" s="411">
        <f>F968</f>
        <v>51</v>
      </c>
    </row>
    <row r="968" spans="1:6" ht="15.75" x14ac:dyDescent="0.25">
      <c r="A968" s="25" t="s">
        <v>583</v>
      </c>
      <c r="B968" s="20" t="s">
        <v>506</v>
      </c>
      <c r="C968" s="20" t="s">
        <v>249</v>
      </c>
      <c r="D968" s="20" t="s">
        <v>990</v>
      </c>
      <c r="E968" s="20" t="s">
        <v>153</v>
      </c>
      <c r="F968" s="411">
        <f>'Пр.6 ведом.20'!G824</f>
        <v>51</v>
      </c>
    </row>
    <row r="969" spans="1:6" ht="47.25" x14ac:dyDescent="0.25">
      <c r="A969" s="25" t="s">
        <v>886</v>
      </c>
      <c r="B969" s="20" t="s">
        <v>506</v>
      </c>
      <c r="C969" s="20" t="s">
        <v>249</v>
      </c>
      <c r="D969" s="20" t="s">
        <v>991</v>
      </c>
      <c r="E969" s="20"/>
      <c r="F969" s="411">
        <f>F970</f>
        <v>210</v>
      </c>
    </row>
    <row r="970" spans="1:6" ht="78.75" x14ac:dyDescent="0.25">
      <c r="A970" s="25" t="s">
        <v>142</v>
      </c>
      <c r="B970" s="20" t="s">
        <v>506</v>
      </c>
      <c r="C970" s="20" t="s">
        <v>249</v>
      </c>
      <c r="D970" s="20" t="s">
        <v>991</v>
      </c>
      <c r="E970" s="20" t="s">
        <v>143</v>
      </c>
      <c r="F970" s="411">
        <f t="shared" ref="F970" si="128">F971</f>
        <v>210</v>
      </c>
    </row>
    <row r="971" spans="1:6" ht="31.5" x14ac:dyDescent="0.25">
      <c r="A971" s="25" t="s">
        <v>144</v>
      </c>
      <c r="B971" s="20" t="s">
        <v>506</v>
      </c>
      <c r="C971" s="20" t="s">
        <v>249</v>
      </c>
      <c r="D971" s="20" t="s">
        <v>991</v>
      </c>
      <c r="E971" s="20" t="s">
        <v>145</v>
      </c>
      <c r="F971" s="411">
        <f>'Пр.6 ведом.20'!G827</f>
        <v>210</v>
      </c>
    </row>
    <row r="972" spans="1:6" ht="47.25" x14ac:dyDescent="0.25">
      <c r="A972" s="41" t="s">
        <v>496</v>
      </c>
      <c r="B972" s="24" t="s">
        <v>506</v>
      </c>
      <c r="C972" s="24" t="s">
        <v>249</v>
      </c>
      <c r="D972" s="7" t="s">
        <v>497</v>
      </c>
      <c r="E972" s="24"/>
      <c r="F972" s="305">
        <f>F973</f>
        <v>2000</v>
      </c>
    </row>
    <row r="973" spans="1:6" ht="47.25" x14ac:dyDescent="0.25">
      <c r="A973" s="58" t="s">
        <v>516</v>
      </c>
      <c r="B973" s="24" t="s">
        <v>506</v>
      </c>
      <c r="C973" s="24" t="s">
        <v>249</v>
      </c>
      <c r="D973" s="7" t="s">
        <v>517</v>
      </c>
      <c r="E973" s="24"/>
      <c r="F973" s="305">
        <f>F974</f>
        <v>2000</v>
      </c>
    </row>
    <row r="974" spans="1:6" ht="33.75" customHeight="1" x14ac:dyDescent="0.25">
      <c r="A974" s="58" t="s">
        <v>1091</v>
      </c>
      <c r="B974" s="24" t="s">
        <v>506</v>
      </c>
      <c r="C974" s="24" t="s">
        <v>249</v>
      </c>
      <c r="D974" s="7" t="s">
        <v>1092</v>
      </c>
      <c r="E974" s="24"/>
      <c r="F974" s="305">
        <f>F975</f>
        <v>2000</v>
      </c>
    </row>
    <row r="975" spans="1:6" ht="15.75" x14ac:dyDescent="0.25">
      <c r="A975" s="29" t="s">
        <v>1093</v>
      </c>
      <c r="B975" s="20" t="s">
        <v>506</v>
      </c>
      <c r="C975" s="20" t="s">
        <v>249</v>
      </c>
      <c r="D975" s="40" t="s">
        <v>1247</v>
      </c>
      <c r="E975" s="20"/>
      <c r="F975" s="412">
        <f>F976+F978</f>
        <v>2000</v>
      </c>
    </row>
    <row r="976" spans="1:6" ht="78.75" x14ac:dyDescent="0.25">
      <c r="A976" s="25" t="s">
        <v>142</v>
      </c>
      <c r="B976" s="20" t="s">
        <v>506</v>
      </c>
      <c r="C976" s="20" t="s">
        <v>249</v>
      </c>
      <c r="D976" s="40" t="s">
        <v>1247</v>
      </c>
      <c r="E976" s="20" t="s">
        <v>143</v>
      </c>
      <c r="F976" s="412">
        <f>F977</f>
        <v>1500</v>
      </c>
    </row>
    <row r="977" spans="1:6" ht="31.5" customHeight="1" x14ac:dyDescent="0.25">
      <c r="A977" s="25" t="s">
        <v>357</v>
      </c>
      <c r="B977" s="20" t="s">
        <v>506</v>
      </c>
      <c r="C977" s="20" t="s">
        <v>249</v>
      </c>
      <c r="D977" s="40" t="s">
        <v>1247</v>
      </c>
      <c r="E977" s="20" t="s">
        <v>224</v>
      </c>
      <c r="F977" s="412">
        <f>'Пр.6 ведом.20'!G833</f>
        <v>1500</v>
      </c>
    </row>
    <row r="978" spans="1:6" ht="47.25" customHeight="1" x14ac:dyDescent="0.25">
      <c r="A978" s="29" t="s">
        <v>146</v>
      </c>
      <c r="B978" s="20" t="s">
        <v>506</v>
      </c>
      <c r="C978" s="20" t="s">
        <v>249</v>
      </c>
      <c r="D978" s="40" t="s">
        <v>1247</v>
      </c>
      <c r="E978" s="20" t="s">
        <v>147</v>
      </c>
      <c r="F978" s="412">
        <f>F979</f>
        <v>500</v>
      </c>
    </row>
    <row r="979" spans="1:6" ht="31.5" x14ac:dyDescent="0.25">
      <c r="A979" s="29" t="s">
        <v>148</v>
      </c>
      <c r="B979" s="20" t="s">
        <v>506</v>
      </c>
      <c r="C979" s="20" t="s">
        <v>249</v>
      </c>
      <c r="D979" s="40" t="s">
        <v>1247</v>
      </c>
      <c r="E979" s="20" t="s">
        <v>149</v>
      </c>
      <c r="F979" s="411">
        <f>'Пр.6 ведом.20'!G835</f>
        <v>500</v>
      </c>
    </row>
    <row r="980" spans="1:6" ht="15.75" x14ac:dyDescent="0.25">
      <c r="A980" s="41" t="s">
        <v>597</v>
      </c>
      <c r="B980" s="7" t="s">
        <v>253</v>
      </c>
      <c r="C980" s="40"/>
      <c r="D980" s="40"/>
      <c r="E980" s="40"/>
      <c r="F980" s="305">
        <f t="shared" ref="F980" si="129">F981</f>
        <v>6504</v>
      </c>
    </row>
    <row r="981" spans="1:6" ht="15.75" x14ac:dyDescent="0.25">
      <c r="A981" s="41" t="s">
        <v>598</v>
      </c>
      <c r="B981" s="7" t="s">
        <v>253</v>
      </c>
      <c r="C981" s="7" t="s">
        <v>228</v>
      </c>
      <c r="D981" s="7"/>
      <c r="E981" s="7"/>
      <c r="F981" s="305">
        <f>F982+F994</f>
        <v>6504</v>
      </c>
    </row>
    <row r="982" spans="1:6" ht="15.75" x14ac:dyDescent="0.25">
      <c r="A982" s="23" t="s">
        <v>156</v>
      </c>
      <c r="B982" s="24" t="s">
        <v>253</v>
      </c>
      <c r="C982" s="24" t="s">
        <v>228</v>
      </c>
      <c r="D982" s="24" t="s">
        <v>914</v>
      </c>
      <c r="E982" s="24"/>
      <c r="F982" s="305">
        <f>F983</f>
        <v>6444</v>
      </c>
    </row>
    <row r="983" spans="1:6" ht="15.75" x14ac:dyDescent="0.25">
      <c r="A983" s="23" t="s">
        <v>1095</v>
      </c>
      <c r="B983" s="24" t="s">
        <v>253</v>
      </c>
      <c r="C983" s="24" t="s">
        <v>228</v>
      </c>
      <c r="D983" s="24" t="s">
        <v>1094</v>
      </c>
      <c r="E983" s="24"/>
      <c r="F983" s="305">
        <f>F984+F991</f>
        <v>6444</v>
      </c>
    </row>
    <row r="984" spans="1:6" ht="15.75" x14ac:dyDescent="0.25">
      <c r="A984" s="25" t="s">
        <v>834</v>
      </c>
      <c r="B984" s="20" t="s">
        <v>253</v>
      </c>
      <c r="C984" s="20" t="s">
        <v>228</v>
      </c>
      <c r="D984" s="20" t="s">
        <v>1096</v>
      </c>
      <c r="E984" s="20"/>
      <c r="F984" s="411">
        <f>F985+F987+F989</f>
        <v>6234</v>
      </c>
    </row>
    <row r="985" spans="1:6" ht="78.75" x14ac:dyDescent="0.25">
      <c r="A985" s="25" t="s">
        <v>142</v>
      </c>
      <c r="B985" s="20" t="s">
        <v>253</v>
      </c>
      <c r="C985" s="20" t="s">
        <v>228</v>
      </c>
      <c r="D985" s="20" t="s">
        <v>1096</v>
      </c>
      <c r="E985" s="20" t="s">
        <v>143</v>
      </c>
      <c r="F985" s="411">
        <f>F986</f>
        <v>5525</v>
      </c>
    </row>
    <row r="986" spans="1:6" ht="15.75" x14ac:dyDescent="0.25">
      <c r="A986" s="25" t="s">
        <v>223</v>
      </c>
      <c r="B986" s="20" t="s">
        <v>253</v>
      </c>
      <c r="C986" s="20" t="s">
        <v>228</v>
      </c>
      <c r="D986" s="20" t="s">
        <v>1096</v>
      </c>
      <c r="E986" s="20" t="s">
        <v>224</v>
      </c>
      <c r="F986" s="411">
        <f>'Пр.6 ведом.20'!G467</f>
        <v>5525</v>
      </c>
    </row>
    <row r="987" spans="1:6" ht="31.5" x14ac:dyDescent="0.25">
      <c r="A987" s="25" t="s">
        <v>146</v>
      </c>
      <c r="B987" s="20" t="s">
        <v>253</v>
      </c>
      <c r="C987" s="20" t="s">
        <v>228</v>
      </c>
      <c r="D987" s="20" t="s">
        <v>1096</v>
      </c>
      <c r="E987" s="20" t="s">
        <v>147</v>
      </c>
      <c r="F987" s="411">
        <f t="shared" ref="F987" si="130">F988</f>
        <v>659</v>
      </c>
    </row>
    <row r="988" spans="1:6" ht="31.5" x14ac:dyDescent="0.25">
      <c r="A988" s="25" t="s">
        <v>148</v>
      </c>
      <c r="B988" s="20" t="s">
        <v>253</v>
      </c>
      <c r="C988" s="20" t="s">
        <v>228</v>
      </c>
      <c r="D988" s="20" t="s">
        <v>1096</v>
      </c>
      <c r="E988" s="20" t="s">
        <v>149</v>
      </c>
      <c r="F988" s="411">
        <f>'Пр.6 ведом.20'!G469</f>
        <v>659</v>
      </c>
    </row>
    <row r="989" spans="1:6" ht="15.75" x14ac:dyDescent="0.25">
      <c r="A989" s="25" t="s">
        <v>150</v>
      </c>
      <c r="B989" s="20" t="s">
        <v>253</v>
      </c>
      <c r="C989" s="20" t="s">
        <v>228</v>
      </c>
      <c r="D989" s="20" t="s">
        <v>1096</v>
      </c>
      <c r="E989" s="20" t="s">
        <v>160</v>
      </c>
      <c r="F989" s="412">
        <f t="shared" ref="F989" si="131">F990</f>
        <v>50</v>
      </c>
    </row>
    <row r="990" spans="1:6" ht="15.75" x14ac:dyDescent="0.25">
      <c r="A990" s="25" t="s">
        <v>583</v>
      </c>
      <c r="B990" s="20" t="s">
        <v>253</v>
      </c>
      <c r="C990" s="20" t="s">
        <v>228</v>
      </c>
      <c r="D990" s="20" t="s">
        <v>1096</v>
      </c>
      <c r="E990" s="20" t="s">
        <v>153</v>
      </c>
      <c r="F990" s="412">
        <f>'Пр.6 ведом.20'!G471</f>
        <v>50</v>
      </c>
    </row>
    <row r="991" spans="1:6" ht="47.25" x14ac:dyDescent="0.25">
      <c r="A991" s="25" t="s">
        <v>886</v>
      </c>
      <c r="B991" s="20" t="s">
        <v>253</v>
      </c>
      <c r="C991" s="20" t="s">
        <v>228</v>
      </c>
      <c r="D991" s="20" t="s">
        <v>1097</v>
      </c>
      <c r="E991" s="20"/>
      <c r="F991" s="411">
        <f>F992</f>
        <v>210</v>
      </c>
    </row>
    <row r="992" spans="1:6" ht="78.75" x14ac:dyDescent="0.25">
      <c r="A992" s="25" t="s">
        <v>142</v>
      </c>
      <c r="B992" s="20" t="s">
        <v>253</v>
      </c>
      <c r="C992" s="20" t="s">
        <v>228</v>
      </c>
      <c r="D992" s="20" t="s">
        <v>1097</v>
      </c>
      <c r="E992" s="20" t="s">
        <v>143</v>
      </c>
      <c r="F992" s="411">
        <f>F993</f>
        <v>210</v>
      </c>
    </row>
    <row r="993" spans="1:8" ht="31.5" x14ac:dyDescent="0.25">
      <c r="A993" s="25" t="s">
        <v>144</v>
      </c>
      <c r="B993" s="20" t="s">
        <v>253</v>
      </c>
      <c r="C993" s="20" t="s">
        <v>228</v>
      </c>
      <c r="D993" s="20" t="s">
        <v>1097</v>
      </c>
      <c r="E993" s="20" t="s">
        <v>224</v>
      </c>
      <c r="F993" s="411">
        <f>'Пр.6 ведом.20'!G474</f>
        <v>210</v>
      </c>
    </row>
    <row r="994" spans="1:8" ht="63" x14ac:dyDescent="0.25">
      <c r="A994" s="41" t="s">
        <v>1185</v>
      </c>
      <c r="B994" s="24" t="s">
        <v>253</v>
      </c>
      <c r="C994" s="24" t="s">
        <v>228</v>
      </c>
      <c r="D994" s="24" t="s">
        <v>727</v>
      </c>
      <c r="E994" s="285"/>
      <c r="F994" s="305">
        <f>F995</f>
        <v>60</v>
      </c>
    </row>
    <row r="995" spans="1:8" s="229" customFormat="1" ht="47.25" x14ac:dyDescent="0.25">
      <c r="A995" s="41" t="s">
        <v>951</v>
      </c>
      <c r="B995" s="24" t="s">
        <v>253</v>
      </c>
      <c r="C995" s="24" t="s">
        <v>228</v>
      </c>
      <c r="D995" s="24" t="s">
        <v>949</v>
      </c>
      <c r="E995" s="285"/>
      <c r="F995" s="305">
        <f>F996</f>
        <v>60</v>
      </c>
    </row>
    <row r="996" spans="1:8" s="229" customFormat="1" ht="47.25" x14ac:dyDescent="0.25">
      <c r="A996" s="101" t="s">
        <v>1163</v>
      </c>
      <c r="B996" s="20" t="s">
        <v>253</v>
      </c>
      <c r="C996" s="20" t="s">
        <v>228</v>
      </c>
      <c r="D996" s="20" t="s">
        <v>950</v>
      </c>
      <c r="E996" s="32"/>
      <c r="F996" s="411">
        <f>F997</f>
        <v>60</v>
      </c>
    </row>
    <row r="997" spans="1:8" s="229" customFormat="1" ht="31.5" x14ac:dyDescent="0.25">
      <c r="A997" s="25" t="s">
        <v>146</v>
      </c>
      <c r="B997" s="20" t="s">
        <v>253</v>
      </c>
      <c r="C997" s="20" t="s">
        <v>228</v>
      </c>
      <c r="D997" s="20" t="s">
        <v>950</v>
      </c>
      <c r="E997" s="32" t="s">
        <v>147</v>
      </c>
      <c r="F997" s="411">
        <f>F998</f>
        <v>60</v>
      </c>
    </row>
    <row r="998" spans="1:8" s="229" customFormat="1" ht="31.5" x14ac:dyDescent="0.25">
      <c r="A998" s="25" t="s">
        <v>148</v>
      </c>
      <c r="B998" s="20" t="s">
        <v>253</v>
      </c>
      <c r="C998" s="20" t="s">
        <v>228</v>
      </c>
      <c r="D998" s="20" t="s">
        <v>950</v>
      </c>
      <c r="E998" s="32" t="s">
        <v>149</v>
      </c>
      <c r="F998" s="411">
        <f>'Пр.6 ведом.20'!G479</f>
        <v>60</v>
      </c>
    </row>
    <row r="999" spans="1:8" ht="15.75" x14ac:dyDescent="0.25">
      <c r="A999" s="61" t="s">
        <v>602</v>
      </c>
      <c r="B999" s="7"/>
      <c r="C999" s="7"/>
      <c r="D999" s="7"/>
      <c r="E999" s="7"/>
      <c r="F999" s="304">
        <f>F8+F222+F241+F316+F479+F754+F911+F980+F854</f>
        <v>717456.99999999988</v>
      </c>
      <c r="H999" s="22"/>
    </row>
    <row r="1000" spans="1:8" hidden="1" x14ac:dyDescent="0.25">
      <c r="F1000" s="288">
        <f>'Пр.6 ведом.20'!G1091</f>
        <v>717457</v>
      </c>
    </row>
    <row r="1001" spans="1:8" hidden="1" x14ac:dyDescent="0.25">
      <c r="F1001" s="22">
        <f>F1000-F999</f>
        <v>0</v>
      </c>
    </row>
    <row r="1003" spans="1:8" x14ac:dyDescent="0.25">
      <c r="F1003" s="22"/>
    </row>
  </sheetData>
  <mergeCells count="4">
    <mergeCell ref="A5:F5"/>
    <mergeCell ref="E3:F3"/>
    <mergeCell ref="E1:F1"/>
    <mergeCell ref="E2:F2"/>
  </mergeCells>
  <pageMargins left="0.23622047244094491" right="0.23622047244094491" top="0.74803149606299213" bottom="0.74803149606299213" header="0.31496062992125984" footer="0.31496062992125984"/>
  <pageSetup paperSize="9" scale="91" orientation="portrait" r:id="rId1"/>
  <rowBreaks count="3" manualBreakCount="3">
    <brk id="119" max="5" man="1"/>
    <brk id="151" max="5" man="1"/>
    <brk id="97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workbookViewId="0">
      <selection activeCell="A5" sqref="A5:G5"/>
    </sheetView>
  </sheetViews>
  <sheetFormatPr defaultRowHeight="15" x14ac:dyDescent="0.25"/>
  <cols>
    <col min="1" max="1" width="34.5703125" style="446" customWidth="1"/>
    <col min="2" max="2" width="4.5703125" style="425" customWidth="1"/>
    <col min="3" max="3" width="4.140625" style="425" customWidth="1"/>
    <col min="4" max="4" width="11.7109375" style="425" customWidth="1"/>
    <col min="5" max="5" width="5.7109375" style="425" customWidth="1"/>
    <col min="6" max="6" width="11.28515625" style="425" customWidth="1"/>
    <col min="7" max="7" width="14.42578125" style="425" customWidth="1"/>
    <col min="8" max="9" width="9.5703125" style="425" hidden="1" customWidth="1"/>
    <col min="10" max="11" width="0" style="425" hidden="1" customWidth="1"/>
    <col min="12" max="16384" width="9.140625" style="425"/>
  </cols>
  <sheetData>
    <row r="1" spans="1:11" ht="15" customHeight="1" x14ac:dyDescent="0.25">
      <c r="A1" s="435"/>
      <c r="B1" s="423"/>
      <c r="C1" s="423"/>
      <c r="D1" s="424"/>
      <c r="E1" s="424"/>
      <c r="F1" s="472" t="s">
        <v>1287</v>
      </c>
      <c r="G1" s="472"/>
    </row>
    <row r="2" spans="1:11" ht="16.5" customHeight="1" x14ac:dyDescent="0.25">
      <c r="A2" s="435"/>
      <c r="B2" s="423"/>
      <c r="C2" s="423"/>
      <c r="D2" s="424"/>
      <c r="E2" s="424"/>
      <c r="F2" s="472" t="s">
        <v>0</v>
      </c>
      <c r="G2" s="472"/>
    </row>
    <row r="3" spans="1:11" ht="14.25" customHeight="1" x14ac:dyDescent="0.25">
      <c r="A3" s="435"/>
      <c r="B3" s="423"/>
      <c r="C3" s="423"/>
      <c r="D3" s="424"/>
      <c r="E3" s="426"/>
      <c r="F3" s="472" t="s">
        <v>1480</v>
      </c>
      <c r="G3" s="472"/>
    </row>
    <row r="4" spans="1:11" x14ac:dyDescent="0.25">
      <c r="A4" s="435"/>
      <c r="B4" s="423"/>
      <c r="C4" s="423"/>
      <c r="D4" s="423"/>
      <c r="E4" s="423"/>
      <c r="F4" s="424"/>
      <c r="G4" s="424"/>
    </row>
    <row r="5" spans="1:11" ht="74.25" customHeight="1" x14ac:dyDescent="0.25">
      <c r="A5" s="471" t="s">
        <v>1373</v>
      </c>
      <c r="B5" s="471"/>
      <c r="C5" s="471"/>
      <c r="D5" s="471"/>
      <c r="E5" s="471"/>
      <c r="F5" s="471"/>
      <c r="G5" s="471"/>
    </row>
    <row r="6" spans="1:11" x14ac:dyDescent="0.25">
      <c r="A6" s="435"/>
      <c r="B6" s="423"/>
      <c r="C6" s="423"/>
      <c r="D6" s="423"/>
      <c r="E6" s="423"/>
      <c r="F6" s="424"/>
      <c r="G6" s="427" t="s">
        <v>1</v>
      </c>
    </row>
    <row r="7" spans="1:11" ht="35.25" customHeight="1" x14ac:dyDescent="0.25">
      <c r="A7" s="436" t="s">
        <v>608</v>
      </c>
      <c r="B7" s="291" t="s">
        <v>127</v>
      </c>
      <c r="C7" s="291" t="s">
        <v>128</v>
      </c>
      <c r="D7" s="291" t="s">
        <v>129</v>
      </c>
      <c r="E7" s="291" t="s">
        <v>130</v>
      </c>
      <c r="F7" s="291" t="s">
        <v>1288</v>
      </c>
      <c r="G7" s="291" t="s">
        <v>1289</v>
      </c>
    </row>
    <row r="8" spans="1:11" ht="31.5" x14ac:dyDescent="0.25">
      <c r="A8" s="58" t="s">
        <v>132</v>
      </c>
      <c r="B8" s="8" t="s">
        <v>133</v>
      </c>
      <c r="C8" s="8"/>
      <c r="D8" s="8"/>
      <c r="E8" s="8"/>
      <c r="F8" s="325">
        <f>F9+F28+F39+F97+F127+F119</f>
        <v>139211.72</v>
      </c>
      <c r="G8" s="325">
        <f>G9+G28+G39+G97+G127+G119</f>
        <v>147123.02000000002</v>
      </c>
      <c r="H8" s="428">
        <v>139576.82</v>
      </c>
      <c r="I8" s="428">
        <v>147498.12</v>
      </c>
      <c r="J8" s="428">
        <f>H8-F8</f>
        <v>365.10000000000582</v>
      </c>
      <c r="K8" s="428">
        <f>I8-G8</f>
        <v>375.09999999997672</v>
      </c>
    </row>
    <row r="9" spans="1:11" ht="63" x14ac:dyDescent="0.25">
      <c r="A9" s="58" t="s">
        <v>590</v>
      </c>
      <c r="B9" s="8" t="s">
        <v>133</v>
      </c>
      <c r="C9" s="8" t="s">
        <v>228</v>
      </c>
      <c r="D9" s="8"/>
      <c r="E9" s="8"/>
      <c r="F9" s="325">
        <f>F10+F20</f>
        <v>4268.5</v>
      </c>
      <c r="G9" s="325">
        <f>G10+G20</f>
        <v>4268.5</v>
      </c>
    </row>
    <row r="10" spans="1:11" ht="47.25" x14ac:dyDescent="0.25">
      <c r="A10" s="34" t="s">
        <v>992</v>
      </c>
      <c r="B10" s="8" t="s">
        <v>133</v>
      </c>
      <c r="C10" s="8" t="s">
        <v>228</v>
      </c>
      <c r="D10" s="8" t="s">
        <v>906</v>
      </c>
      <c r="E10" s="8"/>
      <c r="F10" s="325">
        <f t="shared" ref="F10:G10" si="0">F11</f>
        <v>4243</v>
      </c>
      <c r="G10" s="325">
        <f t="shared" si="0"/>
        <v>4243</v>
      </c>
    </row>
    <row r="11" spans="1:11" ht="31.5" x14ac:dyDescent="0.25">
      <c r="A11" s="34" t="s">
        <v>1139</v>
      </c>
      <c r="B11" s="8" t="s">
        <v>133</v>
      </c>
      <c r="C11" s="8" t="s">
        <v>228</v>
      </c>
      <c r="D11" s="8" t="s">
        <v>1140</v>
      </c>
      <c r="E11" s="8"/>
      <c r="F11" s="325">
        <f>F12+F17</f>
        <v>4243</v>
      </c>
      <c r="G11" s="325">
        <f>G12+G17</f>
        <v>4243</v>
      </c>
    </row>
    <row r="12" spans="1:11" ht="63" x14ac:dyDescent="0.25">
      <c r="A12" s="45" t="s">
        <v>591</v>
      </c>
      <c r="B12" s="9" t="s">
        <v>133</v>
      </c>
      <c r="C12" s="9" t="s">
        <v>228</v>
      </c>
      <c r="D12" s="9" t="s">
        <v>1141</v>
      </c>
      <c r="E12" s="9"/>
      <c r="F12" s="326">
        <f>'Пр.5 Рд,пр, ЦС,ВР 20'!F12</f>
        <v>4201</v>
      </c>
      <c r="G12" s="326">
        <f t="shared" ref="G12:G70" si="1">F12</f>
        <v>4201</v>
      </c>
    </row>
    <row r="13" spans="1:11" ht="135" customHeight="1" x14ac:dyDescent="0.25">
      <c r="A13" s="45" t="s">
        <v>142</v>
      </c>
      <c r="B13" s="9" t="s">
        <v>133</v>
      </c>
      <c r="C13" s="9" t="s">
        <v>228</v>
      </c>
      <c r="D13" s="9" t="s">
        <v>1141</v>
      </c>
      <c r="E13" s="9" t="s">
        <v>143</v>
      </c>
      <c r="F13" s="326">
        <f>'Пр.5 Рд,пр, ЦС,ВР 20'!F13</f>
        <v>4111</v>
      </c>
      <c r="G13" s="326">
        <f t="shared" si="1"/>
        <v>4111</v>
      </c>
    </row>
    <row r="14" spans="1:11" ht="47.25" x14ac:dyDescent="0.25">
      <c r="A14" s="45" t="s">
        <v>144</v>
      </c>
      <c r="B14" s="9" t="s">
        <v>133</v>
      </c>
      <c r="C14" s="9" t="s">
        <v>228</v>
      </c>
      <c r="D14" s="9" t="s">
        <v>1141</v>
      </c>
      <c r="E14" s="9" t="s">
        <v>145</v>
      </c>
      <c r="F14" s="326">
        <f>'Пр.5 Рд,пр, ЦС,ВР 20'!F14</f>
        <v>4111</v>
      </c>
      <c r="G14" s="326">
        <f t="shared" si="1"/>
        <v>4111</v>
      </c>
    </row>
    <row r="15" spans="1:11" ht="47.25" x14ac:dyDescent="0.25">
      <c r="A15" s="45" t="s">
        <v>146</v>
      </c>
      <c r="B15" s="9" t="s">
        <v>133</v>
      </c>
      <c r="C15" s="9" t="s">
        <v>228</v>
      </c>
      <c r="D15" s="9" t="s">
        <v>1141</v>
      </c>
      <c r="E15" s="9" t="s">
        <v>147</v>
      </c>
      <c r="F15" s="326">
        <f>'Пр.5 Рд,пр, ЦС,ВР 20'!F15</f>
        <v>90</v>
      </c>
      <c r="G15" s="326">
        <f t="shared" si="1"/>
        <v>90</v>
      </c>
    </row>
    <row r="16" spans="1:11" ht="63" x14ac:dyDescent="0.25">
      <c r="A16" s="45" t="s">
        <v>148</v>
      </c>
      <c r="B16" s="9" t="s">
        <v>133</v>
      </c>
      <c r="C16" s="9" t="s">
        <v>228</v>
      </c>
      <c r="D16" s="9" t="s">
        <v>1141</v>
      </c>
      <c r="E16" s="9" t="s">
        <v>149</v>
      </c>
      <c r="F16" s="326">
        <f>'Пр.5 Рд,пр, ЦС,ВР 20'!F16</f>
        <v>90</v>
      </c>
      <c r="G16" s="326">
        <f t="shared" si="1"/>
        <v>90</v>
      </c>
    </row>
    <row r="17" spans="1:7" ht="63" x14ac:dyDescent="0.25">
      <c r="A17" s="31" t="s">
        <v>886</v>
      </c>
      <c r="B17" s="9" t="s">
        <v>133</v>
      </c>
      <c r="C17" s="9" t="s">
        <v>228</v>
      </c>
      <c r="D17" s="9" t="s">
        <v>1142</v>
      </c>
      <c r="E17" s="9"/>
      <c r="F17" s="326">
        <f>'Пр.5 Рд,пр, ЦС,ВР 20'!F17</f>
        <v>42</v>
      </c>
      <c r="G17" s="326">
        <f t="shared" si="1"/>
        <v>42</v>
      </c>
    </row>
    <row r="18" spans="1:7" ht="126" x14ac:dyDescent="0.25">
      <c r="A18" s="31" t="s">
        <v>142</v>
      </c>
      <c r="B18" s="9" t="s">
        <v>133</v>
      </c>
      <c r="C18" s="9" t="s">
        <v>228</v>
      </c>
      <c r="D18" s="9" t="s">
        <v>1142</v>
      </c>
      <c r="E18" s="9" t="s">
        <v>143</v>
      </c>
      <c r="F18" s="326">
        <f>'Пр.5 Рд,пр, ЦС,ВР 20'!F18</f>
        <v>42</v>
      </c>
      <c r="G18" s="326">
        <f t="shared" si="1"/>
        <v>42</v>
      </c>
    </row>
    <row r="19" spans="1:7" ht="47.25" x14ac:dyDescent="0.25">
      <c r="A19" s="31" t="s">
        <v>144</v>
      </c>
      <c r="B19" s="9" t="s">
        <v>133</v>
      </c>
      <c r="C19" s="9" t="s">
        <v>228</v>
      </c>
      <c r="D19" s="9" t="s">
        <v>1142</v>
      </c>
      <c r="E19" s="9" t="s">
        <v>145</v>
      </c>
      <c r="F19" s="326">
        <f>'Пр.5 Рд,пр, ЦС,ВР 20'!F19</f>
        <v>42</v>
      </c>
      <c r="G19" s="326">
        <f t="shared" si="1"/>
        <v>42</v>
      </c>
    </row>
    <row r="20" spans="1:7" ht="78.75" x14ac:dyDescent="0.25">
      <c r="A20" s="34" t="s">
        <v>1449</v>
      </c>
      <c r="B20" s="285" t="s">
        <v>133</v>
      </c>
      <c r="C20" s="8" t="s">
        <v>228</v>
      </c>
      <c r="D20" s="285" t="s">
        <v>177</v>
      </c>
      <c r="E20" s="8"/>
      <c r="F20" s="429">
        <f>F21</f>
        <v>25.5</v>
      </c>
      <c r="G20" s="429">
        <f>G21</f>
        <v>25.5</v>
      </c>
    </row>
    <row r="21" spans="1:7" ht="110.25" x14ac:dyDescent="0.25">
      <c r="A21" s="58" t="s">
        <v>891</v>
      </c>
      <c r="B21" s="285" t="s">
        <v>133</v>
      </c>
      <c r="C21" s="8" t="s">
        <v>228</v>
      </c>
      <c r="D21" s="8" t="s">
        <v>898</v>
      </c>
      <c r="E21" s="8"/>
      <c r="F21" s="429">
        <f>F22+F25</f>
        <v>25.5</v>
      </c>
      <c r="G21" s="429">
        <f>G22+G25</f>
        <v>25.5</v>
      </c>
    </row>
    <row r="22" spans="1:7" ht="89.25" customHeight="1" x14ac:dyDescent="0.25">
      <c r="A22" s="31" t="s">
        <v>711</v>
      </c>
      <c r="B22" s="32" t="s">
        <v>133</v>
      </c>
      <c r="C22" s="32" t="s">
        <v>228</v>
      </c>
      <c r="D22" s="9" t="s">
        <v>1147</v>
      </c>
      <c r="E22" s="32"/>
      <c r="F22" s="326">
        <f>'Пр.5 Рд,пр, ЦС,ВР 20'!F22</f>
        <v>0.5</v>
      </c>
      <c r="G22" s="326">
        <f t="shared" si="1"/>
        <v>0.5</v>
      </c>
    </row>
    <row r="23" spans="1:7" ht="51.75" customHeight="1" x14ac:dyDescent="0.25">
      <c r="A23" s="31" t="s">
        <v>146</v>
      </c>
      <c r="B23" s="32" t="s">
        <v>133</v>
      </c>
      <c r="C23" s="32" t="s">
        <v>228</v>
      </c>
      <c r="D23" s="9" t="s">
        <v>1147</v>
      </c>
      <c r="E23" s="32" t="s">
        <v>147</v>
      </c>
      <c r="F23" s="326">
        <f>'Пр.5 Рд,пр, ЦС,ВР 20'!F23</f>
        <v>0.5</v>
      </c>
      <c r="G23" s="326">
        <f t="shared" si="1"/>
        <v>0.5</v>
      </c>
    </row>
    <row r="24" spans="1:7" ht="69.75" customHeight="1" x14ac:dyDescent="0.25">
      <c r="A24" s="31" t="s">
        <v>148</v>
      </c>
      <c r="B24" s="32" t="s">
        <v>133</v>
      </c>
      <c r="C24" s="32" t="s">
        <v>228</v>
      </c>
      <c r="D24" s="9" t="s">
        <v>712</v>
      </c>
      <c r="E24" s="32" t="s">
        <v>149</v>
      </c>
      <c r="F24" s="326">
        <f>'Пр.5 Рд,пр, ЦС,ВР 20'!F24</f>
        <v>0.5</v>
      </c>
      <c r="G24" s="326">
        <f t="shared" si="1"/>
        <v>0.5</v>
      </c>
    </row>
    <row r="25" spans="1:7" ht="83.25" customHeight="1" x14ac:dyDescent="0.25">
      <c r="A25" s="31" t="s">
        <v>711</v>
      </c>
      <c r="B25" s="32" t="s">
        <v>133</v>
      </c>
      <c r="C25" s="32" t="s">
        <v>228</v>
      </c>
      <c r="D25" s="32" t="s">
        <v>1146</v>
      </c>
      <c r="E25" s="32"/>
      <c r="F25" s="326">
        <f>'Пр.5 Рд,пр, ЦС,ВР 20'!F25</f>
        <v>25</v>
      </c>
      <c r="G25" s="326">
        <f t="shared" si="1"/>
        <v>25</v>
      </c>
    </row>
    <row r="26" spans="1:7" ht="54.75" customHeight="1" x14ac:dyDescent="0.25">
      <c r="A26" s="31" t="s">
        <v>146</v>
      </c>
      <c r="B26" s="32" t="s">
        <v>133</v>
      </c>
      <c r="C26" s="32" t="s">
        <v>228</v>
      </c>
      <c r="D26" s="32" t="s">
        <v>1146</v>
      </c>
      <c r="E26" s="32" t="s">
        <v>147</v>
      </c>
      <c r="F26" s="326">
        <f>'Пр.5 Рд,пр, ЦС,ВР 20'!F26</f>
        <v>25</v>
      </c>
      <c r="G26" s="326">
        <f t="shared" si="1"/>
        <v>25</v>
      </c>
    </row>
    <row r="27" spans="1:7" ht="71.25" customHeight="1" x14ac:dyDescent="0.25">
      <c r="A27" s="31" t="s">
        <v>148</v>
      </c>
      <c r="B27" s="32" t="s">
        <v>133</v>
      </c>
      <c r="C27" s="32" t="s">
        <v>228</v>
      </c>
      <c r="D27" s="32" t="s">
        <v>1146</v>
      </c>
      <c r="E27" s="32" t="s">
        <v>149</v>
      </c>
      <c r="F27" s="326">
        <f>'Пр.5 Рд,пр, ЦС,ВР 20'!F27</f>
        <v>25</v>
      </c>
      <c r="G27" s="326">
        <f t="shared" si="1"/>
        <v>25</v>
      </c>
    </row>
    <row r="28" spans="1:7" ht="102" customHeight="1" x14ac:dyDescent="0.25">
      <c r="A28" s="58" t="s">
        <v>593</v>
      </c>
      <c r="B28" s="8" t="s">
        <v>133</v>
      </c>
      <c r="C28" s="8" t="s">
        <v>230</v>
      </c>
      <c r="D28" s="8"/>
      <c r="E28" s="8"/>
      <c r="F28" s="325">
        <f t="shared" ref="F28:G29" si="2">F29</f>
        <v>1091</v>
      </c>
      <c r="G28" s="325">
        <f t="shared" si="2"/>
        <v>1091</v>
      </c>
    </row>
    <row r="29" spans="1:7" ht="54" customHeight="1" x14ac:dyDescent="0.25">
      <c r="A29" s="34" t="s">
        <v>992</v>
      </c>
      <c r="B29" s="8" t="s">
        <v>133</v>
      </c>
      <c r="C29" s="8" t="s">
        <v>230</v>
      </c>
      <c r="D29" s="8" t="s">
        <v>906</v>
      </c>
      <c r="E29" s="8"/>
      <c r="F29" s="325">
        <f t="shared" si="2"/>
        <v>1091</v>
      </c>
      <c r="G29" s="325">
        <f t="shared" si="2"/>
        <v>1091</v>
      </c>
    </row>
    <row r="30" spans="1:7" ht="38.25" customHeight="1" x14ac:dyDescent="0.25">
      <c r="A30" s="34" t="s">
        <v>1139</v>
      </c>
      <c r="B30" s="8" t="s">
        <v>133</v>
      </c>
      <c r="C30" s="8" t="s">
        <v>230</v>
      </c>
      <c r="D30" s="8" t="s">
        <v>1140</v>
      </c>
      <c r="E30" s="8"/>
      <c r="F30" s="325">
        <f>F31+F36</f>
        <v>1091</v>
      </c>
      <c r="G30" s="325">
        <f>G31+G36</f>
        <v>1091</v>
      </c>
    </row>
    <row r="31" spans="1:7" ht="47.25" x14ac:dyDescent="0.25">
      <c r="A31" s="31" t="s">
        <v>1143</v>
      </c>
      <c r="B31" s="9" t="s">
        <v>133</v>
      </c>
      <c r="C31" s="9" t="s">
        <v>230</v>
      </c>
      <c r="D31" s="9" t="s">
        <v>1144</v>
      </c>
      <c r="E31" s="9"/>
      <c r="F31" s="326">
        <f>'Пр.5 Рд,пр, ЦС,ВР 20'!F31</f>
        <v>1091</v>
      </c>
      <c r="G31" s="326">
        <f t="shared" si="1"/>
        <v>1091</v>
      </c>
    </row>
    <row r="32" spans="1:7" ht="135.75" customHeight="1" x14ac:dyDescent="0.25">
      <c r="A32" s="45" t="s">
        <v>142</v>
      </c>
      <c r="B32" s="9" t="s">
        <v>133</v>
      </c>
      <c r="C32" s="9" t="s">
        <v>230</v>
      </c>
      <c r="D32" s="9" t="s">
        <v>1144</v>
      </c>
      <c r="E32" s="9" t="s">
        <v>143</v>
      </c>
      <c r="F32" s="326">
        <f>'Пр.5 Рд,пр, ЦС,ВР 20'!F32</f>
        <v>998</v>
      </c>
      <c r="G32" s="326">
        <f t="shared" si="1"/>
        <v>998</v>
      </c>
    </row>
    <row r="33" spans="1:7" ht="52.5" customHeight="1" x14ac:dyDescent="0.25">
      <c r="A33" s="45" t="s">
        <v>144</v>
      </c>
      <c r="B33" s="9" t="s">
        <v>133</v>
      </c>
      <c r="C33" s="9" t="s">
        <v>230</v>
      </c>
      <c r="D33" s="9" t="s">
        <v>1144</v>
      </c>
      <c r="E33" s="9" t="s">
        <v>145</v>
      </c>
      <c r="F33" s="326">
        <f>'Пр.5 Рд,пр, ЦС,ВР 20'!F33</f>
        <v>998</v>
      </c>
      <c r="G33" s="326">
        <f t="shared" si="1"/>
        <v>998</v>
      </c>
    </row>
    <row r="34" spans="1:7" ht="54" customHeight="1" x14ac:dyDescent="0.25">
      <c r="A34" s="45" t="s">
        <v>146</v>
      </c>
      <c r="B34" s="9" t="s">
        <v>133</v>
      </c>
      <c r="C34" s="9" t="s">
        <v>230</v>
      </c>
      <c r="D34" s="9" t="s">
        <v>1144</v>
      </c>
      <c r="E34" s="9" t="s">
        <v>147</v>
      </c>
      <c r="F34" s="326">
        <f>'Пр.5 Рд,пр, ЦС,ВР 20'!F34</f>
        <v>93</v>
      </c>
      <c r="G34" s="326">
        <f t="shared" si="1"/>
        <v>93</v>
      </c>
    </row>
    <row r="35" spans="1:7" ht="63" x14ac:dyDescent="0.25">
      <c r="A35" s="45" t="s">
        <v>148</v>
      </c>
      <c r="B35" s="9" t="s">
        <v>133</v>
      </c>
      <c r="C35" s="9" t="s">
        <v>230</v>
      </c>
      <c r="D35" s="9" t="s">
        <v>1144</v>
      </c>
      <c r="E35" s="9" t="s">
        <v>149</v>
      </c>
      <c r="F35" s="326">
        <f>'Пр.5 Рд,пр, ЦС,ВР 20'!F35</f>
        <v>93</v>
      </c>
      <c r="G35" s="326">
        <f t="shared" si="1"/>
        <v>93</v>
      </c>
    </row>
    <row r="36" spans="1:7" ht="63" hidden="1" x14ac:dyDescent="0.25">
      <c r="A36" s="31" t="s">
        <v>886</v>
      </c>
      <c r="B36" s="9" t="s">
        <v>133</v>
      </c>
      <c r="C36" s="9" t="s">
        <v>230</v>
      </c>
      <c r="D36" s="9" t="s">
        <v>1142</v>
      </c>
      <c r="E36" s="9"/>
      <c r="F36" s="326">
        <f>'Пр.5 Рд,пр, ЦС,ВР 20'!F36</f>
        <v>0</v>
      </c>
      <c r="G36" s="326">
        <f t="shared" si="1"/>
        <v>0</v>
      </c>
    </row>
    <row r="37" spans="1:7" ht="126" hidden="1" x14ac:dyDescent="0.25">
      <c r="A37" s="31" t="s">
        <v>142</v>
      </c>
      <c r="B37" s="9" t="s">
        <v>133</v>
      </c>
      <c r="C37" s="9" t="s">
        <v>230</v>
      </c>
      <c r="D37" s="9" t="s">
        <v>1142</v>
      </c>
      <c r="E37" s="9" t="s">
        <v>143</v>
      </c>
      <c r="F37" s="326">
        <f>'Пр.5 Рд,пр, ЦС,ВР 20'!F37</f>
        <v>0</v>
      </c>
      <c r="G37" s="326">
        <f t="shared" si="1"/>
        <v>0</v>
      </c>
    </row>
    <row r="38" spans="1:7" ht="39.75" hidden="1" customHeight="1" x14ac:dyDescent="0.25">
      <c r="A38" s="31" t="s">
        <v>144</v>
      </c>
      <c r="B38" s="9" t="s">
        <v>133</v>
      </c>
      <c r="C38" s="9" t="s">
        <v>230</v>
      </c>
      <c r="D38" s="9" t="s">
        <v>1142</v>
      </c>
      <c r="E38" s="9" t="s">
        <v>145</v>
      </c>
      <c r="F38" s="326">
        <f>'Пр.5 Рд,пр, ЦС,ВР 20'!F38</f>
        <v>0</v>
      </c>
      <c r="G38" s="326">
        <f t="shared" si="1"/>
        <v>0</v>
      </c>
    </row>
    <row r="39" spans="1:7" ht="132" customHeight="1" x14ac:dyDescent="0.25">
      <c r="A39" s="58" t="s">
        <v>164</v>
      </c>
      <c r="B39" s="8" t="s">
        <v>133</v>
      </c>
      <c r="C39" s="8" t="s">
        <v>165</v>
      </c>
      <c r="D39" s="8"/>
      <c r="E39" s="8"/>
      <c r="F39" s="325">
        <f>F40+F79</f>
        <v>62536.4</v>
      </c>
      <c r="G39" s="325">
        <f>G40+G79</f>
        <v>62593.1</v>
      </c>
    </row>
    <row r="40" spans="1:7" ht="54" customHeight="1" x14ac:dyDescent="0.25">
      <c r="A40" s="34" t="s">
        <v>992</v>
      </c>
      <c r="B40" s="8" t="s">
        <v>133</v>
      </c>
      <c r="C40" s="8" t="s">
        <v>165</v>
      </c>
      <c r="D40" s="8" t="s">
        <v>906</v>
      </c>
      <c r="E40" s="8"/>
      <c r="F40" s="325">
        <f>F41+F57</f>
        <v>62012.9</v>
      </c>
      <c r="G40" s="325">
        <f>G41+G57</f>
        <v>62069.599999999999</v>
      </c>
    </row>
    <row r="41" spans="1:7" ht="31.5" x14ac:dyDescent="0.25">
      <c r="A41" s="34" t="s">
        <v>993</v>
      </c>
      <c r="B41" s="8" t="s">
        <v>133</v>
      </c>
      <c r="C41" s="8" t="s">
        <v>165</v>
      </c>
      <c r="D41" s="8" t="s">
        <v>907</v>
      </c>
      <c r="E41" s="8"/>
      <c r="F41" s="325">
        <f>F42+F51+F54</f>
        <v>58868</v>
      </c>
      <c r="G41" s="325">
        <f>G42+G51+G54</f>
        <v>58858</v>
      </c>
    </row>
    <row r="42" spans="1:7" ht="51.75" customHeight="1" x14ac:dyDescent="0.25">
      <c r="A42" s="45" t="s">
        <v>969</v>
      </c>
      <c r="B42" s="9" t="s">
        <v>133</v>
      </c>
      <c r="C42" s="9" t="s">
        <v>165</v>
      </c>
      <c r="D42" s="9" t="s">
        <v>908</v>
      </c>
      <c r="E42" s="9"/>
      <c r="F42" s="326">
        <f>F43+F45+F47+F49</f>
        <v>54016</v>
      </c>
      <c r="G42" s="326">
        <f>G43+G45+G47+G49</f>
        <v>54006</v>
      </c>
    </row>
    <row r="43" spans="1:7" ht="126" x14ac:dyDescent="0.25">
      <c r="A43" s="45" t="s">
        <v>142</v>
      </c>
      <c r="B43" s="9" t="s">
        <v>133</v>
      </c>
      <c r="C43" s="9" t="s">
        <v>165</v>
      </c>
      <c r="D43" s="9" t="s">
        <v>908</v>
      </c>
      <c r="E43" s="9" t="s">
        <v>143</v>
      </c>
      <c r="F43" s="326">
        <f>'Пр.5 Рд,пр, ЦС,ВР 20'!F43</f>
        <v>47546</v>
      </c>
      <c r="G43" s="326">
        <f t="shared" si="1"/>
        <v>47546</v>
      </c>
    </row>
    <row r="44" spans="1:7" ht="49.5" customHeight="1" x14ac:dyDescent="0.25">
      <c r="A44" s="45" t="s">
        <v>144</v>
      </c>
      <c r="B44" s="9" t="s">
        <v>133</v>
      </c>
      <c r="C44" s="9" t="s">
        <v>165</v>
      </c>
      <c r="D44" s="9" t="s">
        <v>908</v>
      </c>
      <c r="E44" s="9" t="s">
        <v>145</v>
      </c>
      <c r="F44" s="326">
        <f>'Пр.5 Рд,пр, ЦС,ВР 20'!F44</f>
        <v>47546</v>
      </c>
      <c r="G44" s="326">
        <f t="shared" si="1"/>
        <v>47546</v>
      </c>
    </row>
    <row r="45" spans="1:7" ht="60.75" customHeight="1" x14ac:dyDescent="0.25">
      <c r="A45" s="45" t="s">
        <v>146</v>
      </c>
      <c r="B45" s="9" t="s">
        <v>133</v>
      </c>
      <c r="C45" s="9" t="s">
        <v>165</v>
      </c>
      <c r="D45" s="9" t="s">
        <v>908</v>
      </c>
      <c r="E45" s="9" t="s">
        <v>147</v>
      </c>
      <c r="F45" s="326">
        <f>F46</f>
        <v>5509</v>
      </c>
      <c r="G45" s="326">
        <f>G46</f>
        <v>5499</v>
      </c>
    </row>
    <row r="46" spans="1:7" ht="74.25" customHeight="1" x14ac:dyDescent="0.25">
      <c r="A46" s="45" t="s">
        <v>148</v>
      </c>
      <c r="B46" s="9" t="s">
        <v>133</v>
      </c>
      <c r="C46" s="9" t="s">
        <v>165</v>
      </c>
      <c r="D46" s="9" t="s">
        <v>908</v>
      </c>
      <c r="E46" s="9" t="s">
        <v>149</v>
      </c>
      <c r="F46" s="326">
        <f>'пр.6.1.ведом.21-22'!G39+'пр.6.1.ведом.21-22'!G495</f>
        <v>5509</v>
      </c>
      <c r="G46" s="326">
        <f>'пр.6.1.ведом.21-22'!H39+'пр.6.1.ведом.21-22'!H495</f>
        <v>5499</v>
      </c>
    </row>
    <row r="47" spans="1:7" ht="31.5" x14ac:dyDescent="0.25">
      <c r="A47" s="31" t="s">
        <v>263</v>
      </c>
      <c r="B47" s="9" t="s">
        <v>133</v>
      </c>
      <c r="C47" s="9" t="s">
        <v>165</v>
      </c>
      <c r="D47" s="9" t="s">
        <v>908</v>
      </c>
      <c r="E47" s="9" t="s">
        <v>264</v>
      </c>
      <c r="F47" s="326">
        <f>'Пр.5 Рд,пр, ЦС,ВР 20'!F47</f>
        <v>755</v>
      </c>
      <c r="G47" s="326">
        <f t="shared" si="1"/>
        <v>755</v>
      </c>
    </row>
    <row r="48" spans="1:7" ht="63" x14ac:dyDescent="0.25">
      <c r="A48" s="31" t="s">
        <v>265</v>
      </c>
      <c r="B48" s="9" t="s">
        <v>133</v>
      </c>
      <c r="C48" s="9" t="s">
        <v>165</v>
      </c>
      <c r="D48" s="9" t="s">
        <v>908</v>
      </c>
      <c r="E48" s="9" t="s">
        <v>266</v>
      </c>
      <c r="F48" s="326">
        <f>'Пр.5 Рд,пр, ЦС,ВР 20'!F48</f>
        <v>755</v>
      </c>
      <c r="G48" s="326">
        <f t="shared" si="1"/>
        <v>755</v>
      </c>
    </row>
    <row r="49" spans="1:7" ht="31.5" x14ac:dyDescent="0.25">
      <c r="A49" s="45" t="s">
        <v>150</v>
      </c>
      <c r="B49" s="9" t="s">
        <v>133</v>
      </c>
      <c r="C49" s="9" t="s">
        <v>165</v>
      </c>
      <c r="D49" s="9" t="s">
        <v>908</v>
      </c>
      <c r="E49" s="9" t="s">
        <v>160</v>
      </c>
      <c r="F49" s="326">
        <f>'Пр.5 Рд,пр, ЦС,ВР 20'!F49</f>
        <v>206</v>
      </c>
      <c r="G49" s="326">
        <f t="shared" si="1"/>
        <v>206</v>
      </c>
    </row>
    <row r="50" spans="1:7" ht="33.75" customHeight="1" x14ac:dyDescent="0.25">
      <c r="A50" s="45" t="s">
        <v>583</v>
      </c>
      <c r="B50" s="9" t="s">
        <v>133</v>
      </c>
      <c r="C50" s="9" t="s">
        <v>165</v>
      </c>
      <c r="D50" s="9" t="s">
        <v>908</v>
      </c>
      <c r="E50" s="9" t="s">
        <v>153</v>
      </c>
      <c r="F50" s="326">
        <f>'Пр.5 Рд,пр, ЦС,ВР 20'!F50</f>
        <v>206</v>
      </c>
      <c r="G50" s="326">
        <f t="shared" si="1"/>
        <v>206</v>
      </c>
    </row>
    <row r="51" spans="1:7" ht="63" x14ac:dyDescent="0.25">
      <c r="A51" s="31" t="s">
        <v>168</v>
      </c>
      <c r="B51" s="32" t="s">
        <v>133</v>
      </c>
      <c r="C51" s="32" t="s">
        <v>165</v>
      </c>
      <c r="D51" s="9" t="s">
        <v>909</v>
      </c>
      <c r="E51" s="32"/>
      <c r="F51" s="326">
        <f>'Пр.5 Рд,пр, ЦС,ВР 20'!F51</f>
        <v>2962</v>
      </c>
      <c r="G51" s="326">
        <f t="shared" si="1"/>
        <v>2962</v>
      </c>
    </row>
    <row r="52" spans="1:7" ht="135" customHeight="1" x14ac:dyDescent="0.25">
      <c r="A52" s="31" t="s">
        <v>142</v>
      </c>
      <c r="B52" s="32" t="s">
        <v>133</v>
      </c>
      <c r="C52" s="32" t="s">
        <v>165</v>
      </c>
      <c r="D52" s="9" t="s">
        <v>909</v>
      </c>
      <c r="E52" s="32" t="s">
        <v>143</v>
      </c>
      <c r="F52" s="326">
        <f>'Пр.5 Рд,пр, ЦС,ВР 20'!F52</f>
        <v>2962</v>
      </c>
      <c r="G52" s="326">
        <f t="shared" si="1"/>
        <v>2962</v>
      </c>
    </row>
    <row r="53" spans="1:7" ht="56.25" customHeight="1" x14ac:dyDescent="0.25">
      <c r="A53" s="31" t="s">
        <v>144</v>
      </c>
      <c r="B53" s="32" t="s">
        <v>133</v>
      </c>
      <c r="C53" s="32" t="s">
        <v>165</v>
      </c>
      <c r="D53" s="9" t="s">
        <v>909</v>
      </c>
      <c r="E53" s="32" t="s">
        <v>145</v>
      </c>
      <c r="F53" s="326">
        <f>'Пр.5 Рд,пр, ЦС,ВР 20'!F53</f>
        <v>2962</v>
      </c>
      <c r="G53" s="326">
        <f t="shared" si="1"/>
        <v>2962</v>
      </c>
    </row>
    <row r="54" spans="1:7" ht="70.5" customHeight="1" x14ac:dyDescent="0.25">
      <c r="A54" s="31" t="s">
        <v>886</v>
      </c>
      <c r="B54" s="9" t="s">
        <v>133</v>
      </c>
      <c r="C54" s="32" t="s">
        <v>165</v>
      </c>
      <c r="D54" s="9" t="s">
        <v>910</v>
      </c>
      <c r="E54" s="9"/>
      <c r="F54" s="326">
        <f>'Пр.5 Рд,пр, ЦС,ВР 20'!F54</f>
        <v>1890</v>
      </c>
      <c r="G54" s="326">
        <f t="shared" si="1"/>
        <v>1890</v>
      </c>
    </row>
    <row r="55" spans="1:7" ht="133.5" customHeight="1" x14ac:dyDescent="0.25">
      <c r="A55" s="31" t="s">
        <v>142</v>
      </c>
      <c r="B55" s="9" t="s">
        <v>133</v>
      </c>
      <c r="C55" s="32" t="s">
        <v>165</v>
      </c>
      <c r="D55" s="9" t="s">
        <v>910</v>
      </c>
      <c r="E55" s="9" t="s">
        <v>143</v>
      </c>
      <c r="F55" s="326">
        <f>'Пр.5 Рд,пр, ЦС,ВР 20'!F55</f>
        <v>1890</v>
      </c>
      <c r="G55" s="326">
        <f t="shared" si="1"/>
        <v>1890</v>
      </c>
    </row>
    <row r="56" spans="1:7" ht="57" customHeight="1" x14ac:dyDescent="0.25">
      <c r="A56" s="31" t="s">
        <v>144</v>
      </c>
      <c r="B56" s="9" t="s">
        <v>133</v>
      </c>
      <c r="C56" s="32" t="s">
        <v>165</v>
      </c>
      <c r="D56" s="9" t="s">
        <v>910</v>
      </c>
      <c r="E56" s="9" t="s">
        <v>145</v>
      </c>
      <c r="F56" s="326">
        <f>'Пр.5 Рд,пр, ЦС,ВР 20'!F56</f>
        <v>1890</v>
      </c>
      <c r="G56" s="326">
        <f t="shared" si="1"/>
        <v>1890</v>
      </c>
    </row>
    <row r="57" spans="1:7" ht="63" x14ac:dyDescent="0.25">
      <c r="A57" s="34" t="s">
        <v>934</v>
      </c>
      <c r="B57" s="8" t="s">
        <v>133</v>
      </c>
      <c r="C57" s="285" t="s">
        <v>165</v>
      </c>
      <c r="D57" s="8" t="s">
        <v>911</v>
      </c>
      <c r="E57" s="8"/>
      <c r="F57" s="325">
        <f>F58+F61+F66+F71+F76</f>
        <v>3144.9</v>
      </c>
      <c r="G57" s="325">
        <f>G58+G61+G66+G71+G76</f>
        <v>3211.6</v>
      </c>
    </row>
    <row r="58" spans="1:7" ht="63" x14ac:dyDescent="0.25">
      <c r="A58" s="31" t="s">
        <v>202</v>
      </c>
      <c r="B58" s="9" t="s">
        <v>133</v>
      </c>
      <c r="C58" s="32" t="s">
        <v>165</v>
      </c>
      <c r="D58" s="9" t="s">
        <v>1269</v>
      </c>
      <c r="E58" s="8"/>
      <c r="F58" s="326">
        <f>F59</f>
        <v>6.3</v>
      </c>
      <c r="G58" s="326">
        <f>G59</f>
        <v>51</v>
      </c>
    </row>
    <row r="59" spans="1:7" ht="47.25" x14ac:dyDescent="0.25">
      <c r="A59" s="31" t="s">
        <v>146</v>
      </c>
      <c r="B59" s="9" t="s">
        <v>133</v>
      </c>
      <c r="C59" s="32" t="s">
        <v>165</v>
      </c>
      <c r="D59" s="9" t="s">
        <v>1269</v>
      </c>
      <c r="E59" s="9" t="s">
        <v>147</v>
      </c>
      <c r="F59" s="326">
        <f>F60</f>
        <v>6.3</v>
      </c>
      <c r="G59" s="326">
        <f>G60</f>
        <v>51</v>
      </c>
    </row>
    <row r="60" spans="1:7" ht="63" x14ac:dyDescent="0.25">
      <c r="A60" s="31" t="s">
        <v>148</v>
      </c>
      <c r="B60" s="9" t="s">
        <v>133</v>
      </c>
      <c r="C60" s="32" t="s">
        <v>165</v>
      </c>
      <c r="D60" s="9" t="s">
        <v>1269</v>
      </c>
      <c r="E60" s="9" t="s">
        <v>149</v>
      </c>
      <c r="F60" s="326">
        <f>'пр.6.1.ведом.21-22'!G53</f>
        <v>6.3</v>
      </c>
      <c r="G60" s="326">
        <f>'пр.6.1.ведом.21-22'!H53</f>
        <v>51</v>
      </c>
    </row>
    <row r="61" spans="1:7" ht="78.75" x14ac:dyDescent="0.25">
      <c r="A61" s="45" t="s">
        <v>204</v>
      </c>
      <c r="B61" s="9" t="s">
        <v>133</v>
      </c>
      <c r="C61" s="32" t="s">
        <v>165</v>
      </c>
      <c r="D61" s="9" t="s">
        <v>997</v>
      </c>
      <c r="E61" s="9"/>
      <c r="F61" s="326">
        <f>F62+F64</f>
        <v>567.40000000000009</v>
      </c>
      <c r="G61" s="326">
        <f>G62+G64</f>
        <v>589.40000000000009</v>
      </c>
    </row>
    <row r="62" spans="1:7" ht="126" x14ac:dyDescent="0.25">
      <c r="A62" s="45" t="s">
        <v>142</v>
      </c>
      <c r="B62" s="9" t="s">
        <v>133</v>
      </c>
      <c r="C62" s="32" t="s">
        <v>165</v>
      </c>
      <c r="D62" s="9" t="s">
        <v>997</v>
      </c>
      <c r="E62" s="9" t="s">
        <v>143</v>
      </c>
      <c r="F62" s="326">
        <f>F63</f>
        <v>528.70000000000005</v>
      </c>
      <c r="G62" s="326">
        <f>G63</f>
        <v>528.70000000000005</v>
      </c>
    </row>
    <row r="63" spans="1:7" ht="57" customHeight="1" x14ac:dyDescent="0.25">
      <c r="A63" s="45" t="s">
        <v>144</v>
      </c>
      <c r="B63" s="9" t="s">
        <v>133</v>
      </c>
      <c r="C63" s="32" t="s">
        <v>165</v>
      </c>
      <c r="D63" s="9" t="s">
        <v>997</v>
      </c>
      <c r="E63" s="9" t="s">
        <v>145</v>
      </c>
      <c r="F63" s="326">
        <f>'пр.6.1.ведом.21-22'!G56</f>
        <v>528.70000000000005</v>
      </c>
      <c r="G63" s="326">
        <f>'пр.6.1.ведом.21-22'!H56</f>
        <v>528.70000000000005</v>
      </c>
    </row>
    <row r="64" spans="1:7" ht="63" customHeight="1" x14ac:dyDescent="0.25">
      <c r="A64" s="31" t="s">
        <v>146</v>
      </c>
      <c r="B64" s="9" t="s">
        <v>133</v>
      </c>
      <c r="C64" s="32" t="s">
        <v>165</v>
      </c>
      <c r="D64" s="9" t="s">
        <v>997</v>
      </c>
      <c r="E64" s="9" t="s">
        <v>147</v>
      </c>
      <c r="F64" s="326">
        <f>F65</f>
        <v>38.700000000000003</v>
      </c>
      <c r="G64" s="326">
        <f>G65</f>
        <v>60.7</v>
      </c>
    </row>
    <row r="65" spans="1:7" ht="73.5" customHeight="1" x14ac:dyDescent="0.25">
      <c r="A65" s="31" t="s">
        <v>148</v>
      </c>
      <c r="B65" s="9" t="s">
        <v>133</v>
      </c>
      <c r="C65" s="32" t="s">
        <v>165</v>
      </c>
      <c r="D65" s="9" t="s">
        <v>997</v>
      </c>
      <c r="E65" s="9" t="s">
        <v>149</v>
      </c>
      <c r="F65" s="326">
        <f>'пр.6.1.ведом.21-22'!G58</f>
        <v>38.700000000000003</v>
      </c>
      <c r="G65" s="326">
        <f>'пр.6.1.ведом.21-22'!H58</f>
        <v>60.7</v>
      </c>
    </row>
    <row r="66" spans="1:7" ht="94.5" x14ac:dyDescent="0.25">
      <c r="A66" s="31" t="s">
        <v>209</v>
      </c>
      <c r="B66" s="9" t="s">
        <v>133</v>
      </c>
      <c r="C66" s="32" t="s">
        <v>165</v>
      </c>
      <c r="D66" s="9" t="s">
        <v>1206</v>
      </c>
      <c r="E66" s="9"/>
      <c r="F66" s="326">
        <f>'Пр.5 Рд,пр, ЦС,ВР 20'!F69</f>
        <v>1433.3</v>
      </c>
      <c r="G66" s="326">
        <f t="shared" si="1"/>
        <v>1433.3</v>
      </c>
    </row>
    <row r="67" spans="1:7" ht="137.25" customHeight="1" x14ac:dyDescent="0.25">
      <c r="A67" s="45" t="s">
        <v>142</v>
      </c>
      <c r="B67" s="9" t="s">
        <v>133</v>
      </c>
      <c r="C67" s="32" t="s">
        <v>165</v>
      </c>
      <c r="D67" s="9" t="s">
        <v>1206</v>
      </c>
      <c r="E67" s="9" t="s">
        <v>143</v>
      </c>
      <c r="F67" s="326">
        <f>'Пр.5 Рд,пр, ЦС,ВР 20'!F70</f>
        <v>1372.1</v>
      </c>
      <c r="G67" s="326">
        <f t="shared" si="1"/>
        <v>1372.1</v>
      </c>
    </row>
    <row r="68" spans="1:7" ht="56.25" customHeight="1" x14ac:dyDescent="0.25">
      <c r="A68" s="45" t="s">
        <v>144</v>
      </c>
      <c r="B68" s="9" t="s">
        <v>133</v>
      </c>
      <c r="C68" s="32" t="s">
        <v>165</v>
      </c>
      <c r="D68" s="9" t="s">
        <v>1206</v>
      </c>
      <c r="E68" s="9" t="s">
        <v>145</v>
      </c>
      <c r="F68" s="326">
        <f>'Пр.5 Рд,пр, ЦС,ВР 20'!F71</f>
        <v>1372.1</v>
      </c>
      <c r="G68" s="326">
        <f t="shared" si="1"/>
        <v>1372.1</v>
      </c>
    </row>
    <row r="69" spans="1:7" ht="54" customHeight="1" x14ac:dyDescent="0.25">
      <c r="A69" s="31" t="s">
        <v>146</v>
      </c>
      <c r="B69" s="9" t="s">
        <v>133</v>
      </c>
      <c r="C69" s="32" t="s">
        <v>165</v>
      </c>
      <c r="D69" s="9" t="s">
        <v>1206</v>
      </c>
      <c r="E69" s="9" t="s">
        <v>147</v>
      </c>
      <c r="F69" s="326">
        <f>'Пр.5 Рд,пр, ЦС,ВР 20'!F72</f>
        <v>61.2</v>
      </c>
      <c r="G69" s="326">
        <f t="shared" si="1"/>
        <v>61.2</v>
      </c>
    </row>
    <row r="70" spans="1:7" ht="69" customHeight="1" x14ac:dyDescent="0.25">
      <c r="A70" s="31" t="s">
        <v>148</v>
      </c>
      <c r="B70" s="9" t="s">
        <v>133</v>
      </c>
      <c r="C70" s="32" t="s">
        <v>165</v>
      </c>
      <c r="D70" s="9" t="s">
        <v>1206</v>
      </c>
      <c r="E70" s="9" t="s">
        <v>149</v>
      </c>
      <c r="F70" s="326">
        <f>'Пр.5 Рд,пр, ЦС,ВР 20'!F73</f>
        <v>61.2</v>
      </c>
      <c r="G70" s="326">
        <f t="shared" si="1"/>
        <v>61.2</v>
      </c>
    </row>
    <row r="71" spans="1:7" ht="75" customHeight="1" x14ac:dyDescent="0.25">
      <c r="A71" s="45" t="s">
        <v>211</v>
      </c>
      <c r="B71" s="9" t="s">
        <v>133</v>
      </c>
      <c r="C71" s="32" t="s">
        <v>165</v>
      </c>
      <c r="D71" s="9" t="s">
        <v>998</v>
      </c>
      <c r="E71" s="9"/>
      <c r="F71" s="326">
        <f>'Пр.5 Рд,пр, ЦС,ВР 20'!F74</f>
        <v>1115.9000000000001</v>
      </c>
      <c r="G71" s="326">
        <f t="shared" ref="G71:G145" si="3">F71</f>
        <v>1115.9000000000001</v>
      </c>
    </row>
    <row r="72" spans="1:7" ht="132.75" customHeight="1" x14ac:dyDescent="0.25">
      <c r="A72" s="45" t="s">
        <v>142</v>
      </c>
      <c r="B72" s="9" t="s">
        <v>133</v>
      </c>
      <c r="C72" s="32" t="s">
        <v>165</v>
      </c>
      <c r="D72" s="9" t="s">
        <v>998</v>
      </c>
      <c r="E72" s="9" t="s">
        <v>143</v>
      </c>
      <c r="F72" s="326">
        <f>'Пр.5 Рд,пр, ЦС,ВР 20'!F75</f>
        <v>1026.5</v>
      </c>
      <c r="G72" s="326">
        <f t="shared" si="3"/>
        <v>1026.5</v>
      </c>
    </row>
    <row r="73" spans="1:7" ht="61.5" customHeight="1" x14ac:dyDescent="0.25">
      <c r="A73" s="45" t="s">
        <v>144</v>
      </c>
      <c r="B73" s="9" t="s">
        <v>133</v>
      </c>
      <c r="C73" s="32" t="s">
        <v>165</v>
      </c>
      <c r="D73" s="9" t="s">
        <v>998</v>
      </c>
      <c r="E73" s="9" t="s">
        <v>145</v>
      </c>
      <c r="F73" s="326">
        <f>'Пр.5 Рд,пр, ЦС,ВР 20'!F76</f>
        <v>1026.5</v>
      </c>
      <c r="G73" s="326">
        <f t="shared" si="3"/>
        <v>1026.5</v>
      </c>
    </row>
    <row r="74" spans="1:7" ht="59.25" customHeight="1" x14ac:dyDescent="0.25">
      <c r="A74" s="45" t="s">
        <v>146</v>
      </c>
      <c r="B74" s="9" t="s">
        <v>133</v>
      </c>
      <c r="C74" s="32" t="s">
        <v>165</v>
      </c>
      <c r="D74" s="9" t="s">
        <v>998</v>
      </c>
      <c r="E74" s="9" t="s">
        <v>147</v>
      </c>
      <c r="F74" s="326">
        <f>'Пр.5 Рд,пр, ЦС,ВР 20'!F77</f>
        <v>89.399999999999991</v>
      </c>
      <c r="G74" s="326">
        <f t="shared" si="3"/>
        <v>89.399999999999991</v>
      </c>
    </row>
    <row r="75" spans="1:7" ht="63" x14ac:dyDescent="0.25">
      <c r="A75" s="45" t="s">
        <v>148</v>
      </c>
      <c r="B75" s="9" t="s">
        <v>133</v>
      </c>
      <c r="C75" s="32" t="s">
        <v>165</v>
      </c>
      <c r="D75" s="9" t="s">
        <v>998</v>
      </c>
      <c r="E75" s="9" t="s">
        <v>149</v>
      </c>
      <c r="F75" s="326">
        <f>'Пр.5 Рд,пр, ЦС,ВР 20'!F78</f>
        <v>89.399999999999991</v>
      </c>
      <c r="G75" s="326">
        <f t="shared" si="3"/>
        <v>89.399999999999991</v>
      </c>
    </row>
    <row r="76" spans="1:7" ht="141.75" x14ac:dyDescent="0.25">
      <c r="A76" s="31" t="s">
        <v>1435</v>
      </c>
      <c r="B76" s="32" t="s">
        <v>133</v>
      </c>
      <c r="C76" s="32" t="s">
        <v>165</v>
      </c>
      <c r="D76" s="32" t="s">
        <v>1434</v>
      </c>
      <c r="E76" s="32"/>
      <c r="F76" s="415">
        <f>F77</f>
        <v>22</v>
      </c>
      <c r="G76" s="415">
        <f>G77</f>
        <v>22</v>
      </c>
    </row>
    <row r="77" spans="1:7" ht="126" x14ac:dyDescent="0.25">
      <c r="A77" s="31" t="s">
        <v>142</v>
      </c>
      <c r="B77" s="32" t="s">
        <v>133</v>
      </c>
      <c r="C77" s="32" t="s">
        <v>165</v>
      </c>
      <c r="D77" s="32" t="s">
        <v>1434</v>
      </c>
      <c r="E77" s="32" t="s">
        <v>143</v>
      </c>
      <c r="F77" s="415">
        <f>F78</f>
        <v>22</v>
      </c>
      <c r="G77" s="415">
        <f>G78</f>
        <v>22</v>
      </c>
    </row>
    <row r="78" spans="1:7" ht="56.25" customHeight="1" x14ac:dyDescent="0.25">
      <c r="A78" s="31" t="s">
        <v>144</v>
      </c>
      <c r="B78" s="32" t="s">
        <v>133</v>
      </c>
      <c r="C78" s="32" t="s">
        <v>165</v>
      </c>
      <c r="D78" s="32" t="s">
        <v>1434</v>
      </c>
      <c r="E78" s="32" t="s">
        <v>145</v>
      </c>
      <c r="F78" s="415">
        <f>'пр.6.1.ведом.21-22'!G504</f>
        <v>22</v>
      </c>
      <c r="G78" s="326">
        <f>'пр.6.1.ведом.21-22'!H504</f>
        <v>22</v>
      </c>
    </row>
    <row r="79" spans="1:7" ht="78.75" x14ac:dyDescent="0.25">
      <c r="A79" s="34" t="s">
        <v>1449</v>
      </c>
      <c r="B79" s="285" t="s">
        <v>133</v>
      </c>
      <c r="C79" s="285" t="s">
        <v>165</v>
      </c>
      <c r="D79" s="285" t="s">
        <v>177</v>
      </c>
      <c r="E79" s="285"/>
      <c r="F79" s="325">
        <f>F80+F84+F90</f>
        <v>523.5</v>
      </c>
      <c r="G79" s="325">
        <f>G80+G84+G90</f>
        <v>523.5</v>
      </c>
    </row>
    <row r="80" spans="1:7" ht="110.25" x14ac:dyDescent="0.25">
      <c r="A80" s="283" t="s">
        <v>1161</v>
      </c>
      <c r="B80" s="285" t="s">
        <v>133</v>
      </c>
      <c r="C80" s="285" t="s">
        <v>165</v>
      </c>
      <c r="D80" s="8" t="s">
        <v>897</v>
      </c>
      <c r="E80" s="285"/>
      <c r="F80" s="325">
        <f>F81</f>
        <v>446</v>
      </c>
      <c r="G80" s="325">
        <f>G81</f>
        <v>446</v>
      </c>
    </row>
    <row r="81" spans="1:7" ht="63" x14ac:dyDescent="0.25">
      <c r="A81" s="45" t="s">
        <v>1160</v>
      </c>
      <c r="B81" s="32" t="s">
        <v>133</v>
      </c>
      <c r="C81" s="32" t="s">
        <v>165</v>
      </c>
      <c r="D81" s="9" t="s">
        <v>889</v>
      </c>
      <c r="E81" s="32"/>
      <c r="F81" s="326">
        <f>'Пр.5 Рд,пр, ЦС,ВР 20'!F84</f>
        <v>446</v>
      </c>
      <c r="G81" s="326">
        <f t="shared" si="3"/>
        <v>446</v>
      </c>
    </row>
    <row r="82" spans="1:7" ht="47.25" x14ac:dyDescent="0.25">
      <c r="A82" s="31" t="s">
        <v>146</v>
      </c>
      <c r="B82" s="32" t="s">
        <v>133</v>
      </c>
      <c r="C82" s="32" t="s">
        <v>165</v>
      </c>
      <c r="D82" s="9" t="s">
        <v>889</v>
      </c>
      <c r="E82" s="32" t="s">
        <v>147</v>
      </c>
      <c r="F82" s="326">
        <f>'Пр.5 Рд,пр, ЦС,ВР 20'!F85</f>
        <v>446</v>
      </c>
      <c r="G82" s="326">
        <f t="shared" si="3"/>
        <v>446</v>
      </c>
    </row>
    <row r="83" spans="1:7" ht="63" x14ac:dyDescent="0.25">
      <c r="A83" s="31" t="s">
        <v>148</v>
      </c>
      <c r="B83" s="32" t="s">
        <v>133</v>
      </c>
      <c r="C83" s="32" t="s">
        <v>165</v>
      </c>
      <c r="D83" s="9" t="s">
        <v>889</v>
      </c>
      <c r="E83" s="32" t="s">
        <v>149</v>
      </c>
      <c r="F83" s="326">
        <f>'Пр.5 Рд,пр, ЦС,ВР 20'!F86</f>
        <v>446</v>
      </c>
      <c r="G83" s="326">
        <f t="shared" si="3"/>
        <v>446</v>
      </c>
    </row>
    <row r="84" spans="1:7" ht="110.25" x14ac:dyDescent="0.25">
      <c r="A84" s="58" t="s">
        <v>891</v>
      </c>
      <c r="B84" s="285" t="s">
        <v>133</v>
      </c>
      <c r="C84" s="285" t="s">
        <v>165</v>
      </c>
      <c r="D84" s="8" t="s">
        <v>898</v>
      </c>
      <c r="E84" s="285"/>
      <c r="F84" s="325">
        <f>F85</f>
        <v>77</v>
      </c>
      <c r="G84" s="325">
        <f>G85</f>
        <v>77</v>
      </c>
    </row>
    <row r="85" spans="1:7" ht="78.75" x14ac:dyDescent="0.25">
      <c r="A85" s="45" t="s">
        <v>180</v>
      </c>
      <c r="B85" s="32" t="s">
        <v>133</v>
      </c>
      <c r="C85" s="32" t="s">
        <v>165</v>
      </c>
      <c r="D85" s="9" t="s">
        <v>890</v>
      </c>
      <c r="E85" s="32"/>
      <c r="F85" s="326">
        <f>'Пр.5 Рд,пр, ЦС,ВР 20'!F88</f>
        <v>77</v>
      </c>
      <c r="G85" s="326">
        <f t="shared" si="3"/>
        <v>77</v>
      </c>
    </row>
    <row r="86" spans="1:7" ht="126" x14ac:dyDescent="0.25">
      <c r="A86" s="31" t="s">
        <v>142</v>
      </c>
      <c r="B86" s="32" t="s">
        <v>133</v>
      </c>
      <c r="C86" s="32" t="s">
        <v>165</v>
      </c>
      <c r="D86" s="9" t="s">
        <v>890</v>
      </c>
      <c r="E86" s="32" t="s">
        <v>143</v>
      </c>
      <c r="F86" s="326">
        <f>'Пр.5 Рд,пр, ЦС,ВР 20'!F89</f>
        <v>37</v>
      </c>
      <c r="G86" s="326">
        <f t="shared" si="3"/>
        <v>37</v>
      </c>
    </row>
    <row r="87" spans="1:7" ht="47.25" x14ac:dyDescent="0.25">
      <c r="A87" s="31" t="s">
        <v>144</v>
      </c>
      <c r="B87" s="32" t="s">
        <v>133</v>
      </c>
      <c r="C87" s="32" t="s">
        <v>165</v>
      </c>
      <c r="D87" s="9" t="s">
        <v>890</v>
      </c>
      <c r="E87" s="32" t="s">
        <v>145</v>
      </c>
      <c r="F87" s="326">
        <f>'Пр.5 Рд,пр, ЦС,ВР 20'!F90</f>
        <v>37</v>
      </c>
      <c r="G87" s="326">
        <f t="shared" si="3"/>
        <v>37</v>
      </c>
    </row>
    <row r="88" spans="1:7" ht="47.25" x14ac:dyDescent="0.25">
      <c r="A88" s="31" t="s">
        <v>146</v>
      </c>
      <c r="B88" s="32" t="s">
        <v>133</v>
      </c>
      <c r="C88" s="32" t="s">
        <v>165</v>
      </c>
      <c r="D88" s="9" t="s">
        <v>890</v>
      </c>
      <c r="E88" s="32" t="s">
        <v>147</v>
      </c>
      <c r="F88" s="326">
        <f>'Пр.5 Рд,пр, ЦС,ВР 20'!F91</f>
        <v>40</v>
      </c>
      <c r="G88" s="326">
        <f t="shared" si="3"/>
        <v>40</v>
      </c>
    </row>
    <row r="89" spans="1:7" ht="63" x14ac:dyDescent="0.25">
      <c r="A89" s="31" t="s">
        <v>148</v>
      </c>
      <c r="B89" s="32" t="s">
        <v>133</v>
      </c>
      <c r="C89" s="32" t="s">
        <v>165</v>
      </c>
      <c r="D89" s="9" t="s">
        <v>890</v>
      </c>
      <c r="E89" s="32" t="s">
        <v>149</v>
      </c>
      <c r="F89" s="326">
        <f>'Пр.5 Рд,пр, ЦС,ВР 20'!F92</f>
        <v>40</v>
      </c>
      <c r="G89" s="326">
        <f t="shared" si="3"/>
        <v>40</v>
      </c>
    </row>
    <row r="90" spans="1:7" ht="94.5" x14ac:dyDescent="0.25">
      <c r="A90" s="284" t="s">
        <v>1162</v>
      </c>
      <c r="B90" s="285" t="s">
        <v>133</v>
      </c>
      <c r="C90" s="285" t="s">
        <v>165</v>
      </c>
      <c r="D90" s="8" t="s">
        <v>899</v>
      </c>
      <c r="E90" s="285"/>
      <c r="F90" s="325">
        <f>F91+F94</f>
        <v>0.5</v>
      </c>
      <c r="G90" s="325">
        <f>G91+G94</f>
        <v>0.5</v>
      </c>
    </row>
    <row r="91" spans="1:7" ht="63" x14ac:dyDescent="0.25">
      <c r="A91" s="33" t="s">
        <v>206</v>
      </c>
      <c r="B91" s="32" t="s">
        <v>133</v>
      </c>
      <c r="C91" s="32" t="s">
        <v>165</v>
      </c>
      <c r="D91" s="9" t="s">
        <v>892</v>
      </c>
      <c r="E91" s="32"/>
      <c r="F91" s="326">
        <f>'Пр.5 Рд,пр, ЦС,ВР 20'!F94</f>
        <v>0.5</v>
      </c>
      <c r="G91" s="326">
        <f t="shared" si="3"/>
        <v>0.5</v>
      </c>
    </row>
    <row r="92" spans="1:7" ht="47.25" x14ac:dyDescent="0.25">
      <c r="A92" s="31" t="s">
        <v>146</v>
      </c>
      <c r="B92" s="32" t="s">
        <v>133</v>
      </c>
      <c r="C92" s="32" t="s">
        <v>165</v>
      </c>
      <c r="D92" s="9" t="s">
        <v>892</v>
      </c>
      <c r="E92" s="32" t="s">
        <v>147</v>
      </c>
      <c r="F92" s="326">
        <f>'Пр.5 Рд,пр, ЦС,ВР 20'!F95</f>
        <v>0.5</v>
      </c>
      <c r="G92" s="326">
        <f t="shared" si="3"/>
        <v>0.5</v>
      </c>
    </row>
    <row r="93" spans="1:7" ht="63" x14ac:dyDescent="0.25">
      <c r="A93" s="31" t="s">
        <v>148</v>
      </c>
      <c r="B93" s="32" t="s">
        <v>133</v>
      </c>
      <c r="C93" s="32" t="s">
        <v>165</v>
      </c>
      <c r="D93" s="9" t="s">
        <v>892</v>
      </c>
      <c r="E93" s="32" t="s">
        <v>149</v>
      </c>
      <c r="F93" s="326">
        <f>'Пр.5 Рд,пр, ЦС,ВР 20'!F96</f>
        <v>0.5</v>
      </c>
      <c r="G93" s="326">
        <f t="shared" si="3"/>
        <v>0.5</v>
      </c>
    </row>
    <row r="94" spans="1:7" ht="63" hidden="1" x14ac:dyDescent="0.25">
      <c r="A94" s="33" t="s">
        <v>206</v>
      </c>
      <c r="B94" s="32" t="s">
        <v>133</v>
      </c>
      <c r="C94" s="32" t="s">
        <v>165</v>
      </c>
      <c r="D94" s="32" t="s">
        <v>893</v>
      </c>
      <c r="E94" s="32"/>
      <c r="F94" s="326">
        <f>'Пр.5 Рд,пр, ЦС,ВР 20'!F97</f>
        <v>0</v>
      </c>
      <c r="G94" s="326">
        <f t="shared" si="3"/>
        <v>0</v>
      </c>
    </row>
    <row r="95" spans="1:7" ht="47.25" hidden="1" x14ac:dyDescent="0.25">
      <c r="A95" s="31" t="s">
        <v>146</v>
      </c>
      <c r="B95" s="32" t="s">
        <v>133</v>
      </c>
      <c r="C95" s="32" t="s">
        <v>165</v>
      </c>
      <c r="D95" s="32" t="s">
        <v>893</v>
      </c>
      <c r="E95" s="32" t="s">
        <v>147</v>
      </c>
      <c r="F95" s="326">
        <f>'Пр.5 Рд,пр, ЦС,ВР 20'!F98</f>
        <v>0</v>
      </c>
      <c r="G95" s="326">
        <f t="shared" si="3"/>
        <v>0</v>
      </c>
    </row>
    <row r="96" spans="1:7" ht="63" hidden="1" x14ac:dyDescent="0.25">
      <c r="A96" s="31" t="s">
        <v>148</v>
      </c>
      <c r="B96" s="32" t="s">
        <v>133</v>
      </c>
      <c r="C96" s="32" t="s">
        <v>165</v>
      </c>
      <c r="D96" s="32" t="s">
        <v>893</v>
      </c>
      <c r="E96" s="32" t="s">
        <v>149</v>
      </c>
      <c r="F96" s="326">
        <f>'Пр.5 Рд,пр, ЦС,ВР 20'!F99</f>
        <v>0</v>
      </c>
      <c r="G96" s="326">
        <f t="shared" si="3"/>
        <v>0</v>
      </c>
    </row>
    <row r="97" spans="1:7" ht="78.75" x14ac:dyDescent="0.25">
      <c r="A97" s="58" t="s">
        <v>134</v>
      </c>
      <c r="B97" s="8" t="s">
        <v>133</v>
      </c>
      <c r="C97" s="8" t="s">
        <v>135</v>
      </c>
      <c r="D97" s="8"/>
      <c r="E97" s="8"/>
      <c r="F97" s="325">
        <f t="shared" ref="F97:G97" si="4">F98</f>
        <v>15283.5</v>
      </c>
      <c r="G97" s="325">
        <f t="shared" si="4"/>
        <v>15283.5</v>
      </c>
    </row>
    <row r="98" spans="1:7" ht="47.25" x14ac:dyDescent="0.25">
      <c r="A98" s="34" t="s">
        <v>992</v>
      </c>
      <c r="B98" s="8" t="s">
        <v>133</v>
      </c>
      <c r="C98" s="8" t="s">
        <v>135</v>
      </c>
      <c r="D98" s="8" t="s">
        <v>906</v>
      </c>
      <c r="E98" s="8"/>
      <c r="F98" s="325">
        <f>F108+F99</f>
        <v>15283.5</v>
      </c>
      <c r="G98" s="325">
        <f>G108+G99</f>
        <v>15283.5</v>
      </c>
    </row>
    <row r="99" spans="1:7" ht="31.5" x14ac:dyDescent="0.25">
      <c r="A99" s="34" t="s">
        <v>1139</v>
      </c>
      <c r="B99" s="8" t="s">
        <v>133</v>
      </c>
      <c r="C99" s="8" t="s">
        <v>135</v>
      </c>
      <c r="D99" s="8" t="s">
        <v>1140</v>
      </c>
      <c r="E99" s="8"/>
      <c r="F99" s="325">
        <f>F100+F105</f>
        <v>1646</v>
      </c>
      <c r="G99" s="325">
        <f>G100+G105</f>
        <v>1646</v>
      </c>
    </row>
    <row r="100" spans="1:7" ht="47.25" x14ac:dyDescent="0.25">
      <c r="A100" s="31" t="s">
        <v>969</v>
      </c>
      <c r="B100" s="32" t="s">
        <v>133</v>
      </c>
      <c r="C100" s="32" t="s">
        <v>135</v>
      </c>
      <c r="D100" s="32" t="s">
        <v>1144</v>
      </c>
      <c r="E100" s="32"/>
      <c r="F100" s="326">
        <f>'Пр.5 Рд,пр, ЦС,ВР 20'!F103</f>
        <v>1604</v>
      </c>
      <c r="G100" s="326">
        <f t="shared" si="3"/>
        <v>1604</v>
      </c>
    </row>
    <row r="101" spans="1:7" ht="126" x14ac:dyDescent="0.25">
      <c r="A101" s="31" t="s">
        <v>142</v>
      </c>
      <c r="B101" s="32" t="s">
        <v>133</v>
      </c>
      <c r="C101" s="32" t="s">
        <v>135</v>
      </c>
      <c r="D101" s="32" t="s">
        <v>1144</v>
      </c>
      <c r="E101" s="32" t="s">
        <v>143</v>
      </c>
      <c r="F101" s="326">
        <f>'Пр.5 Рд,пр, ЦС,ВР 20'!F104</f>
        <v>1586</v>
      </c>
      <c r="G101" s="326">
        <f t="shared" si="3"/>
        <v>1586</v>
      </c>
    </row>
    <row r="102" spans="1:7" ht="47.25" x14ac:dyDescent="0.25">
      <c r="A102" s="31" t="s">
        <v>144</v>
      </c>
      <c r="B102" s="32" t="s">
        <v>133</v>
      </c>
      <c r="C102" s="32" t="s">
        <v>135</v>
      </c>
      <c r="D102" s="32" t="s">
        <v>1144</v>
      </c>
      <c r="E102" s="32" t="s">
        <v>145</v>
      </c>
      <c r="F102" s="326">
        <f>'Пр.5 Рд,пр, ЦС,ВР 20'!F105</f>
        <v>1586</v>
      </c>
      <c r="G102" s="326">
        <f t="shared" si="3"/>
        <v>1586</v>
      </c>
    </row>
    <row r="103" spans="1:7" ht="63" x14ac:dyDescent="0.25">
      <c r="A103" s="31" t="s">
        <v>213</v>
      </c>
      <c r="B103" s="32" t="s">
        <v>133</v>
      </c>
      <c r="C103" s="32" t="s">
        <v>135</v>
      </c>
      <c r="D103" s="32" t="s">
        <v>1144</v>
      </c>
      <c r="E103" s="32" t="s">
        <v>147</v>
      </c>
      <c r="F103" s="326">
        <f>'Пр.5 Рд,пр, ЦС,ВР 20'!F106</f>
        <v>18</v>
      </c>
      <c r="G103" s="326">
        <f t="shared" si="3"/>
        <v>18</v>
      </c>
    </row>
    <row r="104" spans="1:7" ht="63" x14ac:dyDescent="0.25">
      <c r="A104" s="31" t="s">
        <v>148</v>
      </c>
      <c r="B104" s="32" t="s">
        <v>133</v>
      </c>
      <c r="C104" s="32" t="s">
        <v>135</v>
      </c>
      <c r="D104" s="32" t="s">
        <v>1144</v>
      </c>
      <c r="E104" s="32" t="s">
        <v>149</v>
      </c>
      <c r="F104" s="326">
        <f>'Пр.5 Рд,пр, ЦС,ВР 20'!F107</f>
        <v>18</v>
      </c>
      <c r="G104" s="326">
        <f t="shared" si="3"/>
        <v>18</v>
      </c>
    </row>
    <row r="105" spans="1:7" ht="63" x14ac:dyDescent="0.25">
      <c r="A105" s="31" t="s">
        <v>886</v>
      </c>
      <c r="B105" s="32" t="s">
        <v>133</v>
      </c>
      <c r="C105" s="32" t="s">
        <v>135</v>
      </c>
      <c r="D105" s="32" t="s">
        <v>1142</v>
      </c>
      <c r="E105" s="32"/>
      <c r="F105" s="326">
        <f>'Пр.5 Рд,пр, ЦС,ВР 20'!F108</f>
        <v>42</v>
      </c>
      <c r="G105" s="326">
        <f t="shared" si="3"/>
        <v>42</v>
      </c>
    </row>
    <row r="106" spans="1:7" ht="126" x14ac:dyDescent="0.25">
      <c r="A106" s="31" t="s">
        <v>142</v>
      </c>
      <c r="B106" s="32" t="s">
        <v>133</v>
      </c>
      <c r="C106" s="32" t="s">
        <v>135</v>
      </c>
      <c r="D106" s="32" t="s">
        <v>1142</v>
      </c>
      <c r="E106" s="32" t="s">
        <v>143</v>
      </c>
      <c r="F106" s="326">
        <f>'Пр.5 Рд,пр, ЦС,ВР 20'!F109</f>
        <v>42</v>
      </c>
      <c r="G106" s="326">
        <f t="shared" si="3"/>
        <v>42</v>
      </c>
    </row>
    <row r="107" spans="1:7" ht="47.25" x14ac:dyDescent="0.25">
      <c r="A107" s="31" t="s">
        <v>144</v>
      </c>
      <c r="B107" s="32" t="s">
        <v>133</v>
      </c>
      <c r="C107" s="32" t="s">
        <v>135</v>
      </c>
      <c r="D107" s="32" t="s">
        <v>1142</v>
      </c>
      <c r="E107" s="32" t="s">
        <v>145</v>
      </c>
      <c r="F107" s="326">
        <f>'Пр.5 Рд,пр, ЦС,ВР 20'!F110</f>
        <v>42</v>
      </c>
      <c r="G107" s="326">
        <f t="shared" si="3"/>
        <v>42</v>
      </c>
    </row>
    <row r="108" spans="1:7" ht="31.5" x14ac:dyDescent="0.25">
      <c r="A108" s="34" t="s">
        <v>993</v>
      </c>
      <c r="B108" s="8" t="s">
        <v>133</v>
      </c>
      <c r="C108" s="8" t="s">
        <v>135</v>
      </c>
      <c r="D108" s="8" t="s">
        <v>907</v>
      </c>
      <c r="E108" s="8"/>
      <c r="F108" s="325">
        <f>F109+F116</f>
        <v>13637.5</v>
      </c>
      <c r="G108" s="325">
        <f>G109+G116</f>
        <v>13637.5</v>
      </c>
    </row>
    <row r="109" spans="1:7" ht="47.25" x14ac:dyDescent="0.25">
      <c r="A109" s="45" t="s">
        <v>969</v>
      </c>
      <c r="B109" s="9" t="s">
        <v>133</v>
      </c>
      <c r="C109" s="9" t="s">
        <v>135</v>
      </c>
      <c r="D109" s="9" t="s">
        <v>908</v>
      </c>
      <c r="E109" s="9"/>
      <c r="F109" s="326">
        <f>F110+F112+F114</f>
        <v>13302.5</v>
      </c>
      <c r="G109" s="326">
        <f>G110+G112+G114</f>
        <v>13302.5</v>
      </c>
    </row>
    <row r="110" spans="1:7" ht="126" x14ac:dyDescent="0.25">
      <c r="A110" s="45" t="s">
        <v>142</v>
      </c>
      <c r="B110" s="9" t="s">
        <v>133</v>
      </c>
      <c r="C110" s="9" t="s">
        <v>135</v>
      </c>
      <c r="D110" s="9" t="s">
        <v>908</v>
      </c>
      <c r="E110" s="9" t="s">
        <v>143</v>
      </c>
      <c r="F110" s="326">
        <f>'Пр.5 Рд,пр, ЦС,ВР 20'!F113</f>
        <v>12474</v>
      </c>
      <c r="G110" s="326">
        <f t="shared" si="3"/>
        <v>12474</v>
      </c>
    </row>
    <row r="111" spans="1:7" ht="47.25" x14ac:dyDescent="0.25">
      <c r="A111" s="45" t="s">
        <v>144</v>
      </c>
      <c r="B111" s="9" t="s">
        <v>133</v>
      </c>
      <c r="C111" s="9" t="s">
        <v>135</v>
      </c>
      <c r="D111" s="9" t="s">
        <v>908</v>
      </c>
      <c r="E111" s="9" t="s">
        <v>145</v>
      </c>
      <c r="F111" s="326">
        <f>'Пр.5 Рд,пр, ЦС,ВР 20'!F114</f>
        <v>12474</v>
      </c>
      <c r="G111" s="326">
        <f t="shared" si="3"/>
        <v>12474</v>
      </c>
    </row>
    <row r="112" spans="1:7" ht="47.25" x14ac:dyDescent="0.25">
      <c r="A112" s="45" t="s">
        <v>146</v>
      </c>
      <c r="B112" s="9" t="s">
        <v>133</v>
      </c>
      <c r="C112" s="9" t="s">
        <v>135</v>
      </c>
      <c r="D112" s="9" t="s">
        <v>908</v>
      </c>
      <c r="E112" s="9" t="s">
        <v>147</v>
      </c>
      <c r="F112" s="326">
        <f>F113</f>
        <v>800.5</v>
      </c>
      <c r="G112" s="326">
        <f>G113</f>
        <v>800.5</v>
      </c>
    </row>
    <row r="113" spans="1:7" ht="63" x14ac:dyDescent="0.25">
      <c r="A113" s="45" t="s">
        <v>148</v>
      </c>
      <c r="B113" s="9" t="s">
        <v>133</v>
      </c>
      <c r="C113" s="9" t="s">
        <v>135</v>
      </c>
      <c r="D113" s="9" t="s">
        <v>908</v>
      </c>
      <c r="E113" s="9" t="s">
        <v>149</v>
      </c>
      <c r="F113" s="326">
        <f>'пр.6.1.ведом.21-22'!G18</f>
        <v>800.5</v>
      </c>
      <c r="G113" s="326">
        <f>'пр.6.1.ведом.21-22'!H18</f>
        <v>800.5</v>
      </c>
    </row>
    <row r="114" spans="1:7" ht="31.5" x14ac:dyDescent="0.25">
      <c r="A114" s="45" t="s">
        <v>150</v>
      </c>
      <c r="B114" s="9" t="s">
        <v>133</v>
      </c>
      <c r="C114" s="9" t="s">
        <v>135</v>
      </c>
      <c r="D114" s="9" t="s">
        <v>908</v>
      </c>
      <c r="E114" s="9" t="s">
        <v>160</v>
      </c>
      <c r="F114" s="326">
        <f>'Пр.5 Рд,пр, ЦС,ВР 20'!F117</f>
        <v>28</v>
      </c>
      <c r="G114" s="326">
        <f t="shared" si="3"/>
        <v>28</v>
      </c>
    </row>
    <row r="115" spans="1:7" ht="31.5" x14ac:dyDescent="0.25">
      <c r="A115" s="45" t="s">
        <v>583</v>
      </c>
      <c r="B115" s="9" t="s">
        <v>133</v>
      </c>
      <c r="C115" s="9" t="s">
        <v>135</v>
      </c>
      <c r="D115" s="9" t="s">
        <v>908</v>
      </c>
      <c r="E115" s="9" t="s">
        <v>153</v>
      </c>
      <c r="F115" s="326">
        <f>'Пр.5 Рд,пр, ЦС,ВР 20'!F118</f>
        <v>28</v>
      </c>
      <c r="G115" s="326">
        <f t="shared" si="3"/>
        <v>28</v>
      </c>
    </row>
    <row r="116" spans="1:7" ht="63" x14ac:dyDescent="0.25">
      <c r="A116" s="31" t="s">
        <v>886</v>
      </c>
      <c r="B116" s="32" t="s">
        <v>133</v>
      </c>
      <c r="C116" s="32" t="s">
        <v>135</v>
      </c>
      <c r="D116" s="32" t="s">
        <v>910</v>
      </c>
      <c r="E116" s="32"/>
      <c r="F116" s="326">
        <f>'Пр.5 Рд,пр, ЦС,ВР 20'!F119</f>
        <v>335</v>
      </c>
      <c r="G116" s="326">
        <f t="shared" si="3"/>
        <v>335</v>
      </c>
    </row>
    <row r="117" spans="1:7" ht="126" x14ac:dyDescent="0.25">
      <c r="A117" s="31" t="s">
        <v>142</v>
      </c>
      <c r="B117" s="32" t="s">
        <v>133</v>
      </c>
      <c r="C117" s="32" t="s">
        <v>135</v>
      </c>
      <c r="D117" s="32" t="s">
        <v>910</v>
      </c>
      <c r="E117" s="32" t="s">
        <v>143</v>
      </c>
      <c r="F117" s="326">
        <f>'Пр.5 Рд,пр, ЦС,ВР 20'!F120</f>
        <v>335</v>
      </c>
      <c r="G117" s="326">
        <f t="shared" si="3"/>
        <v>335</v>
      </c>
    </row>
    <row r="118" spans="1:7" ht="47.25" x14ac:dyDescent="0.25">
      <c r="A118" s="31" t="s">
        <v>144</v>
      </c>
      <c r="B118" s="32" t="s">
        <v>133</v>
      </c>
      <c r="C118" s="32" t="s">
        <v>135</v>
      </c>
      <c r="D118" s="32" t="s">
        <v>910</v>
      </c>
      <c r="E118" s="32" t="s">
        <v>145</v>
      </c>
      <c r="F118" s="326">
        <f>'Пр.5 Рд,пр, ЦС,ВР 20'!F121</f>
        <v>335</v>
      </c>
      <c r="G118" s="326">
        <f t="shared" si="3"/>
        <v>335</v>
      </c>
    </row>
    <row r="119" spans="1:7" ht="15.75" hidden="1" customHeight="1" x14ac:dyDescent="0.25">
      <c r="A119" s="34" t="s">
        <v>1390</v>
      </c>
      <c r="B119" s="285" t="s">
        <v>133</v>
      </c>
      <c r="C119" s="285" t="s">
        <v>279</v>
      </c>
      <c r="D119" s="285"/>
      <c r="E119" s="32"/>
      <c r="F119" s="416">
        <f t="shared" ref="F119:G121" si="5">F120</f>
        <v>0</v>
      </c>
      <c r="G119" s="416">
        <f t="shared" si="5"/>
        <v>0</v>
      </c>
    </row>
    <row r="120" spans="1:7" ht="15.75" hidden="1" customHeight="1" x14ac:dyDescent="0.25">
      <c r="A120" s="34" t="s">
        <v>156</v>
      </c>
      <c r="B120" s="285" t="s">
        <v>133</v>
      </c>
      <c r="C120" s="285" t="s">
        <v>279</v>
      </c>
      <c r="D120" s="285" t="s">
        <v>914</v>
      </c>
      <c r="E120" s="32"/>
      <c r="F120" s="416">
        <f t="shared" si="5"/>
        <v>0</v>
      </c>
      <c r="G120" s="416">
        <f t="shared" si="5"/>
        <v>0</v>
      </c>
    </row>
    <row r="121" spans="1:7" ht="31.5" hidden="1" customHeight="1" x14ac:dyDescent="0.25">
      <c r="A121" s="34" t="s">
        <v>918</v>
      </c>
      <c r="B121" s="285" t="s">
        <v>133</v>
      </c>
      <c r="C121" s="285" t="s">
        <v>279</v>
      </c>
      <c r="D121" s="285" t="s">
        <v>913</v>
      </c>
      <c r="E121" s="32"/>
      <c r="F121" s="416">
        <f t="shared" si="5"/>
        <v>0</v>
      </c>
      <c r="G121" s="416">
        <f t="shared" si="5"/>
        <v>0</v>
      </c>
    </row>
    <row r="122" spans="1:7" ht="31.5" hidden="1" customHeight="1" x14ac:dyDescent="0.25">
      <c r="A122" s="45" t="s">
        <v>214</v>
      </c>
      <c r="B122" s="32" t="s">
        <v>133</v>
      </c>
      <c r="C122" s="32" t="s">
        <v>279</v>
      </c>
      <c r="D122" s="32" t="s">
        <v>1389</v>
      </c>
      <c r="E122" s="32"/>
      <c r="F122" s="415">
        <f>F123+F125</f>
        <v>0</v>
      </c>
      <c r="G122" s="415">
        <f>G123+G125</f>
        <v>0</v>
      </c>
    </row>
    <row r="123" spans="1:7" ht="94.5" hidden="1" customHeight="1" x14ac:dyDescent="0.25">
      <c r="A123" s="31" t="s">
        <v>142</v>
      </c>
      <c r="B123" s="32" t="s">
        <v>133</v>
      </c>
      <c r="C123" s="32" t="s">
        <v>279</v>
      </c>
      <c r="D123" s="32" t="s">
        <v>1389</v>
      </c>
      <c r="E123" s="32" t="s">
        <v>143</v>
      </c>
      <c r="F123" s="415">
        <f>F124</f>
        <v>0</v>
      </c>
      <c r="G123" s="415">
        <f>G124</f>
        <v>0</v>
      </c>
    </row>
    <row r="124" spans="1:7" ht="47.25" hidden="1" customHeight="1" x14ac:dyDescent="0.25">
      <c r="A124" s="31" t="s">
        <v>144</v>
      </c>
      <c r="B124" s="32" t="s">
        <v>133</v>
      </c>
      <c r="C124" s="32" t="s">
        <v>279</v>
      </c>
      <c r="D124" s="32" t="s">
        <v>1389</v>
      </c>
      <c r="E124" s="32" t="s">
        <v>145</v>
      </c>
      <c r="F124" s="415">
        <f>'пр.6.1.ведом.21-22'!G101</f>
        <v>0</v>
      </c>
      <c r="G124" s="415">
        <f>'пр.6.1.ведом.21-22'!H101</f>
        <v>0</v>
      </c>
    </row>
    <row r="125" spans="1:7" ht="47.25" hidden="1" customHeight="1" x14ac:dyDescent="0.25">
      <c r="A125" s="31" t="s">
        <v>213</v>
      </c>
      <c r="B125" s="32" t="s">
        <v>133</v>
      </c>
      <c r="C125" s="32" t="s">
        <v>279</v>
      </c>
      <c r="D125" s="32" t="s">
        <v>1389</v>
      </c>
      <c r="E125" s="32" t="s">
        <v>147</v>
      </c>
      <c r="F125" s="415">
        <f>F126</f>
        <v>0</v>
      </c>
      <c r="G125" s="415">
        <f>G126</f>
        <v>0</v>
      </c>
    </row>
    <row r="126" spans="1:7" ht="47.25" hidden="1" customHeight="1" x14ac:dyDescent="0.25">
      <c r="A126" s="31" t="s">
        <v>148</v>
      </c>
      <c r="B126" s="32" t="s">
        <v>133</v>
      </c>
      <c r="C126" s="32" t="s">
        <v>279</v>
      </c>
      <c r="D126" s="32" t="s">
        <v>1389</v>
      </c>
      <c r="E126" s="32" t="s">
        <v>149</v>
      </c>
      <c r="F126" s="415">
        <f>'пр.6.1.ведом.21-22'!G103</f>
        <v>0</v>
      </c>
      <c r="G126" s="415">
        <f>'пр.6.1.ведом.21-22'!H103</f>
        <v>0</v>
      </c>
    </row>
    <row r="127" spans="1:7" ht="31.5" x14ac:dyDescent="0.25">
      <c r="A127" s="58" t="s">
        <v>154</v>
      </c>
      <c r="B127" s="8" t="s">
        <v>133</v>
      </c>
      <c r="C127" s="8" t="s">
        <v>155</v>
      </c>
      <c r="D127" s="8"/>
      <c r="E127" s="8"/>
      <c r="F127" s="325">
        <f>F128+F159+F168+F191+F200+F205+F210</f>
        <v>56032.32</v>
      </c>
      <c r="G127" s="325">
        <f>G128+G159+G168+G191+G200+G205+G210</f>
        <v>63886.92</v>
      </c>
    </row>
    <row r="128" spans="1:7" ht="31.5" x14ac:dyDescent="0.25">
      <c r="A128" s="34" t="s">
        <v>156</v>
      </c>
      <c r="B128" s="285" t="s">
        <v>133</v>
      </c>
      <c r="C128" s="285" t="s">
        <v>155</v>
      </c>
      <c r="D128" s="285" t="s">
        <v>914</v>
      </c>
      <c r="E128" s="285"/>
      <c r="F128" s="325">
        <f>F129+F140+F150</f>
        <v>55372.5</v>
      </c>
      <c r="G128" s="325">
        <f>G129+G140+G150</f>
        <v>63227.1</v>
      </c>
    </row>
    <row r="129" spans="1:7" ht="31.5" x14ac:dyDescent="0.25">
      <c r="A129" s="34" t="s">
        <v>1095</v>
      </c>
      <c r="B129" s="285" t="s">
        <v>133</v>
      </c>
      <c r="C129" s="285" t="s">
        <v>155</v>
      </c>
      <c r="D129" s="285" t="s">
        <v>1094</v>
      </c>
      <c r="E129" s="285"/>
      <c r="F129" s="430">
        <f>F133+F130</f>
        <v>38273</v>
      </c>
      <c r="G129" s="430">
        <f>G133+G130</f>
        <v>38273</v>
      </c>
    </row>
    <row r="130" spans="1:7" ht="63" x14ac:dyDescent="0.25">
      <c r="A130" s="31" t="s">
        <v>886</v>
      </c>
      <c r="B130" s="32" t="s">
        <v>133</v>
      </c>
      <c r="C130" s="32" t="s">
        <v>155</v>
      </c>
      <c r="D130" s="32" t="s">
        <v>1097</v>
      </c>
      <c r="E130" s="32"/>
      <c r="F130" s="326">
        <f>'Пр.5 Рд,пр, ЦС,ВР 20'!F133</f>
        <v>672</v>
      </c>
      <c r="G130" s="326">
        <f t="shared" si="3"/>
        <v>672</v>
      </c>
    </row>
    <row r="131" spans="1:7" ht="126" x14ac:dyDescent="0.25">
      <c r="A131" s="31" t="s">
        <v>142</v>
      </c>
      <c r="B131" s="32" t="s">
        <v>133</v>
      </c>
      <c r="C131" s="32" t="s">
        <v>155</v>
      </c>
      <c r="D131" s="32" t="s">
        <v>1097</v>
      </c>
      <c r="E131" s="32" t="s">
        <v>143</v>
      </c>
      <c r="F131" s="326">
        <f>'Пр.5 Рд,пр, ЦС,ВР 20'!F134</f>
        <v>672</v>
      </c>
      <c r="G131" s="326">
        <f t="shared" si="3"/>
        <v>672</v>
      </c>
    </row>
    <row r="132" spans="1:7" ht="47.25" x14ac:dyDescent="0.25">
      <c r="A132" s="31" t="s">
        <v>144</v>
      </c>
      <c r="B132" s="32" t="s">
        <v>133</v>
      </c>
      <c r="C132" s="32" t="s">
        <v>155</v>
      </c>
      <c r="D132" s="32" t="s">
        <v>1097</v>
      </c>
      <c r="E132" s="32" t="s">
        <v>224</v>
      </c>
      <c r="F132" s="326">
        <f>'Пр.5 Рд,пр, ЦС,ВР 20'!F135</f>
        <v>672</v>
      </c>
      <c r="G132" s="326">
        <f t="shared" si="3"/>
        <v>672</v>
      </c>
    </row>
    <row r="133" spans="1:7" ht="31.5" x14ac:dyDescent="0.25">
      <c r="A133" s="31" t="s">
        <v>834</v>
      </c>
      <c r="B133" s="32" t="s">
        <v>133</v>
      </c>
      <c r="C133" s="32" t="s">
        <v>155</v>
      </c>
      <c r="D133" s="32" t="s">
        <v>1096</v>
      </c>
      <c r="E133" s="32"/>
      <c r="F133" s="326">
        <f>'Пр.5 Рд,пр, ЦС,ВР 20'!F136</f>
        <v>37601</v>
      </c>
      <c r="G133" s="326">
        <f t="shared" si="3"/>
        <v>37601</v>
      </c>
    </row>
    <row r="134" spans="1:7" ht="126" x14ac:dyDescent="0.25">
      <c r="A134" s="31" t="s">
        <v>142</v>
      </c>
      <c r="B134" s="32" t="s">
        <v>133</v>
      </c>
      <c r="C134" s="32" t="s">
        <v>155</v>
      </c>
      <c r="D134" s="32" t="s">
        <v>1096</v>
      </c>
      <c r="E134" s="32" t="s">
        <v>143</v>
      </c>
      <c r="F134" s="326">
        <f>'Пр.5 Рд,пр, ЦС,ВР 20'!F137</f>
        <v>30180</v>
      </c>
      <c r="G134" s="326">
        <f t="shared" si="3"/>
        <v>30180</v>
      </c>
    </row>
    <row r="135" spans="1:7" ht="31.5" x14ac:dyDescent="0.25">
      <c r="A135" s="46" t="s">
        <v>357</v>
      </c>
      <c r="B135" s="32" t="s">
        <v>133</v>
      </c>
      <c r="C135" s="32" t="s">
        <v>155</v>
      </c>
      <c r="D135" s="32" t="s">
        <v>1096</v>
      </c>
      <c r="E135" s="32" t="s">
        <v>224</v>
      </c>
      <c r="F135" s="326">
        <f>'Пр.5 Рд,пр, ЦС,ВР 20'!F138</f>
        <v>30180</v>
      </c>
      <c r="G135" s="326">
        <f t="shared" si="3"/>
        <v>30180</v>
      </c>
    </row>
    <row r="136" spans="1:7" ht="47.25" x14ac:dyDescent="0.25">
      <c r="A136" s="31" t="s">
        <v>146</v>
      </c>
      <c r="B136" s="32" t="s">
        <v>133</v>
      </c>
      <c r="C136" s="32" t="s">
        <v>155</v>
      </c>
      <c r="D136" s="32" t="s">
        <v>1096</v>
      </c>
      <c r="E136" s="32" t="s">
        <v>147</v>
      </c>
      <c r="F136" s="326">
        <f>'Пр.5 Рд,пр, ЦС,ВР 20'!F139</f>
        <v>7000</v>
      </c>
      <c r="G136" s="326">
        <f t="shared" si="3"/>
        <v>7000</v>
      </c>
    </row>
    <row r="137" spans="1:7" ht="63" x14ac:dyDescent="0.25">
      <c r="A137" s="31" t="s">
        <v>148</v>
      </c>
      <c r="B137" s="32" t="s">
        <v>133</v>
      </c>
      <c r="C137" s="32" t="s">
        <v>155</v>
      </c>
      <c r="D137" s="32" t="s">
        <v>1096</v>
      </c>
      <c r="E137" s="32" t="s">
        <v>149</v>
      </c>
      <c r="F137" s="326">
        <f>'Пр.5 Рд,пр, ЦС,ВР 20'!F140</f>
        <v>7000</v>
      </c>
      <c r="G137" s="326">
        <f t="shared" si="3"/>
        <v>7000</v>
      </c>
    </row>
    <row r="138" spans="1:7" ht="31.5" x14ac:dyDescent="0.25">
      <c r="A138" s="31" t="s">
        <v>150</v>
      </c>
      <c r="B138" s="32" t="s">
        <v>133</v>
      </c>
      <c r="C138" s="32" t="s">
        <v>155</v>
      </c>
      <c r="D138" s="32" t="s">
        <v>1096</v>
      </c>
      <c r="E138" s="32" t="s">
        <v>160</v>
      </c>
      <c r="F138" s="326">
        <f>'Пр.5 Рд,пр, ЦС,ВР 20'!F141</f>
        <v>421</v>
      </c>
      <c r="G138" s="326">
        <f t="shared" si="3"/>
        <v>421</v>
      </c>
    </row>
    <row r="139" spans="1:7" ht="31.5" x14ac:dyDescent="0.25">
      <c r="A139" s="31" t="s">
        <v>726</v>
      </c>
      <c r="B139" s="32" t="s">
        <v>133</v>
      </c>
      <c r="C139" s="32" t="s">
        <v>155</v>
      </c>
      <c r="D139" s="32" t="s">
        <v>1096</v>
      </c>
      <c r="E139" s="32" t="s">
        <v>153</v>
      </c>
      <c r="F139" s="326">
        <f>'Пр.5 Рд,пр, ЦС,ВР 20'!F142</f>
        <v>421</v>
      </c>
      <c r="G139" s="326">
        <f t="shared" si="3"/>
        <v>421</v>
      </c>
    </row>
    <row r="140" spans="1:7" ht="47.25" x14ac:dyDescent="0.25">
      <c r="A140" s="34" t="s">
        <v>918</v>
      </c>
      <c r="B140" s="285" t="s">
        <v>133</v>
      </c>
      <c r="C140" s="285" t="s">
        <v>155</v>
      </c>
      <c r="D140" s="285" t="s">
        <v>913</v>
      </c>
      <c r="E140" s="285"/>
      <c r="F140" s="325">
        <f>F141+F147</f>
        <v>10419.5</v>
      </c>
      <c r="G140" s="325">
        <f>G141+G147</f>
        <v>18274.099999999999</v>
      </c>
    </row>
    <row r="141" spans="1:7" ht="63" customHeight="1" x14ac:dyDescent="0.25">
      <c r="A141" s="31" t="s">
        <v>403</v>
      </c>
      <c r="B141" s="32" t="s">
        <v>133</v>
      </c>
      <c r="C141" s="32" t="s">
        <v>155</v>
      </c>
      <c r="D141" s="32" t="s">
        <v>1175</v>
      </c>
      <c r="E141" s="32"/>
      <c r="F141" s="326">
        <f>'Пр.5 Рд,пр, ЦС,ВР 20'!F144</f>
        <v>2900</v>
      </c>
      <c r="G141" s="326">
        <f t="shared" si="3"/>
        <v>2900</v>
      </c>
    </row>
    <row r="142" spans="1:7" ht="47.25" x14ac:dyDescent="0.25">
      <c r="A142" s="31" t="s">
        <v>146</v>
      </c>
      <c r="B142" s="32" t="s">
        <v>133</v>
      </c>
      <c r="C142" s="32" t="s">
        <v>155</v>
      </c>
      <c r="D142" s="32" t="s">
        <v>1175</v>
      </c>
      <c r="E142" s="32" t="s">
        <v>147</v>
      </c>
      <c r="F142" s="326">
        <f>'Пр.5 Рд,пр, ЦС,ВР 20'!F145</f>
        <v>2900</v>
      </c>
      <c r="G142" s="326">
        <f t="shared" si="3"/>
        <v>2900</v>
      </c>
    </row>
    <row r="143" spans="1:7" ht="63" x14ac:dyDescent="0.25">
      <c r="A143" s="31" t="s">
        <v>148</v>
      </c>
      <c r="B143" s="32" t="s">
        <v>133</v>
      </c>
      <c r="C143" s="32" t="s">
        <v>155</v>
      </c>
      <c r="D143" s="32" t="s">
        <v>1175</v>
      </c>
      <c r="E143" s="32" t="s">
        <v>149</v>
      </c>
      <c r="F143" s="326">
        <f>'Пр.5 Рд,пр, ЦС,ВР 20'!F146</f>
        <v>2900</v>
      </c>
      <c r="G143" s="326">
        <f t="shared" si="3"/>
        <v>2900</v>
      </c>
    </row>
    <row r="144" spans="1:7" ht="47.25" hidden="1" x14ac:dyDescent="0.25">
      <c r="A144" s="31" t="s">
        <v>1008</v>
      </c>
      <c r="B144" s="32" t="s">
        <v>133</v>
      </c>
      <c r="C144" s="32" t="s">
        <v>155</v>
      </c>
      <c r="D144" s="32" t="s">
        <v>1176</v>
      </c>
      <c r="E144" s="32"/>
      <c r="F144" s="326">
        <f>'Пр.5 Рд,пр, ЦС,ВР 20'!F147</f>
        <v>0</v>
      </c>
      <c r="G144" s="326">
        <f t="shared" si="3"/>
        <v>0</v>
      </c>
    </row>
    <row r="145" spans="1:7" ht="47.25" hidden="1" x14ac:dyDescent="0.25">
      <c r="A145" s="31" t="s">
        <v>146</v>
      </c>
      <c r="B145" s="32" t="s">
        <v>133</v>
      </c>
      <c r="C145" s="32" t="s">
        <v>155</v>
      </c>
      <c r="D145" s="32" t="s">
        <v>1176</v>
      </c>
      <c r="E145" s="32" t="s">
        <v>147</v>
      </c>
      <c r="F145" s="326">
        <f>'Пр.5 Рд,пр, ЦС,ВР 20'!F148</f>
        <v>0</v>
      </c>
      <c r="G145" s="326">
        <f t="shared" si="3"/>
        <v>0</v>
      </c>
    </row>
    <row r="146" spans="1:7" ht="63" hidden="1" x14ac:dyDescent="0.25">
      <c r="A146" s="31" t="s">
        <v>148</v>
      </c>
      <c r="B146" s="32" t="s">
        <v>133</v>
      </c>
      <c r="C146" s="32" t="s">
        <v>155</v>
      </c>
      <c r="D146" s="32" t="s">
        <v>1176</v>
      </c>
      <c r="E146" s="32" t="s">
        <v>149</v>
      </c>
      <c r="F146" s="326">
        <f>'Пр.5 Рд,пр, ЦС,ВР 20'!F149</f>
        <v>0</v>
      </c>
      <c r="G146" s="326">
        <f t="shared" ref="G146:G212" si="6">F146</f>
        <v>0</v>
      </c>
    </row>
    <row r="147" spans="1:7" ht="31.5" x14ac:dyDescent="0.25">
      <c r="A147" s="31" t="s">
        <v>1378</v>
      </c>
      <c r="B147" s="32" t="s">
        <v>133</v>
      </c>
      <c r="C147" s="32" t="s">
        <v>155</v>
      </c>
      <c r="D147" s="32" t="s">
        <v>1379</v>
      </c>
      <c r="E147" s="32"/>
      <c r="F147" s="415">
        <f>F148</f>
        <v>7519.5</v>
      </c>
      <c r="G147" s="415">
        <f>G148</f>
        <v>15374.1</v>
      </c>
    </row>
    <row r="148" spans="1:7" ht="31.5" x14ac:dyDescent="0.25">
      <c r="A148" s="31" t="s">
        <v>150</v>
      </c>
      <c r="B148" s="32" t="s">
        <v>133</v>
      </c>
      <c r="C148" s="32" t="s">
        <v>155</v>
      </c>
      <c r="D148" s="32" t="s">
        <v>1379</v>
      </c>
      <c r="E148" s="32" t="s">
        <v>160</v>
      </c>
      <c r="F148" s="415">
        <f>F149</f>
        <v>7519.5</v>
      </c>
      <c r="G148" s="415">
        <f>G149</f>
        <v>15374.1</v>
      </c>
    </row>
    <row r="149" spans="1:7" ht="31.5" x14ac:dyDescent="0.25">
      <c r="A149" s="31" t="s">
        <v>1378</v>
      </c>
      <c r="B149" s="32" t="s">
        <v>133</v>
      </c>
      <c r="C149" s="32" t="s">
        <v>155</v>
      </c>
      <c r="D149" s="32" t="s">
        <v>1379</v>
      </c>
      <c r="E149" s="32" t="s">
        <v>1380</v>
      </c>
      <c r="F149" s="415">
        <f>'пр.6.1.ведом.21-22'!G29</f>
        <v>7519.5</v>
      </c>
      <c r="G149" s="415">
        <f>'пр.6.1.ведом.21-22'!H29</f>
        <v>15374.1</v>
      </c>
    </row>
    <row r="150" spans="1:7" ht="47.25" x14ac:dyDescent="0.25">
      <c r="A150" s="34" t="s">
        <v>999</v>
      </c>
      <c r="B150" s="285" t="s">
        <v>133</v>
      </c>
      <c r="C150" s="285" t="s">
        <v>155</v>
      </c>
      <c r="D150" s="285" t="s">
        <v>915</v>
      </c>
      <c r="E150" s="285"/>
      <c r="F150" s="325">
        <f>F151+F156</f>
        <v>6680</v>
      </c>
      <c r="G150" s="325">
        <f>G151+G156</f>
        <v>6680</v>
      </c>
    </row>
    <row r="151" spans="1:7" ht="47.25" x14ac:dyDescent="0.25">
      <c r="A151" s="31" t="s">
        <v>1005</v>
      </c>
      <c r="B151" s="32" t="s">
        <v>133</v>
      </c>
      <c r="C151" s="32" t="s">
        <v>155</v>
      </c>
      <c r="D151" s="32" t="s">
        <v>916</v>
      </c>
      <c r="E151" s="32"/>
      <c r="F151" s="326">
        <f>'Пр.5 Рд,пр, ЦС,ВР 20'!F151</f>
        <v>6554</v>
      </c>
      <c r="G151" s="326">
        <f t="shared" si="6"/>
        <v>6554</v>
      </c>
    </row>
    <row r="152" spans="1:7" ht="126" x14ac:dyDescent="0.25">
      <c r="A152" s="31" t="s">
        <v>142</v>
      </c>
      <c r="B152" s="32" t="s">
        <v>133</v>
      </c>
      <c r="C152" s="32" t="s">
        <v>155</v>
      </c>
      <c r="D152" s="32" t="s">
        <v>916</v>
      </c>
      <c r="E152" s="32" t="s">
        <v>143</v>
      </c>
      <c r="F152" s="326">
        <f>'Пр.5 Рд,пр, ЦС,ВР 20'!F152</f>
        <v>5343</v>
      </c>
      <c r="G152" s="326">
        <f t="shared" si="6"/>
        <v>5343</v>
      </c>
    </row>
    <row r="153" spans="1:7" ht="31.5" x14ac:dyDescent="0.25">
      <c r="A153" s="31" t="s">
        <v>223</v>
      </c>
      <c r="B153" s="32" t="s">
        <v>133</v>
      </c>
      <c r="C153" s="32" t="s">
        <v>155</v>
      </c>
      <c r="D153" s="32" t="s">
        <v>916</v>
      </c>
      <c r="E153" s="32" t="s">
        <v>224</v>
      </c>
      <c r="F153" s="326">
        <f>'Пр.5 Рд,пр, ЦС,ВР 20'!F153</f>
        <v>5343</v>
      </c>
      <c r="G153" s="326">
        <f t="shared" si="6"/>
        <v>5343</v>
      </c>
    </row>
    <row r="154" spans="1:7" ht="63" x14ac:dyDescent="0.25">
      <c r="A154" s="31" t="s">
        <v>213</v>
      </c>
      <c r="B154" s="32" t="s">
        <v>133</v>
      </c>
      <c r="C154" s="32" t="s">
        <v>155</v>
      </c>
      <c r="D154" s="32" t="s">
        <v>916</v>
      </c>
      <c r="E154" s="32" t="s">
        <v>147</v>
      </c>
      <c r="F154" s="326">
        <f>'Пр.5 Рд,пр, ЦС,ВР 20'!F154</f>
        <v>1211</v>
      </c>
      <c r="G154" s="326">
        <f t="shared" si="6"/>
        <v>1211</v>
      </c>
    </row>
    <row r="155" spans="1:7" ht="63" x14ac:dyDescent="0.25">
      <c r="A155" s="31" t="s">
        <v>148</v>
      </c>
      <c r="B155" s="32" t="s">
        <v>133</v>
      </c>
      <c r="C155" s="32" t="s">
        <v>155</v>
      </c>
      <c r="D155" s="32" t="s">
        <v>916</v>
      </c>
      <c r="E155" s="32" t="s">
        <v>149</v>
      </c>
      <c r="F155" s="326">
        <f>'Пр.5 Рд,пр, ЦС,ВР 20'!F155</f>
        <v>1211</v>
      </c>
      <c r="G155" s="326">
        <f t="shared" si="6"/>
        <v>1211</v>
      </c>
    </row>
    <row r="156" spans="1:7" ht="63" x14ac:dyDescent="0.25">
      <c r="A156" s="31" t="s">
        <v>886</v>
      </c>
      <c r="B156" s="32" t="s">
        <v>133</v>
      </c>
      <c r="C156" s="32" t="s">
        <v>155</v>
      </c>
      <c r="D156" s="32" t="s">
        <v>917</v>
      </c>
      <c r="E156" s="32"/>
      <c r="F156" s="326">
        <f>'Пр.5 Рд,пр, ЦС,ВР 20'!F156</f>
        <v>126</v>
      </c>
      <c r="G156" s="326">
        <f t="shared" si="6"/>
        <v>126</v>
      </c>
    </row>
    <row r="157" spans="1:7" ht="126" x14ac:dyDescent="0.25">
      <c r="A157" s="31" t="s">
        <v>142</v>
      </c>
      <c r="B157" s="32" t="s">
        <v>133</v>
      </c>
      <c r="C157" s="32" t="s">
        <v>155</v>
      </c>
      <c r="D157" s="32" t="s">
        <v>917</v>
      </c>
      <c r="E157" s="32" t="s">
        <v>143</v>
      </c>
      <c r="F157" s="326">
        <f>'Пр.5 Рд,пр, ЦС,ВР 20'!F157</f>
        <v>126</v>
      </c>
      <c r="G157" s="326">
        <f t="shared" si="6"/>
        <v>126</v>
      </c>
    </row>
    <row r="158" spans="1:7" ht="47.25" x14ac:dyDescent="0.25">
      <c r="A158" s="31" t="s">
        <v>144</v>
      </c>
      <c r="B158" s="32" t="s">
        <v>133</v>
      </c>
      <c r="C158" s="32" t="s">
        <v>155</v>
      </c>
      <c r="D158" s="32" t="s">
        <v>917</v>
      </c>
      <c r="E158" s="32" t="s">
        <v>145</v>
      </c>
      <c r="F158" s="326">
        <f>'Пр.5 Рд,пр, ЦС,ВР 20'!F158</f>
        <v>126</v>
      </c>
      <c r="G158" s="326">
        <f t="shared" si="6"/>
        <v>126</v>
      </c>
    </row>
    <row r="159" spans="1:7" ht="78.75" x14ac:dyDescent="0.25">
      <c r="A159" s="34" t="s">
        <v>1450</v>
      </c>
      <c r="B159" s="8" t="s">
        <v>133</v>
      </c>
      <c r="C159" s="8" t="s">
        <v>155</v>
      </c>
      <c r="D159" s="8" t="s">
        <v>359</v>
      </c>
      <c r="E159" s="8"/>
      <c r="F159" s="325">
        <f>F160</f>
        <v>60</v>
      </c>
      <c r="G159" s="325">
        <f>G160</f>
        <v>60</v>
      </c>
    </row>
    <row r="160" spans="1:7" ht="141.75" x14ac:dyDescent="0.25">
      <c r="A160" s="58" t="s">
        <v>1477</v>
      </c>
      <c r="B160" s="8" t="s">
        <v>133</v>
      </c>
      <c r="C160" s="8" t="s">
        <v>155</v>
      </c>
      <c r="D160" s="8" t="s">
        <v>396</v>
      </c>
      <c r="E160" s="8"/>
      <c r="F160" s="325">
        <f>F161</f>
        <v>60</v>
      </c>
      <c r="G160" s="325">
        <f>G161</f>
        <v>60</v>
      </c>
    </row>
    <row r="161" spans="1:7" ht="78.75" x14ac:dyDescent="0.25">
      <c r="A161" s="437" t="s">
        <v>1230</v>
      </c>
      <c r="B161" s="8" t="s">
        <v>133</v>
      </c>
      <c r="C161" s="8" t="s">
        <v>155</v>
      </c>
      <c r="D161" s="8" t="s">
        <v>935</v>
      </c>
      <c r="E161" s="8"/>
      <c r="F161" s="325">
        <f>F162+F165</f>
        <v>60</v>
      </c>
      <c r="G161" s="325">
        <f>G162+G165</f>
        <v>60</v>
      </c>
    </row>
    <row r="162" spans="1:7" ht="47.25" x14ac:dyDescent="0.25">
      <c r="A162" s="101" t="s">
        <v>1231</v>
      </c>
      <c r="B162" s="9" t="s">
        <v>133</v>
      </c>
      <c r="C162" s="9" t="s">
        <v>155</v>
      </c>
      <c r="D162" s="9" t="s">
        <v>936</v>
      </c>
      <c r="E162" s="9"/>
      <c r="F162" s="326">
        <f>'Пр.5 Рд,пр, ЦС,ВР 20'!F162</f>
        <v>60</v>
      </c>
      <c r="G162" s="326">
        <f t="shared" si="6"/>
        <v>60</v>
      </c>
    </row>
    <row r="163" spans="1:7" ht="47.25" x14ac:dyDescent="0.25">
      <c r="A163" s="45" t="s">
        <v>146</v>
      </c>
      <c r="B163" s="9" t="s">
        <v>133</v>
      </c>
      <c r="C163" s="9" t="s">
        <v>155</v>
      </c>
      <c r="D163" s="9" t="s">
        <v>936</v>
      </c>
      <c r="E163" s="9" t="s">
        <v>147</v>
      </c>
      <c r="F163" s="326">
        <f>'Пр.5 Рд,пр, ЦС,ВР 20'!F163</f>
        <v>60</v>
      </c>
      <c r="G163" s="326">
        <f t="shared" si="6"/>
        <v>60</v>
      </c>
    </row>
    <row r="164" spans="1:7" ht="63" x14ac:dyDescent="0.25">
      <c r="A164" s="45" t="s">
        <v>148</v>
      </c>
      <c r="B164" s="9" t="s">
        <v>133</v>
      </c>
      <c r="C164" s="9" t="s">
        <v>155</v>
      </c>
      <c r="D164" s="9" t="s">
        <v>936</v>
      </c>
      <c r="E164" s="9" t="s">
        <v>149</v>
      </c>
      <c r="F164" s="326">
        <f>'Пр.5 Рд,пр, ЦС,ВР 20'!F164</f>
        <v>60</v>
      </c>
      <c r="G164" s="326">
        <f t="shared" si="6"/>
        <v>60</v>
      </c>
    </row>
    <row r="165" spans="1:7" ht="63" hidden="1" x14ac:dyDescent="0.25">
      <c r="A165" s="33" t="s">
        <v>938</v>
      </c>
      <c r="B165" s="32" t="s">
        <v>133</v>
      </c>
      <c r="C165" s="32" t="s">
        <v>155</v>
      </c>
      <c r="D165" s="32" t="s">
        <v>937</v>
      </c>
      <c r="E165" s="285"/>
      <c r="F165" s="326">
        <f>'Пр.5 Рд,пр, ЦС,ВР 20'!F165</f>
        <v>0</v>
      </c>
      <c r="G165" s="326">
        <f t="shared" si="6"/>
        <v>0</v>
      </c>
    </row>
    <row r="166" spans="1:7" ht="47.25" hidden="1" x14ac:dyDescent="0.25">
      <c r="A166" s="31" t="s">
        <v>146</v>
      </c>
      <c r="B166" s="32" t="s">
        <v>133</v>
      </c>
      <c r="C166" s="32" t="s">
        <v>155</v>
      </c>
      <c r="D166" s="32" t="s">
        <v>937</v>
      </c>
      <c r="E166" s="32" t="s">
        <v>147</v>
      </c>
      <c r="F166" s="326">
        <f>'Пр.5 Рд,пр, ЦС,ВР 20'!F166</f>
        <v>0</v>
      </c>
      <c r="G166" s="326">
        <f t="shared" si="6"/>
        <v>0</v>
      </c>
    </row>
    <row r="167" spans="1:7" ht="63" hidden="1" x14ac:dyDescent="0.25">
      <c r="A167" s="31" t="s">
        <v>148</v>
      </c>
      <c r="B167" s="32" t="s">
        <v>133</v>
      </c>
      <c r="C167" s="32" t="s">
        <v>155</v>
      </c>
      <c r="D167" s="32" t="s">
        <v>937</v>
      </c>
      <c r="E167" s="32" t="s">
        <v>149</v>
      </c>
      <c r="F167" s="326">
        <f>'Пр.5 Рд,пр, ЦС,ВР 20'!F167</f>
        <v>0</v>
      </c>
      <c r="G167" s="326">
        <f t="shared" si="6"/>
        <v>0</v>
      </c>
    </row>
    <row r="168" spans="1:7" ht="78.75" x14ac:dyDescent="0.25">
      <c r="A168" s="34" t="s">
        <v>1451</v>
      </c>
      <c r="B168" s="285" t="s">
        <v>133</v>
      </c>
      <c r="C168" s="285" t="s">
        <v>155</v>
      </c>
      <c r="D168" s="285" t="s">
        <v>350</v>
      </c>
      <c r="E168" s="285"/>
      <c r="F168" s="325">
        <f>F169</f>
        <v>175</v>
      </c>
      <c r="G168" s="325">
        <f>G169</f>
        <v>175</v>
      </c>
    </row>
    <row r="169" spans="1:7" ht="45" customHeight="1" x14ac:dyDescent="0.25">
      <c r="A169" s="34" t="s">
        <v>1236</v>
      </c>
      <c r="B169" s="285" t="s">
        <v>133</v>
      </c>
      <c r="C169" s="285" t="s">
        <v>155</v>
      </c>
      <c r="D169" s="285" t="s">
        <v>1237</v>
      </c>
      <c r="E169" s="285"/>
      <c r="F169" s="325">
        <f>F170+F176+F179+F182+F188+F173+F185</f>
        <v>175</v>
      </c>
      <c r="G169" s="325">
        <f>G170+G176+G179+G182+G188+G173+G185</f>
        <v>175</v>
      </c>
    </row>
    <row r="170" spans="1:7" ht="47.25" x14ac:dyDescent="0.25">
      <c r="A170" s="216" t="s">
        <v>351</v>
      </c>
      <c r="B170" s="32" t="s">
        <v>133</v>
      </c>
      <c r="C170" s="32" t="s">
        <v>155</v>
      </c>
      <c r="D170" s="32" t="s">
        <v>1238</v>
      </c>
      <c r="E170" s="32"/>
      <c r="F170" s="326">
        <f>'Пр.5 Рд,пр, ЦС,ВР 20'!F170</f>
        <v>120</v>
      </c>
      <c r="G170" s="326">
        <f t="shared" si="6"/>
        <v>120</v>
      </c>
    </row>
    <row r="171" spans="1:7" ht="47.25" x14ac:dyDescent="0.25">
      <c r="A171" s="31" t="s">
        <v>146</v>
      </c>
      <c r="B171" s="32" t="s">
        <v>133</v>
      </c>
      <c r="C171" s="32" t="s">
        <v>155</v>
      </c>
      <c r="D171" s="32" t="s">
        <v>1238</v>
      </c>
      <c r="E171" s="32" t="s">
        <v>147</v>
      </c>
      <c r="F171" s="326">
        <f>'Пр.5 Рд,пр, ЦС,ВР 20'!F171</f>
        <v>120</v>
      </c>
      <c r="G171" s="326">
        <f t="shared" si="6"/>
        <v>120</v>
      </c>
    </row>
    <row r="172" spans="1:7" ht="63" x14ac:dyDescent="0.25">
      <c r="A172" s="31" t="s">
        <v>148</v>
      </c>
      <c r="B172" s="32" t="s">
        <v>133</v>
      </c>
      <c r="C172" s="32" t="s">
        <v>155</v>
      </c>
      <c r="D172" s="32" t="s">
        <v>1238</v>
      </c>
      <c r="E172" s="32" t="s">
        <v>149</v>
      </c>
      <c r="F172" s="326">
        <f>'Пр.5 Рд,пр, ЦС,ВР 20'!F172</f>
        <v>120</v>
      </c>
      <c r="G172" s="326">
        <f t="shared" si="6"/>
        <v>120</v>
      </c>
    </row>
    <row r="173" spans="1:7" ht="78.75" hidden="1" x14ac:dyDescent="0.25">
      <c r="A173" s="216" t="s">
        <v>833</v>
      </c>
      <c r="B173" s="32" t="s">
        <v>133</v>
      </c>
      <c r="C173" s="32" t="s">
        <v>155</v>
      </c>
      <c r="D173" s="32" t="s">
        <v>1243</v>
      </c>
      <c r="E173" s="32"/>
      <c r="F173" s="326">
        <f>'Пр.5 Рд,пр, ЦС,ВР 20'!F173</f>
        <v>0</v>
      </c>
      <c r="G173" s="326">
        <f t="shared" si="6"/>
        <v>0</v>
      </c>
    </row>
    <row r="174" spans="1:7" ht="47.25" hidden="1" x14ac:dyDescent="0.25">
      <c r="A174" s="31" t="s">
        <v>146</v>
      </c>
      <c r="B174" s="32" t="s">
        <v>133</v>
      </c>
      <c r="C174" s="32" t="s">
        <v>155</v>
      </c>
      <c r="D174" s="32" t="s">
        <v>1243</v>
      </c>
      <c r="E174" s="32" t="s">
        <v>147</v>
      </c>
      <c r="F174" s="326">
        <f>'Пр.5 Рд,пр, ЦС,ВР 20'!F174</f>
        <v>0</v>
      </c>
      <c r="G174" s="326">
        <f t="shared" si="6"/>
        <v>0</v>
      </c>
    </row>
    <row r="175" spans="1:7" ht="63" hidden="1" x14ac:dyDescent="0.25">
      <c r="A175" s="31" t="s">
        <v>148</v>
      </c>
      <c r="B175" s="32" t="s">
        <v>133</v>
      </c>
      <c r="C175" s="32" t="s">
        <v>155</v>
      </c>
      <c r="D175" s="32" t="s">
        <v>1243</v>
      </c>
      <c r="E175" s="32" t="s">
        <v>149</v>
      </c>
      <c r="F175" s="326">
        <f>'Пр.5 Рд,пр, ЦС,ВР 20'!F175</f>
        <v>0</v>
      </c>
      <c r="G175" s="326">
        <f t="shared" si="6"/>
        <v>0</v>
      </c>
    </row>
    <row r="176" spans="1:7" ht="31.5" x14ac:dyDescent="0.25">
      <c r="A176" s="31" t="s">
        <v>353</v>
      </c>
      <c r="B176" s="32" t="s">
        <v>133</v>
      </c>
      <c r="C176" s="32" t="s">
        <v>155</v>
      </c>
      <c r="D176" s="32" t="s">
        <v>1239</v>
      </c>
      <c r="E176" s="32"/>
      <c r="F176" s="326">
        <f>'Пр.5 Рд,пр, ЦС,ВР 20'!F176</f>
        <v>25</v>
      </c>
      <c r="G176" s="326">
        <f t="shared" si="6"/>
        <v>25</v>
      </c>
    </row>
    <row r="177" spans="1:7" ht="47.25" x14ac:dyDescent="0.25">
      <c r="A177" s="31" t="s">
        <v>146</v>
      </c>
      <c r="B177" s="32" t="s">
        <v>133</v>
      </c>
      <c r="C177" s="32" t="s">
        <v>155</v>
      </c>
      <c r="D177" s="32" t="s">
        <v>1239</v>
      </c>
      <c r="E177" s="32" t="s">
        <v>147</v>
      </c>
      <c r="F177" s="326">
        <f>'Пр.5 Рд,пр, ЦС,ВР 20'!F177</f>
        <v>25</v>
      </c>
      <c r="G177" s="326">
        <f t="shared" si="6"/>
        <v>25</v>
      </c>
    </row>
    <row r="178" spans="1:7" ht="63" x14ac:dyDescent="0.25">
      <c r="A178" s="31" t="s">
        <v>148</v>
      </c>
      <c r="B178" s="32" t="s">
        <v>133</v>
      </c>
      <c r="C178" s="32" t="s">
        <v>155</v>
      </c>
      <c r="D178" s="32" t="s">
        <v>1239</v>
      </c>
      <c r="E178" s="32" t="s">
        <v>149</v>
      </c>
      <c r="F178" s="326">
        <f>'Пр.5 Рд,пр, ЦС,ВР 20'!F178</f>
        <v>25</v>
      </c>
      <c r="G178" s="326">
        <f t="shared" si="6"/>
        <v>25</v>
      </c>
    </row>
    <row r="179" spans="1:7" ht="63" x14ac:dyDescent="0.25">
      <c r="A179" s="31" t="s">
        <v>793</v>
      </c>
      <c r="B179" s="32" t="s">
        <v>133</v>
      </c>
      <c r="C179" s="32" t="s">
        <v>155</v>
      </c>
      <c r="D179" s="32" t="s">
        <v>1240</v>
      </c>
      <c r="E179" s="32"/>
      <c r="F179" s="326">
        <f>'Пр.5 Рд,пр, ЦС,ВР 20'!F179</f>
        <v>10</v>
      </c>
      <c r="G179" s="326">
        <f t="shared" si="6"/>
        <v>10</v>
      </c>
    </row>
    <row r="180" spans="1:7" ht="47.25" x14ac:dyDescent="0.25">
      <c r="A180" s="31" t="s">
        <v>146</v>
      </c>
      <c r="B180" s="32" t="s">
        <v>133</v>
      </c>
      <c r="C180" s="32" t="s">
        <v>155</v>
      </c>
      <c r="D180" s="32" t="s">
        <v>1240</v>
      </c>
      <c r="E180" s="32" t="s">
        <v>147</v>
      </c>
      <c r="F180" s="326">
        <f>'Пр.5 Рд,пр, ЦС,ВР 20'!F180</f>
        <v>10</v>
      </c>
      <c r="G180" s="326">
        <f t="shared" si="6"/>
        <v>10</v>
      </c>
    </row>
    <row r="181" spans="1:7" ht="63" x14ac:dyDescent="0.25">
      <c r="A181" s="31" t="s">
        <v>148</v>
      </c>
      <c r="B181" s="32" t="s">
        <v>133</v>
      </c>
      <c r="C181" s="32" t="s">
        <v>155</v>
      </c>
      <c r="D181" s="32" t="s">
        <v>1240</v>
      </c>
      <c r="E181" s="32" t="s">
        <v>149</v>
      </c>
      <c r="F181" s="326">
        <f>'Пр.5 Рд,пр, ЦС,ВР 20'!F181</f>
        <v>10</v>
      </c>
      <c r="G181" s="326">
        <f t="shared" si="6"/>
        <v>10</v>
      </c>
    </row>
    <row r="182" spans="1:7" ht="31.5" x14ac:dyDescent="0.25">
      <c r="A182" s="31" t="s">
        <v>1149</v>
      </c>
      <c r="B182" s="32" t="s">
        <v>133</v>
      </c>
      <c r="C182" s="32" t="s">
        <v>155</v>
      </c>
      <c r="D182" s="32" t="s">
        <v>1241</v>
      </c>
      <c r="E182" s="32"/>
      <c r="F182" s="326">
        <f>'Пр.5 Рд,пр, ЦС,ВР 20'!F182</f>
        <v>0</v>
      </c>
      <c r="G182" s="326">
        <f t="shared" si="6"/>
        <v>0</v>
      </c>
    </row>
    <row r="183" spans="1:7" ht="47.25" x14ac:dyDescent="0.25">
      <c r="A183" s="31" t="s">
        <v>146</v>
      </c>
      <c r="B183" s="32" t="s">
        <v>133</v>
      </c>
      <c r="C183" s="32" t="s">
        <v>155</v>
      </c>
      <c r="D183" s="32" t="s">
        <v>1241</v>
      </c>
      <c r="E183" s="32" t="s">
        <v>147</v>
      </c>
      <c r="F183" s="326">
        <f>'Пр.5 Рд,пр, ЦС,ВР 20'!F183</f>
        <v>0</v>
      </c>
      <c r="G183" s="326">
        <f t="shared" si="6"/>
        <v>0</v>
      </c>
    </row>
    <row r="184" spans="1:7" ht="63" x14ac:dyDescent="0.25">
      <c r="A184" s="31" t="s">
        <v>148</v>
      </c>
      <c r="B184" s="32" t="s">
        <v>133</v>
      </c>
      <c r="C184" s="32" t="s">
        <v>155</v>
      </c>
      <c r="D184" s="32" t="s">
        <v>1241</v>
      </c>
      <c r="E184" s="32" t="s">
        <v>149</v>
      </c>
      <c r="F184" s="326">
        <f>'Пр.5 Рд,пр, ЦС,ВР 20'!F184</f>
        <v>0</v>
      </c>
      <c r="G184" s="326">
        <f t="shared" si="6"/>
        <v>0</v>
      </c>
    </row>
    <row r="185" spans="1:7" ht="31.5" hidden="1" x14ac:dyDescent="0.25">
      <c r="A185" s="31" t="s">
        <v>1270</v>
      </c>
      <c r="B185" s="32" t="s">
        <v>133</v>
      </c>
      <c r="C185" s="32" t="s">
        <v>155</v>
      </c>
      <c r="D185" s="32" t="s">
        <v>1271</v>
      </c>
      <c r="E185" s="32"/>
      <c r="F185" s="326">
        <f>'Пр.5 Рд,пр, ЦС,ВР 20'!F185</f>
        <v>0</v>
      </c>
      <c r="G185" s="326">
        <f t="shared" si="6"/>
        <v>0</v>
      </c>
    </row>
    <row r="186" spans="1:7" ht="47.25" hidden="1" x14ac:dyDescent="0.25">
      <c r="A186" s="31" t="s">
        <v>146</v>
      </c>
      <c r="B186" s="32" t="s">
        <v>133</v>
      </c>
      <c r="C186" s="32" t="s">
        <v>155</v>
      </c>
      <c r="D186" s="32" t="s">
        <v>1271</v>
      </c>
      <c r="E186" s="32" t="s">
        <v>147</v>
      </c>
      <c r="F186" s="326">
        <f>'Пр.5 Рд,пр, ЦС,ВР 20'!F186</f>
        <v>0</v>
      </c>
      <c r="G186" s="326">
        <f t="shared" si="6"/>
        <v>0</v>
      </c>
    </row>
    <row r="187" spans="1:7" ht="63" hidden="1" x14ac:dyDescent="0.25">
      <c r="A187" s="31" t="s">
        <v>148</v>
      </c>
      <c r="B187" s="32" t="s">
        <v>133</v>
      </c>
      <c r="C187" s="32" t="s">
        <v>155</v>
      </c>
      <c r="D187" s="32" t="s">
        <v>1271</v>
      </c>
      <c r="E187" s="32" t="s">
        <v>149</v>
      </c>
      <c r="F187" s="326">
        <f>'Пр.5 Рд,пр, ЦС,ВР 20'!F187</f>
        <v>0</v>
      </c>
      <c r="G187" s="326">
        <f t="shared" si="6"/>
        <v>0</v>
      </c>
    </row>
    <row r="188" spans="1:7" ht="47.25" x14ac:dyDescent="0.25">
      <c r="A188" s="31" t="s">
        <v>794</v>
      </c>
      <c r="B188" s="32" t="s">
        <v>133</v>
      </c>
      <c r="C188" s="32" t="s">
        <v>155</v>
      </c>
      <c r="D188" s="32" t="s">
        <v>1242</v>
      </c>
      <c r="E188" s="32"/>
      <c r="F188" s="326">
        <f>'Пр.5 Рд,пр, ЦС,ВР 20'!F188</f>
        <v>20</v>
      </c>
      <c r="G188" s="326">
        <f t="shared" si="6"/>
        <v>20</v>
      </c>
    </row>
    <row r="189" spans="1:7" ht="47.25" x14ac:dyDescent="0.25">
      <c r="A189" s="31" t="s">
        <v>146</v>
      </c>
      <c r="B189" s="32" t="s">
        <v>133</v>
      </c>
      <c r="C189" s="32" t="s">
        <v>155</v>
      </c>
      <c r="D189" s="32" t="s">
        <v>1242</v>
      </c>
      <c r="E189" s="32" t="s">
        <v>147</v>
      </c>
      <c r="F189" s="326">
        <f>'Пр.5 Рд,пр, ЦС,ВР 20'!F189</f>
        <v>20</v>
      </c>
      <c r="G189" s="326">
        <f t="shared" si="6"/>
        <v>20</v>
      </c>
    </row>
    <row r="190" spans="1:7" ht="63" x14ac:dyDescent="0.25">
      <c r="A190" s="31" t="s">
        <v>148</v>
      </c>
      <c r="B190" s="32" t="s">
        <v>133</v>
      </c>
      <c r="C190" s="32" t="s">
        <v>155</v>
      </c>
      <c r="D190" s="32" t="s">
        <v>1242</v>
      </c>
      <c r="E190" s="32" t="s">
        <v>149</v>
      </c>
      <c r="F190" s="326">
        <f>'Пр.5 Рд,пр, ЦС,ВР 20'!F190</f>
        <v>20</v>
      </c>
      <c r="G190" s="326">
        <f t="shared" si="6"/>
        <v>20</v>
      </c>
    </row>
    <row r="191" spans="1:7" ht="78.75" x14ac:dyDescent="0.25">
      <c r="A191" s="58" t="s">
        <v>1452</v>
      </c>
      <c r="B191" s="8" t="s">
        <v>133</v>
      </c>
      <c r="C191" s="8" t="s">
        <v>155</v>
      </c>
      <c r="D191" s="285" t="s">
        <v>727</v>
      </c>
      <c r="E191" s="285"/>
      <c r="F191" s="325">
        <f>F192+F196</f>
        <v>45</v>
      </c>
      <c r="G191" s="325">
        <f>G192+G196</f>
        <v>45</v>
      </c>
    </row>
    <row r="192" spans="1:7" ht="78.75" x14ac:dyDescent="0.25">
      <c r="A192" s="273" t="s">
        <v>894</v>
      </c>
      <c r="B192" s="285" t="s">
        <v>133</v>
      </c>
      <c r="C192" s="285" t="s">
        <v>155</v>
      </c>
      <c r="D192" s="285" t="s">
        <v>900</v>
      </c>
      <c r="E192" s="285"/>
      <c r="F192" s="325">
        <f>F193</f>
        <v>30</v>
      </c>
      <c r="G192" s="325">
        <f>G193</f>
        <v>30</v>
      </c>
    </row>
    <row r="193" spans="1:7" ht="63" x14ac:dyDescent="0.25">
      <c r="A193" s="101" t="s">
        <v>798</v>
      </c>
      <c r="B193" s="32" t="s">
        <v>133</v>
      </c>
      <c r="C193" s="32" t="s">
        <v>155</v>
      </c>
      <c r="D193" s="32" t="s">
        <v>895</v>
      </c>
      <c r="E193" s="32"/>
      <c r="F193" s="326">
        <f>F194</f>
        <v>30</v>
      </c>
      <c r="G193" s="326">
        <f>G194</f>
        <v>30</v>
      </c>
    </row>
    <row r="194" spans="1:7" ht="53.25" customHeight="1" x14ac:dyDescent="0.25">
      <c r="A194" s="31" t="s">
        <v>146</v>
      </c>
      <c r="B194" s="32" t="s">
        <v>133</v>
      </c>
      <c r="C194" s="32" t="s">
        <v>155</v>
      </c>
      <c r="D194" s="32" t="s">
        <v>895</v>
      </c>
      <c r="E194" s="32" t="s">
        <v>147</v>
      </c>
      <c r="F194" s="326">
        <f>F195</f>
        <v>30</v>
      </c>
      <c r="G194" s="326">
        <f t="shared" si="6"/>
        <v>30</v>
      </c>
    </row>
    <row r="195" spans="1:7" ht="61.5" customHeight="1" x14ac:dyDescent="0.25">
      <c r="A195" s="31" t="s">
        <v>148</v>
      </c>
      <c r="B195" s="32" t="s">
        <v>133</v>
      </c>
      <c r="C195" s="32" t="s">
        <v>155</v>
      </c>
      <c r="D195" s="32" t="s">
        <v>895</v>
      </c>
      <c r="E195" s="32" t="s">
        <v>149</v>
      </c>
      <c r="F195" s="326">
        <f>'пр.6.1.ведом.21-22'!G119+'пр.6.1.ведом.21-22'!G247</f>
        <v>30</v>
      </c>
      <c r="G195" s="326">
        <f>'пр.6.1.ведом.21-22'!H119+'пр.6.1.ведом.21-22'!H247</f>
        <v>30</v>
      </c>
    </row>
    <row r="196" spans="1:7" ht="63" x14ac:dyDescent="0.25">
      <c r="A196" s="274" t="s">
        <v>1195</v>
      </c>
      <c r="B196" s="285" t="s">
        <v>133</v>
      </c>
      <c r="C196" s="285" t="s">
        <v>155</v>
      </c>
      <c r="D196" s="285" t="s">
        <v>901</v>
      </c>
      <c r="E196" s="285"/>
      <c r="F196" s="325">
        <f>F197</f>
        <v>15</v>
      </c>
      <c r="G196" s="325">
        <f>G197</f>
        <v>15</v>
      </c>
    </row>
    <row r="197" spans="1:7" ht="47.25" x14ac:dyDescent="0.25">
      <c r="A197" s="101" t="s">
        <v>799</v>
      </c>
      <c r="B197" s="32" t="s">
        <v>133</v>
      </c>
      <c r="C197" s="32" t="s">
        <v>155</v>
      </c>
      <c r="D197" s="32" t="s">
        <v>896</v>
      </c>
      <c r="E197" s="32"/>
      <c r="F197" s="326">
        <f>'Пр.5 Рд,пр, ЦС,ВР 20'!F197</f>
        <v>15</v>
      </c>
      <c r="G197" s="326">
        <f t="shared" si="6"/>
        <v>15</v>
      </c>
    </row>
    <row r="198" spans="1:7" ht="47.25" x14ac:dyDescent="0.25">
      <c r="A198" s="31" t="s">
        <v>146</v>
      </c>
      <c r="B198" s="32" t="s">
        <v>133</v>
      </c>
      <c r="C198" s="32" t="s">
        <v>155</v>
      </c>
      <c r="D198" s="32" t="s">
        <v>896</v>
      </c>
      <c r="E198" s="32" t="s">
        <v>147</v>
      </c>
      <c r="F198" s="326">
        <f>'Пр.5 Рд,пр, ЦС,ВР 20'!F198</f>
        <v>15</v>
      </c>
      <c r="G198" s="326">
        <f t="shared" si="6"/>
        <v>15</v>
      </c>
    </row>
    <row r="199" spans="1:7" ht="63" x14ac:dyDescent="0.25">
      <c r="A199" s="31" t="s">
        <v>148</v>
      </c>
      <c r="B199" s="32" t="s">
        <v>133</v>
      </c>
      <c r="C199" s="32" t="s">
        <v>155</v>
      </c>
      <c r="D199" s="32" t="s">
        <v>896</v>
      </c>
      <c r="E199" s="32" t="s">
        <v>149</v>
      </c>
      <c r="F199" s="326">
        <f>'Пр.5 Рд,пр, ЦС,ВР 20'!F199</f>
        <v>15</v>
      </c>
      <c r="G199" s="326">
        <f t="shared" si="6"/>
        <v>15</v>
      </c>
    </row>
    <row r="200" spans="1:7" ht="110.25" x14ac:dyDescent="0.25">
      <c r="A200" s="438" t="s">
        <v>1456</v>
      </c>
      <c r="B200" s="285" t="s">
        <v>133</v>
      </c>
      <c r="C200" s="285" t="s">
        <v>155</v>
      </c>
      <c r="D200" s="285" t="s">
        <v>805</v>
      </c>
      <c r="E200" s="285"/>
      <c r="F200" s="325">
        <f>F202</f>
        <v>239.82</v>
      </c>
      <c r="G200" s="325">
        <f>G202</f>
        <v>239.82</v>
      </c>
    </row>
    <row r="201" spans="1:7" ht="47.25" x14ac:dyDescent="0.25">
      <c r="A201" s="34" t="s">
        <v>1007</v>
      </c>
      <c r="B201" s="285" t="s">
        <v>133</v>
      </c>
      <c r="C201" s="285" t="s">
        <v>155</v>
      </c>
      <c r="D201" s="285" t="s">
        <v>1189</v>
      </c>
      <c r="E201" s="285"/>
      <c r="F201" s="325">
        <f>F202</f>
        <v>239.82</v>
      </c>
      <c r="G201" s="325">
        <f>G202</f>
        <v>239.82</v>
      </c>
    </row>
    <row r="202" spans="1:7" ht="63" x14ac:dyDescent="0.25">
      <c r="A202" s="439" t="s">
        <v>815</v>
      </c>
      <c r="B202" s="32" t="s">
        <v>133</v>
      </c>
      <c r="C202" s="32" t="s">
        <v>155</v>
      </c>
      <c r="D202" s="32" t="s">
        <v>1190</v>
      </c>
      <c r="E202" s="32"/>
      <c r="F202" s="326">
        <f>'Пр.5 Рд,пр, ЦС,ВР 20'!F202</f>
        <v>239.82</v>
      </c>
      <c r="G202" s="326">
        <f t="shared" si="6"/>
        <v>239.82</v>
      </c>
    </row>
    <row r="203" spans="1:7" ht="47.25" x14ac:dyDescent="0.25">
      <c r="A203" s="439" t="s">
        <v>146</v>
      </c>
      <c r="B203" s="32" t="s">
        <v>133</v>
      </c>
      <c r="C203" s="32" t="s">
        <v>155</v>
      </c>
      <c r="D203" s="32" t="s">
        <v>1190</v>
      </c>
      <c r="E203" s="32" t="s">
        <v>147</v>
      </c>
      <c r="F203" s="326">
        <f>'Пр.5 Рд,пр, ЦС,ВР 20'!F203</f>
        <v>239.82</v>
      </c>
      <c r="G203" s="326">
        <f t="shared" si="6"/>
        <v>239.82</v>
      </c>
    </row>
    <row r="204" spans="1:7" ht="63" x14ac:dyDescent="0.25">
      <c r="A204" s="439" t="s">
        <v>148</v>
      </c>
      <c r="B204" s="32" t="s">
        <v>133</v>
      </c>
      <c r="C204" s="32" t="s">
        <v>155</v>
      </c>
      <c r="D204" s="32" t="s">
        <v>1190</v>
      </c>
      <c r="E204" s="32" t="s">
        <v>149</v>
      </c>
      <c r="F204" s="326">
        <f>'Пр.5 Рд,пр, ЦС,ВР 20'!F204</f>
        <v>239.82</v>
      </c>
      <c r="G204" s="326">
        <f t="shared" si="6"/>
        <v>239.82</v>
      </c>
    </row>
    <row r="205" spans="1:7" ht="141.75" x14ac:dyDescent="0.25">
      <c r="A205" s="58" t="s">
        <v>1447</v>
      </c>
      <c r="B205" s="8" t="s">
        <v>133</v>
      </c>
      <c r="C205" s="8" t="s">
        <v>155</v>
      </c>
      <c r="D205" s="422" t="s">
        <v>862</v>
      </c>
      <c r="E205" s="8"/>
      <c r="F205" s="325">
        <f t="shared" ref="F205:G208" si="7">F206</f>
        <v>40</v>
      </c>
      <c r="G205" s="325">
        <f t="shared" si="7"/>
        <v>40</v>
      </c>
    </row>
    <row r="206" spans="1:7" ht="78.75" x14ac:dyDescent="0.25">
      <c r="A206" s="283" t="s">
        <v>902</v>
      </c>
      <c r="B206" s="8" t="s">
        <v>133</v>
      </c>
      <c r="C206" s="8" t="s">
        <v>155</v>
      </c>
      <c r="D206" s="214" t="s">
        <v>1273</v>
      </c>
      <c r="E206" s="8"/>
      <c r="F206" s="325">
        <f t="shared" si="7"/>
        <v>40</v>
      </c>
      <c r="G206" s="325">
        <f t="shared" si="7"/>
        <v>40</v>
      </c>
    </row>
    <row r="207" spans="1:7" ht="47.25" x14ac:dyDescent="0.25">
      <c r="A207" s="216" t="s">
        <v>186</v>
      </c>
      <c r="B207" s="9" t="s">
        <v>133</v>
      </c>
      <c r="C207" s="9" t="s">
        <v>155</v>
      </c>
      <c r="D207" s="5" t="s">
        <v>903</v>
      </c>
      <c r="E207" s="9"/>
      <c r="F207" s="326">
        <f t="shared" si="7"/>
        <v>40</v>
      </c>
      <c r="G207" s="326">
        <f t="shared" si="7"/>
        <v>40</v>
      </c>
    </row>
    <row r="208" spans="1:7" ht="47.25" x14ac:dyDescent="0.25">
      <c r="A208" s="31" t="s">
        <v>146</v>
      </c>
      <c r="B208" s="9" t="s">
        <v>133</v>
      </c>
      <c r="C208" s="9" t="s">
        <v>155</v>
      </c>
      <c r="D208" s="5" t="s">
        <v>903</v>
      </c>
      <c r="E208" s="9" t="s">
        <v>147</v>
      </c>
      <c r="F208" s="326">
        <f t="shared" si="7"/>
        <v>40</v>
      </c>
      <c r="G208" s="326">
        <f t="shared" si="7"/>
        <v>40</v>
      </c>
    </row>
    <row r="209" spans="1:7" ht="63" x14ac:dyDescent="0.25">
      <c r="A209" s="31" t="s">
        <v>148</v>
      </c>
      <c r="B209" s="9" t="s">
        <v>133</v>
      </c>
      <c r="C209" s="9" t="s">
        <v>155</v>
      </c>
      <c r="D209" s="5" t="s">
        <v>903</v>
      </c>
      <c r="E209" s="9" t="s">
        <v>149</v>
      </c>
      <c r="F209" s="326">
        <f>'пр.6.1.ведом.21-22'!G128</f>
        <v>40</v>
      </c>
      <c r="G209" s="326">
        <f>'пр.6.1.ведом.21-22'!H128</f>
        <v>40</v>
      </c>
    </row>
    <row r="210" spans="1:7" ht="110.25" x14ac:dyDescent="0.25">
      <c r="A210" s="58" t="s">
        <v>1446</v>
      </c>
      <c r="B210" s="8" t="s">
        <v>133</v>
      </c>
      <c r="C210" s="8" t="s">
        <v>155</v>
      </c>
      <c r="D210" s="214" t="s">
        <v>863</v>
      </c>
      <c r="E210" s="8"/>
      <c r="F210" s="325">
        <f>F211</f>
        <v>100</v>
      </c>
      <c r="G210" s="325">
        <f>G211</f>
        <v>100</v>
      </c>
    </row>
    <row r="211" spans="1:7" ht="63" x14ac:dyDescent="0.25">
      <c r="A211" s="58" t="s">
        <v>904</v>
      </c>
      <c r="B211" s="8" t="s">
        <v>133</v>
      </c>
      <c r="C211" s="8" t="s">
        <v>155</v>
      </c>
      <c r="D211" s="214" t="s">
        <v>912</v>
      </c>
      <c r="E211" s="8"/>
      <c r="F211" s="325">
        <f t="shared" ref="F211:G211" si="8">F212</f>
        <v>100</v>
      </c>
      <c r="G211" s="325">
        <f t="shared" si="8"/>
        <v>100</v>
      </c>
    </row>
    <row r="212" spans="1:7" ht="31.5" x14ac:dyDescent="0.25">
      <c r="A212" s="45" t="s">
        <v>868</v>
      </c>
      <c r="B212" s="9" t="s">
        <v>133</v>
      </c>
      <c r="C212" s="9" t="s">
        <v>155</v>
      </c>
      <c r="D212" s="5" t="s">
        <v>905</v>
      </c>
      <c r="E212" s="9"/>
      <c r="F212" s="326">
        <f>F213</f>
        <v>100</v>
      </c>
      <c r="G212" s="326">
        <f t="shared" si="6"/>
        <v>100</v>
      </c>
    </row>
    <row r="213" spans="1:7" ht="47.25" x14ac:dyDescent="0.25">
      <c r="A213" s="31" t="s">
        <v>146</v>
      </c>
      <c r="B213" s="9" t="s">
        <v>133</v>
      </c>
      <c r="C213" s="9" t="s">
        <v>155</v>
      </c>
      <c r="D213" s="5" t="s">
        <v>905</v>
      </c>
      <c r="E213" s="9" t="s">
        <v>147</v>
      </c>
      <c r="F213" s="326">
        <f>F214</f>
        <v>100</v>
      </c>
      <c r="G213" s="326">
        <f t="shared" ref="G213:G276" si="9">F213</f>
        <v>100</v>
      </c>
    </row>
    <row r="214" spans="1:7" ht="63" x14ac:dyDescent="0.25">
      <c r="A214" s="31" t="s">
        <v>148</v>
      </c>
      <c r="B214" s="9" t="s">
        <v>133</v>
      </c>
      <c r="C214" s="9" t="s">
        <v>155</v>
      </c>
      <c r="D214" s="5" t="s">
        <v>905</v>
      </c>
      <c r="E214" s="9" t="s">
        <v>149</v>
      </c>
      <c r="F214" s="326">
        <f>'пр.6.1.ведом.21-22'!G133</f>
        <v>100</v>
      </c>
      <c r="G214" s="326">
        <f>'пр.6.1.ведом.21-22'!H133</f>
        <v>100</v>
      </c>
    </row>
    <row r="215" spans="1:7" ht="15.75" hidden="1" x14ac:dyDescent="0.25">
      <c r="A215" s="34" t="s">
        <v>227</v>
      </c>
      <c r="B215" s="285" t="s">
        <v>228</v>
      </c>
      <c r="C215" s="285"/>
      <c r="D215" s="285"/>
      <c r="E215" s="285"/>
      <c r="F215" s="325">
        <f t="shared" ref="F215:G218" si="10">F216</f>
        <v>0</v>
      </c>
      <c r="G215" s="325">
        <f t="shared" si="10"/>
        <v>0</v>
      </c>
    </row>
    <row r="216" spans="1:7" ht="31.5" hidden="1" x14ac:dyDescent="0.25">
      <c r="A216" s="34" t="s">
        <v>233</v>
      </c>
      <c r="B216" s="285" t="s">
        <v>228</v>
      </c>
      <c r="C216" s="285" t="s">
        <v>234</v>
      </c>
      <c r="D216" s="285"/>
      <c r="E216" s="285"/>
      <c r="F216" s="325">
        <f t="shared" si="10"/>
        <v>0</v>
      </c>
      <c r="G216" s="325">
        <f t="shared" si="10"/>
        <v>0</v>
      </c>
    </row>
    <row r="217" spans="1:7" ht="31.5" hidden="1" x14ac:dyDescent="0.25">
      <c r="A217" s="34" t="s">
        <v>156</v>
      </c>
      <c r="B217" s="285" t="s">
        <v>228</v>
      </c>
      <c r="C217" s="285" t="s">
        <v>234</v>
      </c>
      <c r="D217" s="285" t="s">
        <v>914</v>
      </c>
      <c r="E217" s="285"/>
      <c r="F217" s="325">
        <f t="shared" si="10"/>
        <v>0</v>
      </c>
      <c r="G217" s="325">
        <f t="shared" si="10"/>
        <v>0</v>
      </c>
    </row>
    <row r="218" spans="1:7" ht="47.25" hidden="1" x14ac:dyDescent="0.25">
      <c r="A218" s="34" t="s">
        <v>918</v>
      </c>
      <c r="B218" s="285" t="s">
        <v>228</v>
      </c>
      <c r="C218" s="285" t="s">
        <v>234</v>
      </c>
      <c r="D218" s="285" t="s">
        <v>913</v>
      </c>
      <c r="E218" s="285"/>
      <c r="F218" s="325">
        <f t="shared" si="10"/>
        <v>0</v>
      </c>
      <c r="G218" s="325">
        <f t="shared" si="10"/>
        <v>0</v>
      </c>
    </row>
    <row r="219" spans="1:7" ht="31.5" hidden="1" x14ac:dyDescent="0.25">
      <c r="A219" s="31" t="s">
        <v>235</v>
      </c>
      <c r="B219" s="32" t="s">
        <v>228</v>
      </c>
      <c r="C219" s="32" t="s">
        <v>234</v>
      </c>
      <c r="D219" s="32" t="s">
        <v>919</v>
      </c>
      <c r="E219" s="32"/>
      <c r="F219" s="326">
        <f>'Пр.5 Рд,пр, ЦС,ВР 20'!F219</f>
        <v>0</v>
      </c>
      <c r="G219" s="326">
        <f t="shared" si="9"/>
        <v>0</v>
      </c>
    </row>
    <row r="220" spans="1:7" ht="63" hidden="1" x14ac:dyDescent="0.25">
      <c r="A220" s="31" t="s">
        <v>213</v>
      </c>
      <c r="B220" s="32" t="s">
        <v>228</v>
      </c>
      <c r="C220" s="32" t="s">
        <v>234</v>
      </c>
      <c r="D220" s="32" t="s">
        <v>919</v>
      </c>
      <c r="E220" s="32" t="s">
        <v>147</v>
      </c>
      <c r="F220" s="326">
        <f>'Пр.5 Рд,пр, ЦС,ВР 20'!F220</f>
        <v>0</v>
      </c>
      <c r="G220" s="326">
        <f t="shared" si="9"/>
        <v>0</v>
      </c>
    </row>
    <row r="221" spans="1:7" ht="63" hidden="1" x14ac:dyDescent="0.25">
      <c r="A221" s="31" t="s">
        <v>148</v>
      </c>
      <c r="B221" s="32" t="s">
        <v>228</v>
      </c>
      <c r="C221" s="32" t="s">
        <v>234</v>
      </c>
      <c r="D221" s="32" t="s">
        <v>919</v>
      </c>
      <c r="E221" s="32" t="s">
        <v>149</v>
      </c>
      <c r="F221" s="326">
        <f>'Пр.5 Рд,пр, ЦС,ВР 20'!F221</f>
        <v>0</v>
      </c>
      <c r="G221" s="326">
        <f t="shared" si="9"/>
        <v>0</v>
      </c>
    </row>
    <row r="222" spans="1:7" ht="47.25" x14ac:dyDescent="0.25">
      <c r="A222" s="34" t="s">
        <v>237</v>
      </c>
      <c r="B222" s="285" t="s">
        <v>230</v>
      </c>
      <c r="C222" s="285"/>
      <c r="D222" s="285"/>
      <c r="E222" s="285"/>
      <c r="F222" s="325">
        <f t="shared" ref="F222:G223" si="11">F223</f>
        <v>8029</v>
      </c>
      <c r="G222" s="325">
        <f t="shared" si="11"/>
        <v>8029</v>
      </c>
    </row>
    <row r="223" spans="1:7" ht="78.75" x14ac:dyDescent="0.25">
      <c r="A223" s="34" t="s">
        <v>238</v>
      </c>
      <c r="B223" s="285" t="s">
        <v>230</v>
      </c>
      <c r="C223" s="285" t="s">
        <v>234</v>
      </c>
      <c r="D223" s="32"/>
      <c r="E223" s="32"/>
      <c r="F223" s="325">
        <f t="shared" si="11"/>
        <v>8029</v>
      </c>
      <c r="G223" s="325">
        <f t="shared" si="11"/>
        <v>8029</v>
      </c>
    </row>
    <row r="224" spans="1:7" ht="31.5" x14ac:dyDescent="0.25">
      <c r="A224" s="34" t="s">
        <v>156</v>
      </c>
      <c r="B224" s="285" t="s">
        <v>230</v>
      </c>
      <c r="C224" s="285" t="s">
        <v>234</v>
      </c>
      <c r="D224" s="285" t="s">
        <v>914</v>
      </c>
      <c r="E224" s="285"/>
      <c r="F224" s="325">
        <f>F225+F232</f>
        <v>8029</v>
      </c>
      <c r="G224" s="325">
        <f>G225+G232</f>
        <v>8029</v>
      </c>
    </row>
    <row r="225" spans="1:7" ht="47.25" x14ac:dyDescent="0.25">
      <c r="A225" s="34" t="s">
        <v>918</v>
      </c>
      <c r="B225" s="285" t="s">
        <v>230</v>
      </c>
      <c r="C225" s="285" t="s">
        <v>234</v>
      </c>
      <c r="D225" s="285" t="s">
        <v>913</v>
      </c>
      <c r="E225" s="285"/>
      <c r="F225" s="325">
        <f>F226+F229</f>
        <v>2089</v>
      </c>
      <c r="G225" s="325">
        <f>G226+G229</f>
        <v>2089</v>
      </c>
    </row>
    <row r="226" spans="1:7" ht="63" x14ac:dyDescent="0.25">
      <c r="A226" s="31" t="s">
        <v>239</v>
      </c>
      <c r="B226" s="32" t="s">
        <v>230</v>
      </c>
      <c r="C226" s="32" t="s">
        <v>234</v>
      </c>
      <c r="D226" s="32" t="s">
        <v>923</v>
      </c>
      <c r="E226" s="32"/>
      <c r="F226" s="326">
        <f>'Пр.5 Рд,пр, ЦС,ВР 20'!F226</f>
        <v>1785</v>
      </c>
      <c r="G226" s="326">
        <f t="shared" si="9"/>
        <v>1785</v>
      </c>
    </row>
    <row r="227" spans="1:7" ht="63" x14ac:dyDescent="0.25">
      <c r="A227" s="31" t="s">
        <v>213</v>
      </c>
      <c r="B227" s="32" t="s">
        <v>230</v>
      </c>
      <c r="C227" s="32" t="s">
        <v>234</v>
      </c>
      <c r="D227" s="32" t="s">
        <v>923</v>
      </c>
      <c r="E227" s="32" t="s">
        <v>147</v>
      </c>
      <c r="F227" s="326">
        <f>'Пр.5 Рд,пр, ЦС,ВР 20'!F227</f>
        <v>1785</v>
      </c>
      <c r="G227" s="326">
        <f t="shared" si="9"/>
        <v>1785</v>
      </c>
    </row>
    <row r="228" spans="1:7" ht="63" x14ac:dyDescent="0.25">
      <c r="A228" s="31" t="s">
        <v>148</v>
      </c>
      <c r="B228" s="32" t="s">
        <v>230</v>
      </c>
      <c r="C228" s="32" t="s">
        <v>234</v>
      </c>
      <c r="D228" s="32" t="s">
        <v>923</v>
      </c>
      <c r="E228" s="32" t="s">
        <v>149</v>
      </c>
      <c r="F228" s="326">
        <f>'Пр.5 Рд,пр, ЦС,ВР 20'!F228</f>
        <v>1785</v>
      </c>
      <c r="G228" s="326">
        <f t="shared" si="9"/>
        <v>1785</v>
      </c>
    </row>
    <row r="229" spans="1:7" ht="31.5" x14ac:dyDescent="0.25">
      <c r="A229" s="31" t="s">
        <v>245</v>
      </c>
      <c r="B229" s="32" t="s">
        <v>230</v>
      </c>
      <c r="C229" s="32" t="s">
        <v>234</v>
      </c>
      <c r="D229" s="32" t="s">
        <v>924</v>
      </c>
      <c r="E229" s="32"/>
      <c r="F229" s="326">
        <f>'Пр.5 Рд,пр, ЦС,ВР 20'!F229</f>
        <v>304</v>
      </c>
      <c r="G229" s="326">
        <f t="shared" si="9"/>
        <v>304</v>
      </c>
    </row>
    <row r="230" spans="1:7" ht="63" x14ac:dyDescent="0.25">
      <c r="A230" s="31" t="s">
        <v>213</v>
      </c>
      <c r="B230" s="32" t="s">
        <v>230</v>
      </c>
      <c r="C230" s="32" t="s">
        <v>234</v>
      </c>
      <c r="D230" s="32" t="s">
        <v>924</v>
      </c>
      <c r="E230" s="32" t="s">
        <v>147</v>
      </c>
      <c r="F230" s="326">
        <f>'Пр.5 Рд,пр, ЦС,ВР 20'!F230</f>
        <v>304</v>
      </c>
      <c r="G230" s="326">
        <f t="shared" si="9"/>
        <v>304</v>
      </c>
    </row>
    <row r="231" spans="1:7" ht="63" x14ac:dyDescent="0.25">
      <c r="A231" s="31" t="s">
        <v>148</v>
      </c>
      <c r="B231" s="32" t="s">
        <v>230</v>
      </c>
      <c r="C231" s="32" t="s">
        <v>234</v>
      </c>
      <c r="D231" s="32" t="s">
        <v>924</v>
      </c>
      <c r="E231" s="32" t="s">
        <v>149</v>
      </c>
      <c r="F231" s="326">
        <f>'Пр.5 Рд,пр, ЦС,ВР 20'!F231</f>
        <v>304</v>
      </c>
      <c r="G231" s="326">
        <f t="shared" si="9"/>
        <v>304</v>
      </c>
    </row>
    <row r="232" spans="1:7" ht="63" x14ac:dyDescent="0.25">
      <c r="A232" s="34" t="s">
        <v>1000</v>
      </c>
      <c r="B232" s="285" t="s">
        <v>230</v>
      </c>
      <c r="C232" s="285" t="s">
        <v>234</v>
      </c>
      <c r="D232" s="285" t="s">
        <v>920</v>
      </c>
      <c r="E232" s="285"/>
      <c r="F232" s="325">
        <f>F233+F238</f>
        <v>5940</v>
      </c>
      <c r="G232" s="325">
        <f>G233+G238</f>
        <v>5940</v>
      </c>
    </row>
    <row r="233" spans="1:7" ht="47.25" x14ac:dyDescent="0.25">
      <c r="A233" s="31" t="s">
        <v>1004</v>
      </c>
      <c r="B233" s="32" t="s">
        <v>230</v>
      </c>
      <c r="C233" s="32" t="s">
        <v>234</v>
      </c>
      <c r="D233" s="32" t="s">
        <v>921</v>
      </c>
      <c r="E233" s="32"/>
      <c r="F233" s="326">
        <f>'Пр.5 Рд,пр, ЦС,ВР 20'!F233</f>
        <v>5688</v>
      </c>
      <c r="G233" s="326">
        <f t="shared" si="9"/>
        <v>5688</v>
      </c>
    </row>
    <row r="234" spans="1:7" ht="126" x14ac:dyDescent="0.25">
      <c r="A234" s="31" t="s">
        <v>142</v>
      </c>
      <c r="B234" s="32" t="s">
        <v>230</v>
      </c>
      <c r="C234" s="32" t="s">
        <v>234</v>
      </c>
      <c r="D234" s="32" t="s">
        <v>921</v>
      </c>
      <c r="E234" s="32" t="s">
        <v>143</v>
      </c>
      <c r="F234" s="326">
        <f>'Пр.5 Рд,пр, ЦС,ВР 20'!F234</f>
        <v>5525</v>
      </c>
      <c r="G234" s="326">
        <f t="shared" si="9"/>
        <v>5525</v>
      </c>
    </row>
    <row r="235" spans="1:7" ht="31.5" x14ac:dyDescent="0.25">
      <c r="A235" s="31" t="s">
        <v>223</v>
      </c>
      <c r="B235" s="32" t="s">
        <v>230</v>
      </c>
      <c r="C235" s="32" t="s">
        <v>234</v>
      </c>
      <c r="D235" s="32" t="s">
        <v>921</v>
      </c>
      <c r="E235" s="32" t="s">
        <v>224</v>
      </c>
      <c r="F235" s="326">
        <f>'Пр.5 Рд,пр, ЦС,ВР 20'!F235</f>
        <v>5525</v>
      </c>
      <c r="G235" s="326">
        <f t="shared" si="9"/>
        <v>5525</v>
      </c>
    </row>
    <row r="236" spans="1:7" ht="63" x14ac:dyDescent="0.25">
      <c r="A236" s="31" t="s">
        <v>213</v>
      </c>
      <c r="B236" s="32" t="s">
        <v>230</v>
      </c>
      <c r="C236" s="32" t="s">
        <v>234</v>
      </c>
      <c r="D236" s="32" t="s">
        <v>921</v>
      </c>
      <c r="E236" s="32" t="s">
        <v>147</v>
      </c>
      <c r="F236" s="326">
        <f>'Пр.5 Рд,пр, ЦС,ВР 20'!F236</f>
        <v>163</v>
      </c>
      <c r="G236" s="326">
        <f t="shared" si="9"/>
        <v>163</v>
      </c>
    </row>
    <row r="237" spans="1:7" ht="63" x14ac:dyDescent="0.25">
      <c r="A237" s="31" t="s">
        <v>148</v>
      </c>
      <c r="B237" s="32" t="s">
        <v>230</v>
      </c>
      <c r="C237" s="32" t="s">
        <v>234</v>
      </c>
      <c r="D237" s="32" t="s">
        <v>921</v>
      </c>
      <c r="E237" s="32" t="s">
        <v>149</v>
      </c>
      <c r="F237" s="326">
        <f>'Пр.5 Рд,пр, ЦС,ВР 20'!F237</f>
        <v>163</v>
      </c>
      <c r="G237" s="326">
        <f t="shared" si="9"/>
        <v>163</v>
      </c>
    </row>
    <row r="238" spans="1:7" ht="63" x14ac:dyDescent="0.25">
      <c r="A238" s="31" t="s">
        <v>886</v>
      </c>
      <c r="B238" s="32" t="s">
        <v>230</v>
      </c>
      <c r="C238" s="32" t="s">
        <v>234</v>
      </c>
      <c r="D238" s="32" t="s">
        <v>922</v>
      </c>
      <c r="E238" s="32"/>
      <c r="F238" s="326">
        <f>'Пр.5 Рд,пр, ЦС,ВР 20'!F238</f>
        <v>252</v>
      </c>
      <c r="G238" s="326">
        <f t="shared" si="9"/>
        <v>252</v>
      </c>
    </row>
    <row r="239" spans="1:7" ht="126" x14ac:dyDescent="0.25">
      <c r="A239" s="31" t="s">
        <v>142</v>
      </c>
      <c r="B239" s="32" t="s">
        <v>230</v>
      </c>
      <c r="C239" s="32" t="s">
        <v>234</v>
      </c>
      <c r="D239" s="32" t="s">
        <v>922</v>
      </c>
      <c r="E239" s="32" t="s">
        <v>143</v>
      </c>
      <c r="F239" s="326">
        <f>'Пр.5 Рд,пр, ЦС,ВР 20'!F239</f>
        <v>252</v>
      </c>
      <c r="G239" s="326">
        <f t="shared" si="9"/>
        <v>252</v>
      </c>
    </row>
    <row r="240" spans="1:7" ht="47.25" x14ac:dyDescent="0.25">
      <c r="A240" s="31" t="s">
        <v>144</v>
      </c>
      <c r="B240" s="32" t="s">
        <v>230</v>
      </c>
      <c r="C240" s="32" t="s">
        <v>234</v>
      </c>
      <c r="D240" s="32" t="s">
        <v>922</v>
      </c>
      <c r="E240" s="32" t="s">
        <v>145</v>
      </c>
      <c r="F240" s="326">
        <f>'Пр.5 Рд,пр, ЦС,ВР 20'!F240</f>
        <v>252</v>
      </c>
      <c r="G240" s="326">
        <f t="shared" si="9"/>
        <v>252</v>
      </c>
    </row>
    <row r="241" spans="1:7" ht="15.75" x14ac:dyDescent="0.25">
      <c r="A241" s="34" t="s">
        <v>247</v>
      </c>
      <c r="B241" s="285" t="s">
        <v>165</v>
      </c>
      <c r="C241" s="285"/>
      <c r="D241" s="285"/>
      <c r="E241" s="32"/>
      <c r="F241" s="325">
        <f t="shared" ref="F241" si="12">F255+F261+F273+F242</f>
        <v>7611.8</v>
      </c>
      <c r="G241" s="325">
        <f>G255+G261+G273+G242</f>
        <v>7700.8</v>
      </c>
    </row>
    <row r="242" spans="1:7" ht="31.5" x14ac:dyDescent="0.25">
      <c r="A242" s="34" t="s">
        <v>248</v>
      </c>
      <c r="B242" s="285" t="s">
        <v>165</v>
      </c>
      <c r="C242" s="285" t="s">
        <v>249</v>
      </c>
      <c r="D242" s="285"/>
      <c r="E242" s="32"/>
      <c r="F242" s="325">
        <f>F243</f>
        <v>306</v>
      </c>
      <c r="G242" s="325">
        <f>G243</f>
        <v>306</v>
      </c>
    </row>
    <row r="243" spans="1:7" ht="78.75" x14ac:dyDescent="0.25">
      <c r="A243" s="34" t="s">
        <v>1466</v>
      </c>
      <c r="B243" s="285" t="s">
        <v>165</v>
      </c>
      <c r="C243" s="285" t="s">
        <v>249</v>
      </c>
      <c r="D243" s="214" t="s">
        <v>197</v>
      </c>
      <c r="E243" s="285"/>
      <c r="F243" s="325">
        <f>F244+F251</f>
        <v>306</v>
      </c>
      <c r="G243" s="325">
        <f>G244+G251</f>
        <v>306</v>
      </c>
    </row>
    <row r="244" spans="1:7" ht="63" x14ac:dyDescent="0.25">
      <c r="A244" s="34" t="s">
        <v>1165</v>
      </c>
      <c r="B244" s="285" t="s">
        <v>165</v>
      </c>
      <c r="C244" s="285" t="s">
        <v>249</v>
      </c>
      <c r="D244" s="350" t="s">
        <v>925</v>
      </c>
      <c r="E244" s="285"/>
      <c r="F244" s="325">
        <f>F245+F248</f>
        <v>256</v>
      </c>
      <c r="G244" s="325">
        <f>G245+G248</f>
        <v>256</v>
      </c>
    </row>
    <row r="245" spans="1:7" ht="31.5" x14ac:dyDescent="0.25">
      <c r="A245" s="31" t="s">
        <v>926</v>
      </c>
      <c r="B245" s="32" t="s">
        <v>165</v>
      </c>
      <c r="C245" s="32" t="s">
        <v>249</v>
      </c>
      <c r="D245" s="32" t="s">
        <v>970</v>
      </c>
      <c r="E245" s="32"/>
      <c r="F245" s="326">
        <f>'Пр.5 Рд,пр, ЦС,ВР 20'!F245</f>
        <v>1</v>
      </c>
      <c r="G245" s="326">
        <f t="shared" si="9"/>
        <v>1</v>
      </c>
    </row>
    <row r="246" spans="1:7" ht="31.5" x14ac:dyDescent="0.25">
      <c r="A246" s="45" t="s">
        <v>150</v>
      </c>
      <c r="B246" s="32" t="s">
        <v>165</v>
      </c>
      <c r="C246" s="32" t="s">
        <v>249</v>
      </c>
      <c r="D246" s="32" t="s">
        <v>970</v>
      </c>
      <c r="E246" s="32" t="s">
        <v>160</v>
      </c>
      <c r="F246" s="326">
        <f>'Пр.5 Рд,пр, ЦС,ВР 20'!F246</f>
        <v>1</v>
      </c>
      <c r="G246" s="326">
        <f t="shared" si="9"/>
        <v>1</v>
      </c>
    </row>
    <row r="247" spans="1:7" ht="78.75" x14ac:dyDescent="0.25">
      <c r="A247" s="45" t="s">
        <v>199</v>
      </c>
      <c r="B247" s="32" t="s">
        <v>165</v>
      </c>
      <c r="C247" s="32" t="s">
        <v>249</v>
      </c>
      <c r="D247" s="32" t="s">
        <v>970</v>
      </c>
      <c r="E247" s="32" t="s">
        <v>175</v>
      </c>
      <c r="F247" s="326">
        <f>'Пр.5 Рд,пр, ЦС,ВР 20'!F247</f>
        <v>1</v>
      </c>
      <c r="G247" s="326">
        <f t="shared" si="9"/>
        <v>1</v>
      </c>
    </row>
    <row r="248" spans="1:7" ht="47.25" x14ac:dyDescent="0.25">
      <c r="A248" s="31" t="s">
        <v>250</v>
      </c>
      <c r="B248" s="32" t="s">
        <v>165</v>
      </c>
      <c r="C248" s="32" t="s">
        <v>249</v>
      </c>
      <c r="D248" s="32" t="s">
        <v>929</v>
      </c>
      <c r="E248" s="32"/>
      <c r="F248" s="326">
        <f>'Пр.5 Рд,пр, ЦС,ВР 20'!F248</f>
        <v>255</v>
      </c>
      <c r="G248" s="326">
        <f t="shared" si="9"/>
        <v>255</v>
      </c>
    </row>
    <row r="249" spans="1:7" ht="31.5" x14ac:dyDescent="0.25">
      <c r="A249" s="31" t="s">
        <v>150</v>
      </c>
      <c r="B249" s="32" t="s">
        <v>165</v>
      </c>
      <c r="C249" s="32" t="s">
        <v>249</v>
      </c>
      <c r="D249" s="32" t="s">
        <v>929</v>
      </c>
      <c r="E249" s="32" t="s">
        <v>160</v>
      </c>
      <c r="F249" s="326">
        <f>'Пр.5 Рд,пр, ЦС,ВР 20'!F249</f>
        <v>255</v>
      </c>
      <c r="G249" s="326">
        <f t="shared" si="9"/>
        <v>255</v>
      </c>
    </row>
    <row r="250" spans="1:7" ht="78.75" x14ac:dyDescent="0.25">
      <c r="A250" s="31" t="s">
        <v>199</v>
      </c>
      <c r="B250" s="32" t="s">
        <v>165</v>
      </c>
      <c r="C250" s="32" t="s">
        <v>249</v>
      </c>
      <c r="D250" s="32" t="s">
        <v>929</v>
      </c>
      <c r="E250" s="32" t="s">
        <v>175</v>
      </c>
      <c r="F250" s="326">
        <f>'Пр.5 Рд,пр, ЦС,ВР 20'!F250</f>
        <v>255</v>
      </c>
      <c r="G250" s="326">
        <f t="shared" si="9"/>
        <v>255</v>
      </c>
    </row>
    <row r="251" spans="1:7" ht="78.75" x14ac:dyDescent="0.25">
      <c r="A251" s="342" t="s">
        <v>1166</v>
      </c>
      <c r="B251" s="285" t="s">
        <v>165</v>
      </c>
      <c r="C251" s="285" t="s">
        <v>249</v>
      </c>
      <c r="D251" s="214" t="s">
        <v>928</v>
      </c>
      <c r="E251" s="285"/>
      <c r="F251" s="325">
        <f>F252</f>
        <v>50</v>
      </c>
      <c r="G251" s="325">
        <f>G252</f>
        <v>50</v>
      </c>
    </row>
    <row r="252" spans="1:7" ht="31.5" x14ac:dyDescent="0.25">
      <c r="A252" s="31" t="s">
        <v>927</v>
      </c>
      <c r="B252" s="32" t="s">
        <v>165</v>
      </c>
      <c r="C252" s="32" t="s">
        <v>249</v>
      </c>
      <c r="D252" s="5" t="s">
        <v>971</v>
      </c>
      <c r="E252" s="32"/>
      <c r="F252" s="326">
        <f>'Пр.5 Рд,пр, ЦС,ВР 20'!F252</f>
        <v>50</v>
      </c>
      <c r="G252" s="326">
        <f t="shared" si="9"/>
        <v>50</v>
      </c>
    </row>
    <row r="253" spans="1:7" ht="31.5" x14ac:dyDescent="0.25">
      <c r="A253" s="45" t="s">
        <v>150</v>
      </c>
      <c r="B253" s="32" t="s">
        <v>165</v>
      </c>
      <c r="C253" s="32" t="s">
        <v>249</v>
      </c>
      <c r="D253" s="5" t="s">
        <v>971</v>
      </c>
      <c r="E253" s="32" t="s">
        <v>160</v>
      </c>
      <c r="F253" s="326">
        <f>'Пр.5 Рд,пр, ЦС,ВР 20'!F253</f>
        <v>50</v>
      </c>
      <c r="G253" s="326">
        <f t="shared" si="9"/>
        <v>50</v>
      </c>
    </row>
    <row r="254" spans="1:7" ht="78.75" x14ac:dyDescent="0.25">
      <c r="A254" s="45" t="s">
        <v>199</v>
      </c>
      <c r="B254" s="32" t="s">
        <v>165</v>
      </c>
      <c r="C254" s="32" t="s">
        <v>249</v>
      </c>
      <c r="D254" s="5" t="s">
        <v>971</v>
      </c>
      <c r="E254" s="32" t="s">
        <v>175</v>
      </c>
      <c r="F254" s="326">
        <f>'Пр.5 Рд,пр, ЦС,ВР 20'!F254</f>
        <v>50</v>
      </c>
      <c r="G254" s="326">
        <f t="shared" si="9"/>
        <v>50</v>
      </c>
    </row>
    <row r="255" spans="1:7" ht="15.75" x14ac:dyDescent="0.25">
      <c r="A255" s="34" t="s">
        <v>520</v>
      </c>
      <c r="B255" s="285" t="s">
        <v>165</v>
      </c>
      <c r="C255" s="285" t="s">
        <v>314</v>
      </c>
      <c r="D255" s="285"/>
      <c r="E255" s="285"/>
      <c r="F255" s="325">
        <f t="shared" ref="F255:G257" si="13">F256</f>
        <v>3258</v>
      </c>
      <c r="G255" s="325">
        <f t="shared" si="13"/>
        <v>3258</v>
      </c>
    </row>
    <row r="256" spans="1:7" ht="31.5" x14ac:dyDescent="0.25">
      <c r="A256" s="34" t="s">
        <v>156</v>
      </c>
      <c r="B256" s="285" t="s">
        <v>165</v>
      </c>
      <c r="C256" s="285" t="s">
        <v>314</v>
      </c>
      <c r="D256" s="285" t="s">
        <v>914</v>
      </c>
      <c r="E256" s="285"/>
      <c r="F256" s="325">
        <f t="shared" si="13"/>
        <v>3258</v>
      </c>
      <c r="G256" s="325">
        <f t="shared" si="13"/>
        <v>3258</v>
      </c>
    </row>
    <row r="257" spans="1:7" ht="47.25" x14ac:dyDescent="0.25">
      <c r="A257" s="34" t="s">
        <v>918</v>
      </c>
      <c r="B257" s="285" t="s">
        <v>165</v>
      </c>
      <c r="C257" s="285" t="s">
        <v>314</v>
      </c>
      <c r="D257" s="285" t="s">
        <v>913</v>
      </c>
      <c r="E257" s="285"/>
      <c r="F257" s="325">
        <f t="shared" si="13"/>
        <v>3258</v>
      </c>
      <c r="G257" s="325">
        <f t="shared" si="13"/>
        <v>3258</v>
      </c>
    </row>
    <row r="258" spans="1:7" ht="31.5" x14ac:dyDescent="0.25">
      <c r="A258" s="31" t="s">
        <v>521</v>
      </c>
      <c r="B258" s="32" t="s">
        <v>165</v>
      </c>
      <c r="C258" s="32" t="s">
        <v>314</v>
      </c>
      <c r="D258" s="32" t="s">
        <v>1098</v>
      </c>
      <c r="E258" s="32"/>
      <c r="F258" s="326">
        <f>'Пр.5 Рд,пр, ЦС,ВР 20'!F258</f>
        <v>3258</v>
      </c>
      <c r="G258" s="326">
        <f t="shared" si="9"/>
        <v>3258</v>
      </c>
    </row>
    <row r="259" spans="1:7" ht="47.25" x14ac:dyDescent="0.25">
      <c r="A259" s="31" t="s">
        <v>146</v>
      </c>
      <c r="B259" s="32" t="s">
        <v>165</v>
      </c>
      <c r="C259" s="32" t="s">
        <v>314</v>
      </c>
      <c r="D259" s="32" t="s">
        <v>1098</v>
      </c>
      <c r="E259" s="32" t="s">
        <v>147</v>
      </c>
      <c r="F259" s="326">
        <f>'Пр.5 Рд,пр, ЦС,ВР 20'!F259</f>
        <v>3258</v>
      </c>
      <c r="G259" s="326">
        <f t="shared" si="9"/>
        <v>3258</v>
      </c>
    </row>
    <row r="260" spans="1:7" ht="63" x14ac:dyDescent="0.25">
      <c r="A260" s="31" t="s">
        <v>148</v>
      </c>
      <c r="B260" s="32" t="s">
        <v>165</v>
      </c>
      <c r="C260" s="32" t="s">
        <v>314</v>
      </c>
      <c r="D260" s="32" t="s">
        <v>1098</v>
      </c>
      <c r="E260" s="32" t="s">
        <v>149</v>
      </c>
      <c r="F260" s="326">
        <f>'Пр.5 Рд,пр, ЦС,ВР 20'!F260</f>
        <v>3258</v>
      </c>
      <c r="G260" s="326">
        <f t="shared" si="9"/>
        <v>3258</v>
      </c>
    </row>
    <row r="261" spans="1:7" ht="31.5" x14ac:dyDescent="0.25">
      <c r="A261" s="34" t="s">
        <v>523</v>
      </c>
      <c r="B261" s="285" t="s">
        <v>165</v>
      </c>
      <c r="C261" s="285" t="s">
        <v>234</v>
      </c>
      <c r="D261" s="32"/>
      <c r="E261" s="285"/>
      <c r="F261" s="325">
        <f t="shared" ref="F261:G261" si="14">F262</f>
        <v>3189</v>
      </c>
      <c r="G261" s="325">
        <f t="shared" si="14"/>
        <v>3278</v>
      </c>
    </row>
    <row r="262" spans="1:7" ht="78.75" x14ac:dyDescent="0.25">
      <c r="A262" s="34" t="s">
        <v>1462</v>
      </c>
      <c r="B262" s="285" t="s">
        <v>165</v>
      </c>
      <c r="C262" s="285" t="s">
        <v>234</v>
      </c>
      <c r="D262" s="285" t="s">
        <v>525</v>
      </c>
      <c r="E262" s="285"/>
      <c r="F262" s="325">
        <f>F263+F267</f>
        <v>3189</v>
      </c>
      <c r="G262" s="325">
        <f>G263+G267</f>
        <v>3278</v>
      </c>
    </row>
    <row r="263" spans="1:7" ht="63" hidden="1" x14ac:dyDescent="0.25">
      <c r="A263" s="34" t="s">
        <v>1156</v>
      </c>
      <c r="B263" s="285" t="s">
        <v>165</v>
      </c>
      <c r="C263" s="285" t="s">
        <v>234</v>
      </c>
      <c r="D263" s="8" t="s">
        <v>1099</v>
      </c>
      <c r="E263" s="285"/>
      <c r="F263" s="325">
        <f>F264</f>
        <v>0</v>
      </c>
      <c r="G263" s="325">
        <f>G264</f>
        <v>0</v>
      </c>
    </row>
    <row r="264" spans="1:7" ht="31.5" hidden="1" x14ac:dyDescent="0.25">
      <c r="A264" s="45" t="s">
        <v>1158</v>
      </c>
      <c r="B264" s="32" t="s">
        <v>165</v>
      </c>
      <c r="C264" s="32" t="s">
        <v>234</v>
      </c>
      <c r="D264" s="9" t="s">
        <v>1157</v>
      </c>
      <c r="E264" s="32"/>
      <c r="F264" s="326">
        <f>'Пр.5 Рд,пр, ЦС,ВР 20'!F264</f>
        <v>0</v>
      </c>
      <c r="G264" s="326">
        <f t="shared" si="9"/>
        <v>0</v>
      </c>
    </row>
    <row r="265" spans="1:7" ht="47.25" hidden="1" x14ac:dyDescent="0.25">
      <c r="A265" s="31" t="s">
        <v>146</v>
      </c>
      <c r="B265" s="32" t="s">
        <v>165</v>
      </c>
      <c r="C265" s="32" t="s">
        <v>234</v>
      </c>
      <c r="D265" s="9" t="s">
        <v>1157</v>
      </c>
      <c r="E265" s="32" t="s">
        <v>147</v>
      </c>
      <c r="F265" s="326">
        <f>'Пр.5 Рд,пр, ЦС,ВР 20'!F265</f>
        <v>0</v>
      </c>
      <c r="G265" s="326">
        <f t="shared" si="9"/>
        <v>0</v>
      </c>
    </row>
    <row r="266" spans="1:7" ht="63" hidden="1" x14ac:dyDescent="0.25">
      <c r="A266" s="31" t="s">
        <v>148</v>
      </c>
      <c r="B266" s="32" t="s">
        <v>165</v>
      </c>
      <c r="C266" s="32" t="s">
        <v>234</v>
      </c>
      <c r="D266" s="9" t="s">
        <v>1157</v>
      </c>
      <c r="E266" s="32" t="s">
        <v>149</v>
      </c>
      <c r="F266" s="326">
        <f>'Пр.5 Рд,пр, ЦС,ВР 20'!F266</f>
        <v>0</v>
      </c>
      <c r="G266" s="326">
        <f t="shared" si="9"/>
        <v>0</v>
      </c>
    </row>
    <row r="267" spans="1:7" ht="63" x14ac:dyDescent="0.25">
      <c r="A267" s="34" t="s">
        <v>1248</v>
      </c>
      <c r="B267" s="285" t="s">
        <v>165</v>
      </c>
      <c r="C267" s="285" t="s">
        <v>234</v>
      </c>
      <c r="D267" s="285" t="s">
        <v>1100</v>
      </c>
      <c r="E267" s="285"/>
      <c r="F267" s="430">
        <f t="shared" ref="F267:G269" si="15">F268</f>
        <v>3189</v>
      </c>
      <c r="G267" s="430">
        <f t="shared" si="15"/>
        <v>3278</v>
      </c>
    </row>
    <row r="268" spans="1:7" ht="31.5" x14ac:dyDescent="0.25">
      <c r="A268" s="45" t="s">
        <v>526</v>
      </c>
      <c r="B268" s="32" t="s">
        <v>165</v>
      </c>
      <c r="C268" s="32" t="s">
        <v>234</v>
      </c>
      <c r="D268" s="9" t="s">
        <v>1159</v>
      </c>
      <c r="E268" s="32"/>
      <c r="F268" s="326">
        <f t="shared" si="15"/>
        <v>3189</v>
      </c>
      <c r="G268" s="326">
        <f t="shared" si="15"/>
        <v>3278</v>
      </c>
    </row>
    <row r="269" spans="1:7" ht="47.25" x14ac:dyDescent="0.25">
      <c r="A269" s="31" t="s">
        <v>146</v>
      </c>
      <c r="B269" s="32" t="s">
        <v>165</v>
      </c>
      <c r="C269" s="32" t="s">
        <v>234</v>
      </c>
      <c r="D269" s="9" t="s">
        <v>1159</v>
      </c>
      <c r="E269" s="32" t="s">
        <v>147</v>
      </c>
      <c r="F269" s="326">
        <f t="shared" si="15"/>
        <v>3189</v>
      </c>
      <c r="G269" s="326">
        <f t="shared" si="15"/>
        <v>3278</v>
      </c>
    </row>
    <row r="270" spans="1:7" ht="63" x14ac:dyDescent="0.25">
      <c r="A270" s="31" t="s">
        <v>148</v>
      </c>
      <c r="B270" s="32" t="s">
        <v>165</v>
      </c>
      <c r="C270" s="32" t="s">
        <v>234</v>
      </c>
      <c r="D270" s="9" t="s">
        <v>1159</v>
      </c>
      <c r="E270" s="32" t="s">
        <v>149</v>
      </c>
      <c r="F270" s="326">
        <f>'пр.6.1.ведом.21-22'!G870</f>
        <v>3189</v>
      </c>
      <c r="G270" s="326">
        <f>'пр.6.1.ведом.21-22'!H870</f>
        <v>3278</v>
      </c>
    </row>
    <row r="271" spans="1:7" ht="31.5" hidden="1" x14ac:dyDescent="0.25">
      <c r="A271" s="31" t="s">
        <v>150</v>
      </c>
      <c r="B271" s="32" t="s">
        <v>165</v>
      </c>
      <c r="C271" s="32" t="s">
        <v>234</v>
      </c>
      <c r="D271" s="9" t="s">
        <v>1159</v>
      </c>
      <c r="E271" s="32" t="s">
        <v>160</v>
      </c>
      <c r="F271" s="326">
        <f>'Пр.5 Рд,пр, ЦС,ВР 20'!F271</f>
        <v>0</v>
      </c>
      <c r="G271" s="326">
        <f t="shared" si="9"/>
        <v>0</v>
      </c>
    </row>
    <row r="272" spans="1:7" ht="31.5" hidden="1" x14ac:dyDescent="0.25">
      <c r="A272" s="31" t="s">
        <v>583</v>
      </c>
      <c r="B272" s="32" t="s">
        <v>165</v>
      </c>
      <c r="C272" s="32" t="s">
        <v>234</v>
      </c>
      <c r="D272" s="9" t="s">
        <v>1159</v>
      </c>
      <c r="E272" s="32" t="s">
        <v>153</v>
      </c>
      <c r="F272" s="326">
        <f>'Пр.5 Рд,пр, ЦС,ВР 20'!F272</f>
        <v>0</v>
      </c>
      <c r="G272" s="326">
        <f t="shared" si="9"/>
        <v>0</v>
      </c>
    </row>
    <row r="273" spans="1:7" ht="31.5" x14ac:dyDescent="0.25">
      <c r="A273" s="34" t="s">
        <v>252</v>
      </c>
      <c r="B273" s="285" t="s">
        <v>165</v>
      </c>
      <c r="C273" s="285" t="s">
        <v>253</v>
      </c>
      <c r="D273" s="285"/>
      <c r="E273" s="285"/>
      <c r="F273" s="325">
        <f>F274+F281+F308</f>
        <v>858.8</v>
      </c>
      <c r="G273" s="325">
        <f>G274+G281+G308</f>
        <v>858.8</v>
      </c>
    </row>
    <row r="274" spans="1:7" ht="47.25" x14ac:dyDescent="0.25">
      <c r="A274" s="34" t="s">
        <v>992</v>
      </c>
      <c r="B274" s="285" t="s">
        <v>165</v>
      </c>
      <c r="C274" s="285" t="s">
        <v>253</v>
      </c>
      <c r="D274" s="285" t="s">
        <v>906</v>
      </c>
      <c r="E274" s="285"/>
      <c r="F274" s="325">
        <f>F275</f>
        <v>288.8</v>
      </c>
      <c r="G274" s="325">
        <f>G275</f>
        <v>288.8</v>
      </c>
    </row>
    <row r="275" spans="1:7" ht="63" x14ac:dyDescent="0.25">
      <c r="A275" s="34" t="s">
        <v>934</v>
      </c>
      <c r="B275" s="285" t="s">
        <v>165</v>
      </c>
      <c r="C275" s="285" t="s">
        <v>253</v>
      </c>
      <c r="D275" s="285" t="s">
        <v>911</v>
      </c>
      <c r="E275" s="285"/>
      <c r="F275" s="325">
        <f>F276</f>
        <v>288.8</v>
      </c>
      <c r="G275" s="325">
        <f>G276</f>
        <v>288.8</v>
      </c>
    </row>
    <row r="276" spans="1:7" ht="94.5" x14ac:dyDescent="0.25">
      <c r="A276" s="31" t="s">
        <v>256</v>
      </c>
      <c r="B276" s="32" t="s">
        <v>165</v>
      </c>
      <c r="C276" s="32" t="s">
        <v>253</v>
      </c>
      <c r="D276" s="32" t="s">
        <v>1001</v>
      </c>
      <c r="E276" s="32"/>
      <c r="F276" s="326">
        <f>'Пр.5 Рд,пр, ЦС,ВР 20'!F276</f>
        <v>288.8</v>
      </c>
      <c r="G276" s="326">
        <f t="shared" si="9"/>
        <v>288.8</v>
      </c>
    </row>
    <row r="277" spans="1:7" ht="126" x14ac:dyDescent="0.25">
      <c r="A277" s="31" t="s">
        <v>142</v>
      </c>
      <c r="B277" s="32" t="s">
        <v>165</v>
      </c>
      <c r="C277" s="32" t="s">
        <v>253</v>
      </c>
      <c r="D277" s="32" t="s">
        <v>1001</v>
      </c>
      <c r="E277" s="32" t="s">
        <v>143</v>
      </c>
      <c r="F277" s="326">
        <f>'Пр.5 Рд,пр, ЦС,ВР 20'!F277</f>
        <v>187</v>
      </c>
      <c r="G277" s="326">
        <f t="shared" ref="G277:G343" si="16">F277</f>
        <v>187</v>
      </c>
    </row>
    <row r="278" spans="1:7" ht="47.25" x14ac:dyDescent="0.25">
      <c r="A278" s="31" t="s">
        <v>144</v>
      </c>
      <c r="B278" s="32" t="s">
        <v>165</v>
      </c>
      <c r="C278" s="32" t="s">
        <v>253</v>
      </c>
      <c r="D278" s="32" t="s">
        <v>1001</v>
      </c>
      <c r="E278" s="32" t="s">
        <v>145</v>
      </c>
      <c r="F278" s="326">
        <f>'Пр.5 Рд,пр, ЦС,ВР 20'!F278</f>
        <v>187</v>
      </c>
      <c r="G278" s="326">
        <f t="shared" si="16"/>
        <v>187</v>
      </c>
    </row>
    <row r="279" spans="1:7" ht="47.25" x14ac:dyDescent="0.25">
      <c r="A279" s="31" t="s">
        <v>146</v>
      </c>
      <c r="B279" s="32" t="s">
        <v>165</v>
      </c>
      <c r="C279" s="32" t="s">
        <v>253</v>
      </c>
      <c r="D279" s="32" t="s">
        <v>1001</v>
      </c>
      <c r="E279" s="32" t="s">
        <v>147</v>
      </c>
      <c r="F279" s="326">
        <f>'Пр.5 Рд,пр, ЦС,ВР 20'!F279</f>
        <v>101.8</v>
      </c>
      <c r="G279" s="326">
        <f t="shared" si="16"/>
        <v>101.8</v>
      </c>
    </row>
    <row r="280" spans="1:7" ht="63" x14ac:dyDescent="0.25">
      <c r="A280" s="31" t="s">
        <v>148</v>
      </c>
      <c r="B280" s="32" t="s">
        <v>165</v>
      </c>
      <c r="C280" s="32" t="s">
        <v>253</v>
      </c>
      <c r="D280" s="32" t="s">
        <v>1001</v>
      </c>
      <c r="E280" s="32" t="s">
        <v>149</v>
      </c>
      <c r="F280" s="326">
        <f>'Пр.5 Рд,пр, ЦС,ВР 20'!F280</f>
        <v>101.8</v>
      </c>
      <c r="G280" s="326">
        <f t="shared" si="16"/>
        <v>101.8</v>
      </c>
    </row>
    <row r="281" spans="1:7" ht="78.75" x14ac:dyDescent="0.25">
      <c r="A281" s="34" t="s">
        <v>1450</v>
      </c>
      <c r="B281" s="285" t="s">
        <v>165</v>
      </c>
      <c r="C281" s="285" t="s">
        <v>253</v>
      </c>
      <c r="D281" s="285" t="s">
        <v>359</v>
      </c>
      <c r="E281" s="285"/>
      <c r="F281" s="325">
        <f>F282</f>
        <v>570</v>
      </c>
      <c r="G281" s="325">
        <f>G282</f>
        <v>570</v>
      </c>
    </row>
    <row r="282" spans="1:7" ht="94.5" x14ac:dyDescent="0.25">
      <c r="A282" s="34" t="s">
        <v>382</v>
      </c>
      <c r="B282" s="285" t="s">
        <v>165</v>
      </c>
      <c r="C282" s="285" t="s">
        <v>253</v>
      </c>
      <c r="D282" s="285" t="s">
        <v>383</v>
      </c>
      <c r="E282" s="285"/>
      <c r="F282" s="325">
        <f>F283+F290+F297+F304</f>
        <v>570</v>
      </c>
      <c r="G282" s="325">
        <f>G283+G290+G297+G304</f>
        <v>570</v>
      </c>
    </row>
    <row r="283" spans="1:7" ht="78.75" hidden="1" x14ac:dyDescent="0.25">
      <c r="A283" s="34" t="s">
        <v>1222</v>
      </c>
      <c r="B283" s="285" t="s">
        <v>165</v>
      </c>
      <c r="C283" s="285" t="s">
        <v>253</v>
      </c>
      <c r="D283" s="285" t="s">
        <v>939</v>
      </c>
      <c r="E283" s="285"/>
      <c r="F283" s="325">
        <f>F284+F287</f>
        <v>0</v>
      </c>
      <c r="G283" s="325">
        <f>G284+G287</f>
        <v>0</v>
      </c>
    </row>
    <row r="284" spans="1:7" ht="78.75" hidden="1" x14ac:dyDescent="0.25">
      <c r="A284" s="31" t="s">
        <v>390</v>
      </c>
      <c r="B284" s="32" t="s">
        <v>165</v>
      </c>
      <c r="C284" s="32" t="s">
        <v>253</v>
      </c>
      <c r="D284" s="32" t="s">
        <v>1223</v>
      </c>
      <c r="E284" s="32"/>
      <c r="F284" s="326">
        <f>'Пр.5 Рд,пр, ЦС,ВР 20'!F284</f>
        <v>0</v>
      </c>
      <c r="G284" s="326">
        <f t="shared" si="16"/>
        <v>0</v>
      </c>
    </row>
    <row r="285" spans="1:7" ht="31.5" hidden="1" x14ac:dyDescent="0.25">
      <c r="A285" s="31" t="s">
        <v>263</v>
      </c>
      <c r="B285" s="32" t="s">
        <v>165</v>
      </c>
      <c r="C285" s="32" t="s">
        <v>253</v>
      </c>
      <c r="D285" s="32" t="s">
        <v>1223</v>
      </c>
      <c r="E285" s="32" t="s">
        <v>264</v>
      </c>
      <c r="F285" s="326">
        <f>'Пр.5 Рд,пр, ЦС,ВР 20'!F285</f>
        <v>0</v>
      </c>
      <c r="G285" s="326">
        <f t="shared" si="16"/>
        <v>0</v>
      </c>
    </row>
    <row r="286" spans="1:7" ht="63" hidden="1" x14ac:dyDescent="0.25">
      <c r="A286" s="31" t="s">
        <v>265</v>
      </c>
      <c r="B286" s="32" t="s">
        <v>165</v>
      </c>
      <c r="C286" s="32" t="s">
        <v>253</v>
      </c>
      <c r="D286" s="32" t="s">
        <v>1223</v>
      </c>
      <c r="E286" s="32" t="s">
        <v>266</v>
      </c>
      <c r="F286" s="326">
        <f>'Пр.5 Рд,пр, ЦС,ВР 20'!F286</f>
        <v>0</v>
      </c>
      <c r="G286" s="326">
        <f t="shared" si="16"/>
        <v>0</v>
      </c>
    </row>
    <row r="287" spans="1:7" ht="78.75" hidden="1" x14ac:dyDescent="0.25">
      <c r="A287" s="31" t="s">
        <v>390</v>
      </c>
      <c r="B287" s="32" t="s">
        <v>165</v>
      </c>
      <c r="C287" s="32" t="s">
        <v>253</v>
      </c>
      <c r="D287" s="32" t="s">
        <v>1224</v>
      </c>
      <c r="E287" s="32"/>
      <c r="F287" s="326">
        <f>'Пр.5 Рд,пр, ЦС,ВР 20'!F287</f>
        <v>0</v>
      </c>
      <c r="G287" s="326">
        <f t="shared" si="16"/>
        <v>0</v>
      </c>
    </row>
    <row r="288" spans="1:7" ht="31.5" hidden="1" x14ac:dyDescent="0.25">
      <c r="A288" s="31" t="s">
        <v>263</v>
      </c>
      <c r="B288" s="32" t="s">
        <v>165</v>
      </c>
      <c r="C288" s="32" t="s">
        <v>253</v>
      </c>
      <c r="D288" s="32" t="s">
        <v>1224</v>
      </c>
      <c r="E288" s="32" t="s">
        <v>264</v>
      </c>
      <c r="F288" s="326">
        <f>'Пр.5 Рд,пр, ЦС,ВР 20'!F288</f>
        <v>0</v>
      </c>
      <c r="G288" s="326">
        <f t="shared" si="16"/>
        <v>0</v>
      </c>
    </row>
    <row r="289" spans="1:7" ht="63" hidden="1" x14ac:dyDescent="0.25">
      <c r="A289" s="31" t="s">
        <v>265</v>
      </c>
      <c r="B289" s="32" t="s">
        <v>165</v>
      </c>
      <c r="C289" s="32" t="s">
        <v>253</v>
      </c>
      <c r="D289" s="32" t="s">
        <v>1224</v>
      </c>
      <c r="E289" s="32" t="s">
        <v>266</v>
      </c>
      <c r="F289" s="326">
        <f>'Пр.5 Рд,пр, ЦС,ВР 20'!F289</f>
        <v>0</v>
      </c>
      <c r="G289" s="326">
        <f t="shared" si="16"/>
        <v>0</v>
      </c>
    </row>
    <row r="290" spans="1:7" ht="63" x14ac:dyDescent="0.25">
      <c r="A290" s="34" t="s">
        <v>1220</v>
      </c>
      <c r="B290" s="285" t="s">
        <v>165</v>
      </c>
      <c r="C290" s="285" t="s">
        <v>253</v>
      </c>
      <c r="D290" s="285" t="s">
        <v>940</v>
      </c>
      <c r="E290" s="285"/>
      <c r="F290" s="325">
        <f>F291+F294</f>
        <v>560</v>
      </c>
      <c r="G290" s="325">
        <f>G291+G294</f>
        <v>560</v>
      </c>
    </row>
    <row r="291" spans="1:7" ht="47.25" x14ac:dyDescent="0.25">
      <c r="A291" s="31" t="s">
        <v>1221</v>
      </c>
      <c r="B291" s="32" t="s">
        <v>165</v>
      </c>
      <c r="C291" s="32" t="s">
        <v>253</v>
      </c>
      <c r="D291" s="32" t="s">
        <v>1225</v>
      </c>
      <c r="E291" s="32"/>
      <c r="F291" s="326">
        <f>'Пр.5 Рд,пр, ЦС,ВР 20'!F291</f>
        <v>60</v>
      </c>
      <c r="G291" s="326">
        <f t="shared" si="16"/>
        <v>60</v>
      </c>
    </row>
    <row r="292" spans="1:7" ht="31.5" x14ac:dyDescent="0.25">
      <c r="A292" s="31" t="s">
        <v>150</v>
      </c>
      <c r="B292" s="32" t="s">
        <v>165</v>
      </c>
      <c r="C292" s="32" t="s">
        <v>253</v>
      </c>
      <c r="D292" s="32" t="s">
        <v>1225</v>
      </c>
      <c r="E292" s="32" t="s">
        <v>160</v>
      </c>
      <c r="F292" s="326">
        <f>'Пр.5 Рд,пр, ЦС,ВР 20'!F292</f>
        <v>60</v>
      </c>
      <c r="G292" s="326">
        <f t="shared" si="16"/>
        <v>60</v>
      </c>
    </row>
    <row r="293" spans="1:7" ht="78.75" x14ac:dyDescent="0.25">
      <c r="A293" s="31" t="s">
        <v>199</v>
      </c>
      <c r="B293" s="32" t="s">
        <v>165</v>
      </c>
      <c r="C293" s="32" t="s">
        <v>253</v>
      </c>
      <c r="D293" s="32" t="s">
        <v>1225</v>
      </c>
      <c r="E293" s="32" t="s">
        <v>175</v>
      </c>
      <c r="F293" s="326">
        <f>'Пр.5 Рд,пр, ЦС,ВР 20'!F293</f>
        <v>60</v>
      </c>
      <c r="G293" s="326">
        <f t="shared" si="16"/>
        <v>60</v>
      </c>
    </row>
    <row r="294" spans="1:7" ht="204.75" hidden="1" x14ac:dyDescent="0.25">
      <c r="A294" s="31" t="s">
        <v>388</v>
      </c>
      <c r="B294" s="32" t="s">
        <v>165</v>
      </c>
      <c r="C294" s="32" t="s">
        <v>253</v>
      </c>
      <c r="D294" s="32" t="s">
        <v>1226</v>
      </c>
      <c r="E294" s="32"/>
      <c r="F294" s="326">
        <f>'Пр.5 Рд,пр, ЦС,ВР 20'!F294</f>
        <v>500</v>
      </c>
      <c r="G294" s="326">
        <f t="shared" si="16"/>
        <v>500</v>
      </c>
    </row>
    <row r="295" spans="1:7" ht="31.5" hidden="1" x14ac:dyDescent="0.25">
      <c r="A295" s="31" t="s">
        <v>150</v>
      </c>
      <c r="B295" s="32" t="s">
        <v>165</v>
      </c>
      <c r="C295" s="32" t="s">
        <v>253</v>
      </c>
      <c r="D295" s="32" t="s">
        <v>1226</v>
      </c>
      <c r="E295" s="32" t="s">
        <v>160</v>
      </c>
      <c r="F295" s="326">
        <f>'Пр.5 Рд,пр, ЦС,ВР 20'!F295</f>
        <v>500</v>
      </c>
      <c r="G295" s="326">
        <f t="shared" si="16"/>
        <v>500</v>
      </c>
    </row>
    <row r="296" spans="1:7" ht="78.75" hidden="1" x14ac:dyDescent="0.25">
      <c r="A296" s="31" t="s">
        <v>199</v>
      </c>
      <c r="B296" s="32" t="s">
        <v>165</v>
      </c>
      <c r="C296" s="32" t="s">
        <v>253</v>
      </c>
      <c r="D296" s="32" t="s">
        <v>1226</v>
      </c>
      <c r="E296" s="32" t="s">
        <v>175</v>
      </c>
      <c r="F296" s="326">
        <f>'Пр.5 Рд,пр, ЦС,ВР 20'!F296</f>
        <v>500</v>
      </c>
      <c r="G296" s="326">
        <f t="shared" si="16"/>
        <v>500</v>
      </c>
    </row>
    <row r="297" spans="1:7" ht="47.25" hidden="1" x14ac:dyDescent="0.25">
      <c r="A297" s="34" t="s">
        <v>1150</v>
      </c>
      <c r="B297" s="285" t="s">
        <v>165</v>
      </c>
      <c r="C297" s="285" t="s">
        <v>253</v>
      </c>
      <c r="D297" s="285" t="s">
        <v>941</v>
      </c>
      <c r="E297" s="285"/>
      <c r="F297" s="325">
        <f>F298+F301</f>
        <v>0</v>
      </c>
      <c r="G297" s="325">
        <f>G298+G301</f>
        <v>0</v>
      </c>
    </row>
    <row r="298" spans="1:7" ht="63" hidden="1" x14ac:dyDescent="0.25">
      <c r="A298" s="101" t="s">
        <v>1229</v>
      </c>
      <c r="B298" s="32" t="s">
        <v>165</v>
      </c>
      <c r="C298" s="32" t="s">
        <v>253</v>
      </c>
      <c r="D298" s="32" t="s">
        <v>1227</v>
      </c>
      <c r="E298" s="32"/>
      <c r="F298" s="326">
        <f>'Пр.5 Рд,пр, ЦС,ВР 20'!F298</f>
        <v>0</v>
      </c>
      <c r="G298" s="326">
        <f t="shared" si="16"/>
        <v>0</v>
      </c>
    </row>
    <row r="299" spans="1:7" ht="47.25" hidden="1" x14ac:dyDescent="0.25">
      <c r="A299" s="31" t="s">
        <v>146</v>
      </c>
      <c r="B299" s="32" t="s">
        <v>165</v>
      </c>
      <c r="C299" s="32" t="s">
        <v>253</v>
      </c>
      <c r="D299" s="32" t="s">
        <v>1227</v>
      </c>
      <c r="E299" s="32" t="s">
        <v>147</v>
      </c>
      <c r="F299" s="326">
        <f>'Пр.5 Рд,пр, ЦС,ВР 20'!F299</f>
        <v>0</v>
      </c>
      <c r="G299" s="326">
        <f t="shared" si="16"/>
        <v>0</v>
      </c>
    </row>
    <row r="300" spans="1:7" ht="63" hidden="1" x14ac:dyDescent="0.25">
      <c r="A300" s="31" t="s">
        <v>148</v>
      </c>
      <c r="B300" s="32" t="s">
        <v>165</v>
      </c>
      <c r="C300" s="32" t="s">
        <v>253</v>
      </c>
      <c r="D300" s="32" t="s">
        <v>1227</v>
      </c>
      <c r="E300" s="32" t="s">
        <v>149</v>
      </c>
      <c r="F300" s="326">
        <f>'Пр.5 Рд,пр, ЦС,ВР 20'!F300</f>
        <v>0</v>
      </c>
      <c r="G300" s="326">
        <f t="shared" si="16"/>
        <v>0</v>
      </c>
    </row>
    <row r="301" spans="1:7" ht="63" hidden="1" x14ac:dyDescent="0.25">
      <c r="A301" s="31" t="s">
        <v>392</v>
      </c>
      <c r="B301" s="32" t="s">
        <v>165</v>
      </c>
      <c r="C301" s="32" t="s">
        <v>253</v>
      </c>
      <c r="D301" s="32" t="s">
        <v>1228</v>
      </c>
      <c r="E301" s="32"/>
      <c r="F301" s="326">
        <f>'Пр.5 Рд,пр, ЦС,ВР 20'!F301</f>
        <v>0</v>
      </c>
      <c r="G301" s="326">
        <f t="shared" si="16"/>
        <v>0</v>
      </c>
    </row>
    <row r="302" spans="1:7" ht="47.25" hidden="1" x14ac:dyDescent="0.25">
      <c r="A302" s="31" t="s">
        <v>146</v>
      </c>
      <c r="B302" s="32" t="s">
        <v>165</v>
      </c>
      <c r="C302" s="32" t="s">
        <v>253</v>
      </c>
      <c r="D302" s="32" t="s">
        <v>1228</v>
      </c>
      <c r="E302" s="32" t="s">
        <v>147</v>
      </c>
      <c r="F302" s="326">
        <f>'Пр.5 Рд,пр, ЦС,ВР 20'!F302</f>
        <v>0</v>
      </c>
      <c r="G302" s="326">
        <f t="shared" si="16"/>
        <v>0</v>
      </c>
    </row>
    <row r="303" spans="1:7" ht="63" hidden="1" x14ac:dyDescent="0.25">
      <c r="A303" s="31" t="s">
        <v>148</v>
      </c>
      <c r="B303" s="32" t="s">
        <v>165</v>
      </c>
      <c r="C303" s="32" t="s">
        <v>253</v>
      </c>
      <c r="D303" s="32" t="s">
        <v>1228</v>
      </c>
      <c r="E303" s="32" t="s">
        <v>149</v>
      </c>
      <c r="F303" s="326">
        <f>'Пр.5 Рд,пр, ЦС,ВР 20'!F303</f>
        <v>0</v>
      </c>
      <c r="G303" s="326">
        <f t="shared" si="16"/>
        <v>0</v>
      </c>
    </row>
    <row r="304" spans="1:7" ht="63" x14ac:dyDescent="0.25">
      <c r="A304" s="274" t="s">
        <v>1323</v>
      </c>
      <c r="B304" s="285" t="s">
        <v>165</v>
      </c>
      <c r="C304" s="285" t="s">
        <v>253</v>
      </c>
      <c r="D304" s="285" t="s">
        <v>1322</v>
      </c>
      <c r="E304" s="285"/>
      <c r="F304" s="416">
        <f t="shared" ref="F304:G306" si="17">F305</f>
        <v>10</v>
      </c>
      <c r="G304" s="416">
        <f t="shared" si="17"/>
        <v>10</v>
      </c>
    </row>
    <row r="305" spans="1:7" ht="47.25" x14ac:dyDescent="0.25">
      <c r="A305" s="440" t="s">
        <v>1324</v>
      </c>
      <c r="B305" s="32" t="s">
        <v>165</v>
      </c>
      <c r="C305" s="32" t="s">
        <v>253</v>
      </c>
      <c r="D305" s="32" t="s">
        <v>1381</v>
      </c>
      <c r="E305" s="32"/>
      <c r="F305" s="415">
        <f t="shared" si="17"/>
        <v>10</v>
      </c>
      <c r="G305" s="326">
        <f t="shared" si="17"/>
        <v>10</v>
      </c>
    </row>
    <row r="306" spans="1:7" ht="47.25" x14ac:dyDescent="0.25">
      <c r="A306" s="31" t="s">
        <v>146</v>
      </c>
      <c r="B306" s="32" t="s">
        <v>165</v>
      </c>
      <c r="C306" s="32" t="s">
        <v>253</v>
      </c>
      <c r="D306" s="32" t="s">
        <v>1381</v>
      </c>
      <c r="E306" s="32" t="s">
        <v>147</v>
      </c>
      <c r="F306" s="415">
        <f t="shared" si="17"/>
        <v>10</v>
      </c>
      <c r="G306" s="326">
        <f t="shared" si="17"/>
        <v>10</v>
      </c>
    </row>
    <row r="307" spans="1:7" ht="63" x14ac:dyDescent="0.25">
      <c r="A307" s="31" t="s">
        <v>148</v>
      </c>
      <c r="B307" s="32" t="s">
        <v>165</v>
      </c>
      <c r="C307" s="32" t="s">
        <v>253</v>
      </c>
      <c r="D307" s="32" t="s">
        <v>1381</v>
      </c>
      <c r="E307" s="32" t="s">
        <v>149</v>
      </c>
      <c r="F307" s="415">
        <f>'пр.6.1.ведом.21-22'!G276</f>
        <v>10</v>
      </c>
      <c r="G307" s="326">
        <f>'пр.6.1.ведом.21-22'!H276</f>
        <v>10</v>
      </c>
    </row>
    <row r="308" spans="1:7" ht="78.75" hidden="1" x14ac:dyDescent="0.25">
      <c r="A308" s="34" t="s">
        <v>1467</v>
      </c>
      <c r="B308" s="285" t="s">
        <v>165</v>
      </c>
      <c r="C308" s="285" t="s">
        <v>253</v>
      </c>
      <c r="D308" s="285" t="s">
        <v>171</v>
      </c>
      <c r="E308" s="285"/>
      <c r="F308" s="325">
        <f>F309</f>
        <v>0</v>
      </c>
      <c r="G308" s="325">
        <f>G309</f>
        <v>0</v>
      </c>
    </row>
    <row r="309" spans="1:7" ht="63" hidden="1" x14ac:dyDescent="0.25">
      <c r="A309" s="34" t="s">
        <v>1254</v>
      </c>
      <c r="B309" s="285" t="s">
        <v>165</v>
      </c>
      <c r="C309" s="285" t="s">
        <v>253</v>
      </c>
      <c r="D309" s="285" t="s">
        <v>1251</v>
      </c>
      <c r="E309" s="285"/>
      <c r="F309" s="325">
        <f>F310+F313</f>
        <v>0</v>
      </c>
      <c r="G309" s="325">
        <f>G310+G313</f>
        <v>0</v>
      </c>
    </row>
    <row r="310" spans="1:7" ht="47.25" hidden="1" x14ac:dyDescent="0.25">
      <c r="A310" s="31" t="s">
        <v>1255</v>
      </c>
      <c r="B310" s="32" t="s">
        <v>165</v>
      </c>
      <c r="C310" s="32" t="s">
        <v>253</v>
      </c>
      <c r="D310" s="32" t="s">
        <v>1252</v>
      </c>
      <c r="E310" s="32"/>
      <c r="F310" s="326">
        <f>'Пр.5 Рд,пр, ЦС,ВР 20'!F310</f>
        <v>0</v>
      </c>
      <c r="G310" s="326">
        <f t="shared" si="16"/>
        <v>0</v>
      </c>
    </row>
    <row r="311" spans="1:7" ht="31.5" hidden="1" x14ac:dyDescent="0.25">
      <c r="A311" s="31" t="s">
        <v>150</v>
      </c>
      <c r="B311" s="32" t="s">
        <v>165</v>
      </c>
      <c r="C311" s="32" t="s">
        <v>253</v>
      </c>
      <c r="D311" s="32" t="s">
        <v>1252</v>
      </c>
      <c r="E311" s="32" t="s">
        <v>160</v>
      </c>
      <c r="F311" s="326">
        <f>'Пр.5 Рд,пр, ЦС,ВР 20'!F311</f>
        <v>0</v>
      </c>
      <c r="G311" s="326">
        <f t="shared" si="16"/>
        <v>0</v>
      </c>
    </row>
    <row r="312" spans="1:7" ht="78.75" hidden="1" x14ac:dyDescent="0.25">
      <c r="A312" s="31" t="s">
        <v>199</v>
      </c>
      <c r="B312" s="32" t="s">
        <v>165</v>
      </c>
      <c r="C312" s="32" t="s">
        <v>253</v>
      </c>
      <c r="D312" s="32" t="s">
        <v>1252</v>
      </c>
      <c r="E312" s="32" t="s">
        <v>175</v>
      </c>
      <c r="F312" s="326">
        <f>'Пр.5 Рд,пр, ЦС,ВР 20'!F312</f>
        <v>0</v>
      </c>
      <c r="G312" s="326">
        <f t="shared" si="16"/>
        <v>0</v>
      </c>
    </row>
    <row r="313" spans="1:7" ht="47.25" hidden="1" x14ac:dyDescent="0.25">
      <c r="A313" s="31" t="s">
        <v>254</v>
      </c>
      <c r="B313" s="32" t="s">
        <v>165</v>
      </c>
      <c r="C313" s="32" t="s">
        <v>253</v>
      </c>
      <c r="D313" s="32" t="s">
        <v>1253</v>
      </c>
      <c r="E313" s="285"/>
      <c r="F313" s="326">
        <f>'Пр.5 Рд,пр, ЦС,ВР 20'!F313</f>
        <v>0</v>
      </c>
      <c r="G313" s="326">
        <f t="shared" si="16"/>
        <v>0</v>
      </c>
    </row>
    <row r="314" spans="1:7" ht="31.5" hidden="1" x14ac:dyDescent="0.25">
      <c r="A314" s="31" t="s">
        <v>150</v>
      </c>
      <c r="B314" s="32" t="s">
        <v>165</v>
      </c>
      <c r="C314" s="32" t="s">
        <v>253</v>
      </c>
      <c r="D314" s="32" t="s">
        <v>1253</v>
      </c>
      <c r="E314" s="32" t="s">
        <v>160</v>
      </c>
      <c r="F314" s="326">
        <f>'Пр.5 Рд,пр, ЦС,ВР 20'!F314</f>
        <v>0</v>
      </c>
      <c r="G314" s="326">
        <f t="shared" si="16"/>
        <v>0</v>
      </c>
    </row>
    <row r="315" spans="1:7" ht="78.75" hidden="1" x14ac:dyDescent="0.25">
      <c r="A315" s="31" t="s">
        <v>199</v>
      </c>
      <c r="B315" s="32" t="s">
        <v>165</v>
      </c>
      <c r="C315" s="32" t="s">
        <v>253</v>
      </c>
      <c r="D315" s="32" t="s">
        <v>1253</v>
      </c>
      <c r="E315" s="32" t="s">
        <v>175</v>
      </c>
      <c r="F315" s="326">
        <f>'Пр.5 Рд,пр, ЦС,ВР 20'!F315</f>
        <v>0</v>
      </c>
      <c r="G315" s="326">
        <f t="shared" si="16"/>
        <v>0</v>
      </c>
    </row>
    <row r="316" spans="1:7" ht="31.5" x14ac:dyDescent="0.25">
      <c r="A316" s="34" t="s">
        <v>405</v>
      </c>
      <c r="B316" s="285" t="s">
        <v>249</v>
      </c>
      <c r="C316" s="285"/>
      <c r="D316" s="285"/>
      <c r="E316" s="285"/>
      <c r="F316" s="325">
        <f>F317++F331+F395+F444</f>
        <v>38717.5</v>
      </c>
      <c r="G316" s="325">
        <f>G317++G331+G395+G444</f>
        <v>37475.9</v>
      </c>
    </row>
    <row r="317" spans="1:7" ht="15.75" x14ac:dyDescent="0.25">
      <c r="A317" s="34" t="s">
        <v>406</v>
      </c>
      <c r="B317" s="285" t="s">
        <v>249</v>
      </c>
      <c r="C317" s="285" t="s">
        <v>133</v>
      </c>
      <c r="D317" s="285"/>
      <c r="E317" s="285"/>
      <c r="F317" s="325">
        <f t="shared" ref="F317:G318" si="18">F318</f>
        <v>6341</v>
      </c>
      <c r="G317" s="325">
        <f t="shared" si="18"/>
        <v>6341</v>
      </c>
    </row>
    <row r="318" spans="1:7" ht="31.5" x14ac:dyDescent="0.25">
      <c r="A318" s="34" t="s">
        <v>156</v>
      </c>
      <c r="B318" s="285" t="s">
        <v>249</v>
      </c>
      <c r="C318" s="285" t="s">
        <v>133</v>
      </c>
      <c r="D318" s="285" t="s">
        <v>914</v>
      </c>
      <c r="E318" s="285"/>
      <c r="F318" s="325">
        <f t="shared" si="18"/>
        <v>6341</v>
      </c>
      <c r="G318" s="325">
        <f t="shared" si="18"/>
        <v>6341</v>
      </c>
    </row>
    <row r="319" spans="1:7" ht="47.25" x14ac:dyDescent="0.25">
      <c r="A319" s="34" t="s">
        <v>918</v>
      </c>
      <c r="B319" s="285" t="s">
        <v>249</v>
      </c>
      <c r="C319" s="285" t="s">
        <v>133</v>
      </c>
      <c r="D319" s="285" t="s">
        <v>913</v>
      </c>
      <c r="E319" s="285"/>
      <c r="F319" s="325">
        <f>F320+F325+F328</f>
        <v>6341</v>
      </c>
      <c r="G319" s="325">
        <f>G320+G325+G328</f>
        <v>6341</v>
      </c>
    </row>
    <row r="320" spans="1:7" ht="31.5" hidden="1" x14ac:dyDescent="0.25">
      <c r="A320" s="31" t="s">
        <v>530</v>
      </c>
      <c r="B320" s="32" t="s">
        <v>796</v>
      </c>
      <c r="C320" s="32" t="s">
        <v>133</v>
      </c>
      <c r="D320" s="32" t="s">
        <v>1101</v>
      </c>
      <c r="E320" s="285"/>
      <c r="F320" s="326">
        <f>'Пр.5 Рд,пр, ЦС,ВР 20'!F320</f>
        <v>0</v>
      </c>
      <c r="G320" s="326">
        <f t="shared" si="16"/>
        <v>0</v>
      </c>
    </row>
    <row r="321" spans="1:7" ht="47.25" hidden="1" x14ac:dyDescent="0.25">
      <c r="A321" s="31" t="s">
        <v>146</v>
      </c>
      <c r="B321" s="32" t="s">
        <v>249</v>
      </c>
      <c r="C321" s="32" t="s">
        <v>133</v>
      </c>
      <c r="D321" s="32" t="s">
        <v>1101</v>
      </c>
      <c r="E321" s="32" t="s">
        <v>147</v>
      </c>
      <c r="F321" s="326">
        <f>'Пр.5 Рд,пр, ЦС,ВР 20'!F321</f>
        <v>0</v>
      </c>
      <c r="G321" s="326">
        <f t="shared" si="16"/>
        <v>0</v>
      </c>
    </row>
    <row r="322" spans="1:7" ht="63" hidden="1" x14ac:dyDescent="0.25">
      <c r="A322" s="31" t="s">
        <v>148</v>
      </c>
      <c r="B322" s="32" t="s">
        <v>249</v>
      </c>
      <c r="C322" s="32" t="s">
        <v>133</v>
      </c>
      <c r="D322" s="32" t="s">
        <v>1101</v>
      </c>
      <c r="E322" s="32" t="s">
        <v>149</v>
      </c>
      <c r="F322" s="326">
        <f>'Пр.5 Рд,пр, ЦС,ВР 20'!F322</f>
        <v>0</v>
      </c>
      <c r="G322" s="326">
        <f t="shared" si="16"/>
        <v>0</v>
      </c>
    </row>
    <row r="323" spans="1:7" ht="31.5" hidden="1" x14ac:dyDescent="0.25">
      <c r="A323" s="31" t="s">
        <v>150</v>
      </c>
      <c r="B323" s="32" t="s">
        <v>249</v>
      </c>
      <c r="C323" s="32" t="s">
        <v>133</v>
      </c>
      <c r="D323" s="32" t="s">
        <v>1101</v>
      </c>
      <c r="E323" s="32" t="s">
        <v>160</v>
      </c>
      <c r="F323" s="326">
        <f>'Пр.5 Рд,пр, ЦС,ВР 20'!F323</f>
        <v>0</v>
      </c>
      <c r="G323" s="326">
        <f t="shared" si="16"/>
        <v>0</v>
      </c>
    </row>
    <row r="324" spans="1:7" ht="78.75" hidden="1" x14ac:dyDescent="0.25">
      <c r="A324" s="31" t="s">
        <v>199</v>
      </c>
      <c r="B324" s="32" t="s">
        <v>249</v>
      </c>
      <c r="C324" s="32" t="s">
        <v>133</v>
      </c>
      <c r="D324" s="32" t="s">
        <v>1101</v>
      </c>
      <c r="E324" s="32" t="s">
        <v>175</v>
      </c>
      <c r="F324" s="326">
        <f>'Пр.5 Рд,пр, ЦС,ВР 20'!F324</f>
        <v>0</v>
      </c>
      <c r="G324" s="326">
        <f t="shared" si="16"/>
        <v>0</v>
      </c>
    </row>
    <row r="325" spans="1:7" ht="47.25" x14ac:dyDescent="0.25">
      <c r="A325" s="45" t="s">
        <v>413</v>
      </c>
      <c r="B325" s="32" t="s">
        <v>249</v>
      </c>
      <c r="C325" s="32" t="s">
        <v>133</v>
      </c>
      <c r="D325" s="32" t="s">
        <v>1102</v>
      </c>
      <c r="E325" s="285"/>
      <c r="F325" s="326">
        <f>'Пр.5 Рд,пр, ЦС,ВР 20'!F325</f>
        <v>4290.3999999999996</v>
      </c>
      <c r="G325" s="326">
        <f t="shared" si="16"/>
        <v>4290.3999999999996</v>
      </c>
    </row>
    <row r="326" spans="1:7" ht="47.25" x14ac:dyDescent="0.25">
      <c r="A326" s="31" t="s">
        <v>146</v>
      </c>
      <c r="B326" s="32" t="s">
        <v>249</v>
      </c>
      <c r="C326" s="32" t="s">
        <v>133</v>
      </c>
      <c r="D326" s="32" t="s">
        <v>1102</v>
      </c>
      <c r="E326" s="32" t="s">
        <v>147</v>
      </c>
      <c r="F326" s="326">
        <f>'Пр.5 Рд,пр, ЦС,ВР 20'!F326</f>
        <v>4290.3999999999996</v>
      </c>
      <c r="G326" s="326">
        <f t="shared" si="16"/>
        <v>4290.3999999999996</v>
      </c>
    </row>
    <row r="327" spans="1:7" ht="63" x14ac:dyDescent="0.25">
      <c r="A327" s="31" t="s">
        <v>148</v>
      </c>
      <c r="B327" s="32" t="s">
        <v>249</v>
      </c>
      <c r="C327" s="32" t="s">
        <v>133</v>
      </c>
      <c r="D327" s="32" t="s">
        <v>1102</v>
      </c>
      <c r="E327" s="32" t="s">
        <v>149</v>
      </c>
      <c r="F327" s="326">
        <f>'Пр.5 Рд,пр, ЦС,ВР 20'!F327</f>
        <v>4290.3999999999996</v>
      </c>
      <c r="G327" s="326">
        <f t="shared" si="16"/>
        <v>4290.3999999999996</v>
      </c>
    </row>
    <row r="328" spans="1:7" ht="63" x14ac:dyDescent="0.25">
      <c r="A328" s="45" t="s">
        <v>1009</v>
      </c>
      <c r="B328" s="32" t="s">
        <v>249</v>
      </c>
      <c r="C328" s="32" t="s">
        <v>133</v>
      </c>
      <c r="D328" s="32" t="s">
        <v>1103</v>
      </c>
      <c r="E328" s="285"/>
      <c r="F328" s="326">
        <f>'Пр.5 Рд,пр, ЦС,ВР 20'!F328</f>
        <v>2050.6</v>
      </c>
      <c r="G328" s="326">
        <f t="shared" si="16"/>
        <v>2050.6</v>
      </c>
    </row>
    <row r="329" spans="1:7" ht="47.25" x14ac:dyDescent="0.25">
      <c r="A329" s="31" t="s">
        <v>146</v>
      </c>
      <c r="B329" s="32" t="s">
        <v>249</v>
      </c>
      <c r="C329" s="32" t="s">
        <v>133</v>
      </c>
      <c r="D329" s="32" t="s">
        <v>1103</v>
      </c>
      <c r="E329" s="32" t="s">
        <v>147</v>
      </c>
      <c r="F329" s="326">
        <f>'Пр.5 Рд,пр, ЦС,ВР 20'!F329</f>
        <v>2050.6</v>
      </c>
      <c r="G329" s="326">
        <f t="shared" si="16"/>
        <v>2050.6</v>
      </c>
    </row>
    <row r="330" spans="1:7" ht="63" x14ac:dyDescent="0.25">
      <c r="A330" s="31" t="s">
        <v>148</v>
      </c>
      <c r="B330" s="32" t="s">
        <v>249</v>
      </c>
      <c r="C330" s="32" t="s">
        <v>133</v>
      </c>
      <c r="D330" s="32" t="s">
        <v>1103</v>
      </c>
      <c r="E330" s="32" t="s">
        <v>149</v>
      </c>
      <c r="F330" s="326">
        <f>'Пр.5 Рд,пр, ЦС,ВР 20'!F330</f>
        <v>2050.6</v>
      </c>
      <c r="G330" s="326">
        <f t="shared" si="16"/>
        <v>2050.6</v>
      </c>
    </row>
    <row r="331" spans="1:7" ht="15.75" x14ac:dyDescent="0.25">
      <c r="A331" s="34" t="s">
        <v>532</v>
      </c>
      <c r="B331" s="285" t="s">
        <v>249</v>
      </c>
      <c r="C331" s="285" t="s">
        <v>228</v>
      </c>
      <c r="D331" s="285"/>
      <c r="E331" s="285"/>
      <c r="F331" s="325">
        <f>F361+F332+F390</f>
        <v>5935</v>
      </c>
      <c r="G331" s="325">
        <f>G361+G332+G390</f>
        <v>4693.3999999999996</v>
      </c>
    </row>
    <row r="332" spans="1:7" ht="31.5" x14ac:dyDescent="0.25">
      <c r="A332" s="34" t="s">
        <v>156</v>
      </c>
      <c r="B332" s="285" t="s">
        <v>249</v>
      </c>
      <c r="C332" s="285" t="s">
        <v>228</v>
      </c>
      <c r="D332" s="285" t="s">
        <v>914</v>
      </c>
      <c r="E332" s="285"/>
      <c r="F332" s="325">
        <f>F333+F344</f>
        <v>5000</v>
      </c>
      <c r="G332" s="325">
        <f>G333+G344</f>
        <v>3789.4</v>
      </c>
    </row>
    <row r="333" spans="1:7" ht="47.25" x14ac:dyDescent="0.25">
      <c r="A333" s="34" t="s">
        <v>918</v>
      </c>
      <c r="B333" s="285" t="s">
        <v>249</v>
      </c>
      <c r="C333" s="285" t="s">
        <v>228</v>
      </c>
      <c r="D333" s="285" t="s">
        <v>913</v>
      </c>
      <c r="E333" s="285"/>
      <c r="F333" s="325">
        <f>F334+F339</f>
        <v>5000</v>
      </c>
      <c r="G333" s="325">
        <f>G334+G339</f>
        <v>3789.4</v>
      </c>
    </row>
    <row r="334" spans="1:7" ht="31.5" hidden="1" x14ac:dyDescent="0.25">
      <c r="A334" s="33" t="s">
        <v>552</v>
      </c>
      <c r="B334" s="32" t="s">
        <v>249</v>
      </c>
      <c r="C334" s="32" t="s">
        <v>228</v>
      </c>
      <c r="D334" s="32" t="s">
        <v>1120</v>
      </c>
      <c r="E334" s="32"/>
      <c r="F334" s="326">
        <f>'Пр.5 Рд,пр, ЦС,ВР 20'!F334</f>
        <v>0</v>
      </c>
      <c r="G334" s="326">
        <f t="shared" si="16"/>
        <v>0</v>
      </c>
    </row>
    <row r="335" spans="1:7" ht="47.25" hidden="1" x14ac:dyDescent="0.25">
      <c r="A335" s="31" t="s">
        <v>146</v>
      </c>
      <c r="B335" s="32" t="s">
        <v>249</v>
      </c>
      <c r="C335" s="32" t="s">
        <v>228</v>
      </c>
      <c r="D335" s="32" t="s">
        <v>1120</v>
      </c>
      <c r="E335" s="32" t="s">
        <v>147</v>
      </c>
      <c r="F335" s="326">
        <f>'Пр.5 Рд,пр, ЦС,ВР 20'!F335</f>
        <v>0</v>
      </c>
      <c r="G335" s="326">
        <f t="shared" si="16"/>
        <v>0</v>
      </c>
    </row>
    <row r="336" spans="1:7" ht="63" hidden="1" x14ac:dyDescent="0.25">
      <c r="A336" s="31" t="s">
        <v>148</v>
      </c>
      <c r="B336" s="32" t="s">
        <v>249</v>
      </c>
      <c r="C336" s="32" t="s">
        <v>228</v>
      </c>
      <c r="D336" s="32" t="s">
        <v>1120</v>
      </c>
      <c r="E336" s="32" t="s">
        <v>149</v>
      </c>
      <c r="F336" s="326">
        <f>'Пр.5 Рд,пр, ЦС,ВР 20'!F336</f>
        <v>0</v>
      </c>
      <c r="G336" s="326">
        <f t="shared" si="16"/>
        <v>0</v>
      </c>
    </row>
    <row r="337" spans="1:7" ht="31.5" hidden="1" x14ac:dyDescent="0.25">
      <c r="A337" s="31" t="s">
        <v>150</v>
      </c>
      <c r="B337" s="32" t="s">
        <v>249</v>
      </c>
      <c r="C337" s="32" t="s">
        <v>228</v>
      </c>
      <c r="D337" s="32" t="s">
        <v>1120</v>
      </c>
      <c r="E337" s="32" t="s">
        <v>160</v>
      </c>
      <c r="F337" s="326">
        <f>'Пр.5 Рд,пр, ЦС,ВР 20'!F337</f>
        <v>0</v>
      </c>
      <c r="G337" s="326">
        <f t="shared" si="16"/>
        <v>0</v>
      </c>
    </row>
    <row r="338" spans="1:7" ht="78.75" hidden="1" x14ac:dyDescent="0.25">
      <c r="A338" s="31" t="s">
        <v>199</v>
      </c>
      <c r="B338" s="32" t="s">
        <v>249</v>
      </c>
      <c r="C338" s="32" t="s">
        <v>228</v>
      </c>
      <c r="D338" s="32" t="s">
        <v>1120</v>
      </c>
      <c r="E338" s="32" t="s">
        <v>175</v>
      </c>
      <c r="F338" s="326">
        <f>'Пр.5 Рд,пр, ЦС,ВР 20'!F338</f>
        <v>0</v>
      </c>
      <c r="G338" s="326">
        <f t="shared" si="16"/>
        <v>0</v>
      </c>
    </row>
    <row r="339" spans="1:7" ht="63" x14ac:dyDescent="0.25">
      <c r="A339" s="45" t="s">
        <v>1009</v>
      </c>
      <c r="B339" s="32" t="s">
        <v>249</v>
      </c>
      <c r="C339" s="32" t="s">
        <v>228</v>
      </c>
      <c r="D339" s="32" t="s">
        <v>1103</v>
      </c>
      <c r="E339" s="32"/>
      <c r="F339" s="326">
        <f>F340</f>
        <v>5000</v>
      </c>
      <c r="G339" s="326">
        <f>G340</f>
        <v>3789.4</v>
      </c>
    </row>
    <row r="340" spans="1:7" ht="47.25" x14ac:dyDescent="0.25">
      <c r="A340" s="31" t="s">
        <v>146</v>
      </c>
      <c r="B340" s="32" t="s">
        <v>249</v>
      </c>
      <c r="C340" s="32" t="s">
        <v>228</v>
      </c>
      <c r="D340" s="32" t="s">
        <v>1103</v>
      </c>
      <c r="E340" s="32" t="s">
        <v>147</v>
      </c>
      <c r="F340" s="326">
        <f>F341</f>
        <v>5000</v>
      </c>
      <c r="G340" s="326">
        <f>G341</f>
        <v>3789.4</v>
      </c>
    </row>
    <row r="341" spans="1:7" ht="63" x14ac:dyDescent="0.25">
      <c r="A341" s="31" t="s">
        <v>148</v>
      </c>
      <c r="B341" s="32" t="s">
        <v>249</v>
      </c>
      <c r="C341" s="32" t="s">
        <v>228</v>
      </c>
      <c r="D341" s="32" t="s">
        <v>1103</v>
      </c>
      <c r="E341" s="32" t="s">
        <v>149</v>
      </c>
      <c r="F341" s="326">
        <f>'пр.6.1.ведом.21-22'!G898</f>
        <v>5000</v>
      </c>
      <c r="G341" s="326">
        <f>'пр.6.1.ведом.21-22'!H898</f>
        <v>3789.4</v>
      </c>
    </row>
    <row r="342" spans="1:7" ht="31.5" hidden="1" x14ac:dyDescent="0.25">
      <c r="A342" s="31" t="s">
        <v>150</v>
      </c>
      <c r="B342" s="32" t="s">
        <v>249</v>
      </c>
      <c r="C342" s="32" t="s">
        <v>228</v>
      </c>
      <c r="D342" s="32" t="s">
        <v>1103</v>
      </c>
      <c r="E342" s="32" t="s">
        <v>160</v>
      </c>
      <c r="F342" s="326">
        <f>'Пр.5 Рд,пр, ЦС,ВР 20'!F342</f>
        <v>0</v>
      </c>
      <c r="G342" s="326">
        <f t="shared" si="16"/>
        <v>0</v>
      </c>
    </row>
    <row r="343" spans="1:7" ht="31.5" hidden="1" x14ac:dyDescent="0.25">
      <c r="A343" s="31" t="s">
        <v>161</v>
      </c>
      <c r="B343" s="32" t="s">
        <v>249</v>
      </c>
      <c r="C343" s="32" t="s">
        <v>228</v>
      </c>
      <c r="D343" s="32" t="s">
        <v>1103</v>
      </c>
      <c r="E343" s="32" t="s">
        <v>162</v>
      </c>
      <c r="F343" s="326">
        <f>'Пр.5 Рд,пр, ЦС,ВР 20'!F343</f>
        <v>0</v>
      </c>
      <c r="G343" s="326">
        <f t="shared" si="16"/>
        <v>0</v>
      </c>
    </row>
    <row r="344" spans="1:7" ht="78.75" hidden="1" x14ac:dyDescent="0.25">
      <c r="A344" s="34" t="s">
        <v>1177</v>
      </c>
      <c r="B344" s="285" t="s">
        <v>249</v>
      </c>
      <c r="C344" s="285" t="s">
        <v>228</v>
      </c>
      <c r="D344" s="285" t="s">
        <v>1121</v>
      </c>
      <c r="E344" s="285"/>
      <c r="F344" s="325">
        <f>F345+F350+F353+F358</f>
        <v>0</v>
      </c>
      <c r="G344" s="325">
        <f>G345+G350+G353+G358</f>
        <v>0</v>
      </c>
    </row>
    <row r="345" spans="1:7" ht="63" hidden="1" x14ac:dyDescent="0.25">
      <c r="A345" s="31" t="s">
        <v>874</v>
      </c>
      <c r="B345" s="32" t="s">
        <v>249</v>
      </c>
      <c r="C345" s="32" t="s">
        <v>228</v>
      </c>
      <c r="D345" s="32" t="s">
        <v>1122</v>
      </c>
      <c r="E345" s="32"/>
      <c r="F345" s="326">
        <f>'Пр.5 Рд,пр, ЦС,ВР 20'!F345</f>
        <v>0</v>
      </c>
      <c r="G345" s="326">
        <f t="shared" ref="G345:G413" si="19">F345</f>
        <v>0</v>
      </c>
    </row>
    <row r="346" spans="1:7" ht="47.25" hidden="1" x14ac:dyDescent="0.25">
      <c r="A346" s="31" t="s">
        <v>146</v>
      </c>
      <c r="B346" s="32" t="s">
        <v>249</v>
      </c>
      <c r="C346" s="32" t="s">
        <v>228</v>
      </c>
      <c r="D346" s="32" t="s">
        <v>1122</v>
      </c>
      <c r="E346" s="32" t="s">
        <v>147</v>
      </c>
      <c r="F346" s="326">
        <f>'Пр.5 Рд,пр, ЦС,ВР 20'!F346</f>
        <v>0</v>
      </c>
      <c r="G346" s="326">
        <f t="shared" si="19"/>
        <v>0</v>
      </c>
    </row>
    <row r="347" spans="1:7" ht="63" hidden="1" x14ac:dyDescent="0.25">
      <c r="A347" s="31" t="s">
        <v>148</v>
      </c>
      <c r="B347" s="32" t="s">
        <v>249</v>
      </c>
      <c r="C347" s="32" t="s">
        <v>228</v>
      </c>
      <c r="D347" s="32" t="s">
        <v>1122</v>
      </c>
      <c r="E347" s="32" t="s">
        <v>149</v>
      </c>
      <c r="F347" s="326">
        <f>'Пр.5 Рд,пр, ЦС,ВР 20'!F347</f>
        <v>0</v>
      </c>
      <c r="G347" s="326">
        <f t="shared" si="19"/>
        <v>0</v>
      </c>
    </row>
    <row r="348" spans="1:7" ht="31.5" hidden="1" x14ac:dyDescent="0.25">
      <c r="A348" s="31" t="s">
        <v>150</v>
      </c>
      <c r="B348" s="32" t="s">
        <v>249</v>
      </c>
      <c r="C348" s="32" t="s">
        <v>228</v>
      </c>
      <c r="D348" s="32" t="s">
        <v>1122</v>
      </c>
      <c r="E348" s="32" t="s">
        <v>884</v>
      </c>
      <c r="F348" s="326">
        <f>'Пр.5 Рд,пр, ЦС,ВР 20'!F348</f>
        <v>0</v>
      </c>
      <c r="G348" s="326">
        <f t="shared" si="19"/>
        <v>0</v>
      </c>
    </row>
    <row r="349" spans="1:7" ht="31.5" hidden="1" x14ac:dyDescent="0.25">
      <c r="A349" s="31" t="s">
        <v>583</v>
      </c>
      <c r="B349" s="32" t="s">
        <v>249</v>
      </c>
      <c r="C349" s="32" t="s">
        <v>228</v>
      </c>
      <c r="D349" s="32" t="s">
        <v>1122</v>
      </c>
      <c r="E349" s="32" t="s">
        <v>1257</v>
      </c>
      <c r="F349" s="326">
        <f>'Пр.5 Рд,пр, ЦС,ВР 20'!F349</f>
        <v>0</v>
      </c>
      <c r="G349" s="326">
        <f t="shared" si="19"/>
        <v>0</v>
      </c>
    </row>
    <row r="350" spans="1:7" ht="94.5" hidden="1" x14ac:dyDescent="0.25">
      <c r="A350" s="31" t="s">
        <v>823</v>
      </c>
      <c r="B350" s="32" t="s">
        <v>249</v>
      </c>
      <c r="C350" s="32" t="s">
        <v>228</v>
      </c>
      <c r="D350" s="32" t="s">
        <v>1123</v>
      </c>
      <c r="E350" s="32"/>
      <c r="F350" s="326">
        <f>'Пр.5 Рд,пр, ЦС,ВР 20'!F350</f>
        <v>0</v>
      </c>
      <c r="G350" s="326">
        <f t="shared" si="19"/>
        <v>0</v>
      </c>
    </row>
    <row r="351" spans="1:7" ht="47.25" hidden="1" x14ac:dyDescent="0.25">
      <c r="A351" s="31" t="s">
        <v>146</v>
      </c>
      <c r="B351" s="32" t="s">
        <v>249</v>
      </c>
      <c r="C351" s="32" t="s">
        <v>228</v>
      </c>
      <c r="D351" s="32" t="s">
        <v>1123</v>
      </c>
      <c r="E351" s="32" t="s">
        <v>147</v>
      </c>
      <c r="F351" s="326">
        <f>'Пр.5 Рд,пр, ЦС,ВР 20'!F351</f>
        <v>0</v>
      </c>
      <c r="G351" s="326">
        <f t="shared" si="19"/>
        <v>0</v>
      </c>
    </row>
    <row r="352" spans="1:7" ht="63" hidden="1" x14ac:dyDescent="0.25">
      <c r="A352" s="31" t="s">
        <v>148</v>
      </c>
      <c r="B352" s="32" t="s">
        <v>249</v>
      </c>
      <c r="C352" s="32" t="s">
        <v>228</v>
      </c>
      <c r="D352" s="32" t="s">
        <v>1123</v>
      </c>
      <c r="E352" s="32" t="s">
        <v>149</v>
      </c>
      <c r="F352" s="326">
        <f>'Пр.5 Рд,пр, ЦС,ВР 20'!F352</f>
        <v>0</v>
      </c>
      <c r="G352" s="326">
        <f t="shared" si="19"/>
        <v>0</v>
      </c>
    </row>
    <row r="353" spans="1:7" ht="78.75" hidden="1" x14ac:dyDescent="0.25">
      <c r="A353" s="216" t="s">
        <v>880</v>
      </c>
      <c r="B353" s="32" t="s">
        <v>249</v>
      </c>
      <c r="C353" s="32" t="s">
        <v>228</v>
      </c>
      <c r="D353" s="32" t="s">
        <v>1124</v>
      </c>
      <c r="E353" s="32"/>
      <c r="F353" s="326">
        <f>'Пр.5 Рд,пр, ЦС,ВР 20'!F353</f>
        <v>0</v>
      </c>
      <c r="G353" s="326">
        <f t="shared" si="19"/>
        <v>0</v>
      </c>
    </row>
    <row r="354" spans="1:7" ht="47.25" hidden="1" x14ac:dyDescent="0.25">
      <c r="A354" s="31" t="s">
        <v>885</v>
      </c>
      <c r="B354" s="32" t="s">
        <v>249</v>
      </c>
      <c r="C354" s="32" t="s">
        <v>228</v>
      </c>
      <c r="D354" s="32" t="s">
        <v>1124</v>
      </c>
      <c r="E354" s="32" t="s">
        <v>884</v>
      </c>
      <c r="F354" s="326">
        <f>'Пр.5 Рд,пр, ЦС,ВР 20'!F354</f>
        <v>0</v>
      </c>
      <c r="G354" s="326">
        <f t="shared" si="19"/>
        <v>0</v>
      </c>
    </row>
    <row r="355" spans="1:7" ht="78.75" hidden="1" x14ac:dyDescent="0.25">
      <c r="A355" s="31" t="s">
        <v>1235</v>
      </c>
      <c r="B355" s="32" t="s">
        <v>249</v>
      </c>
      <c r="C355" s="32" t="s">
        <v>228</v>
      </c>
      <c r="D355" s="32" t="s">
        <v>1124</v>
      </c>
      <c r="E355" s="32" t="s">
        <v>1257</v>
      </c>
      <c r="F355" s="326">
        <f>'Пр.5 Рд,пр, ЦС,ВР 20'!F355</f>
        <v>0</v>
      </c>
      <c r="G355" s="326">
        <f t="shared" si="19"/>
        <v>0</v>
      </c>
    </row>
    <row r="356" spans="1:7" ht="31.5" hidden="1" x14ac:dyDescent="0.25">
      <c r="A356" s="31" t="s">
        <v>150</v>
      </c>
      <c r="B356" s="32" t="s">
        <v>249</v>
      </c>
      <c r="C356" s="32" t="s">
        <v>228</v>
      </c>
      <c r="D356" s="32" t="s">
        <v>1124</v>
      </c>
      <c r="E356" s="32" t="s">
        <v>160</v>
      </c>
      <c r="F356" s="326">
        <f>'Пр.5 Рд,пр, ЦС,ВР 20'!F356</f>
        <v>0</v>
      </c>
      <c r="G356" s="326">
        <f t="shared" si="19"/>
        <v>0</v>
      </c>
    </row>
    <row r="357" spans="1:7" ht="31.5" hidden="1" x14ac:dyDescent="0.25">
      <c r="A357" s="31" t="s">
        <v>726</v>
      </c>
      <c r="B357" s="32" t="s">
        <v>249</v>
      </c>
      <c r="C357" s="32" t="s">
        <v>228</v>
      </c>
      <c r="D357" s="32" t="s">
        <v>1124</v>
      </c>
      <c r="E357" s="32" t="s">
        <v>153</v>
      </c>
      <c r="F357" s="326">
        <f>'Пр.5 Рд,пр, ЦС,ВР 20'!F357</f>
        <v>0</v>
      </c>
      <c r="G357" s="326">
        <f t="shared" si="19"/>
        <v>0</v>
      </c>
    </row>
    <row r="358" spans="1:7" ht="47.25" hidden="1" x14ac:dyDescent="0.25">
      <c r="A358" s="31" t="s">
        <v>1258</v>
      </c>
      <c r="B358" s="32" t="s">
        <v>249</v>
      </c>
      <c r="C358" s="32" t="s">
        <v>228</v>
      </c>
      <c r="D358" s="32" t="s">
        <v>1259</v>
      </c>
      <c r="E358" s="32"/>
      <c r="F358" s="326">
        <f>'Пр.5 Рд,пр, ЦС,ВР 20'!F358</f>
        <v>0</v>
      </c>
      <c r="G358" s="326">
        <f t="shared" si="19"/>
        <v>0</v>
      </c>
    </row>
    <row r="359" spans="1:7" ht="47.25" hidden="1" x14ac:dyDescent="0.25">
      <c r="A359" s="31" t="s">
        <v>146</v>
      </c>
      <c r="B359" s="32" t="s">
        <v>249</v>
      </c>
      <c r="C359" s="32" t="s">
        <v>228</v>
      </c>
      <c r="D359" s="32" t="s">
        <v>1259</v>
      </c>
      <c r="E359" s="32" t="s">
        <v>147</v>
      </c>
      <c r="F359" s="326">
        <f>'Пр.5 Рд,пр, ЦС,ВР 20'!F359</f>
        <v>0</v>
      </c>
      <c r="G359" s="326">
        <f t="shared" si="19"/>
        <v>0</v>
      </c>
    </row>
    <row r="360" spans="1:7" ht="63" hidden="1" x14ac:dyDescent="0.25">
      <c r="A360" s="31" t="s">
        <v>148</v>
      </c>
      <c r="B360" s="32" t="s">
        <v>249</v>
      </c>
      <c r="C360" s="32" t="s">
        <v>228</v>
      </c>
      <c r="D360" s="32" t="s">
        <v>1259</v>
      </c>
      <c r="E360" s="32" t="s">
        <v>149</v>
      </c>
      <c r="F360" s="326">
        <f>'Пр.5 Рд,пр, ЦС,ВР 20'!F360</f>
        <v>0</v>
      </c>
      <c r="G360" s="326">
        <f t="shared" si="19"/>
        <v>0</v>
      </c>
    </row>
    <row r="361" spans="1:7" ht="94.5" x14ac:dyDescent="0.25">
      <c r="A361" s="34" t="s">
        <v>1377</v>
      </c>
      <c r="B361" s="285" t="s">
        <v>249</v>
      </c>
      <c r="C361" s="285" t="s">
        <v>228</v>
      </c>
      <c r="D361" s="285" t="s">
        <v>533</v>
      </c>
      <c r="E361" s="285"/>
      <c r="F361" s="325">
        <f>F362+F366+F370+F374+F378+F382+F386</f>
        <v>700</v>
      </c>
      <c r="G361" s="325">
        <f>G362+G366+G370+G374+G378+G382+G386</f>
        <v>700</v>
      </c>
    </row>
    <row r="362" spans="1:7" ht="47.25" x14ac:dyDescent="0.25">
      <c r="A362" s="34" t="s">
        <v>1104</v>
      </c>
      <c r="B362" s="285" t="s">
        <v>249</v>
      </c>
      <c r="C362" s="285" t="s">
        <v>228</v>
      </c>
      <c r="D362" s="285" t="s">
        <v>1106</v>
      </c>
      <c r="E362" s="285"/>
      <c r="F362" s="325">
        <f t="shared" ref="F362:G364" si="20">F363</f>
        <v>700</v>
      </c>
      <c r="G362" s="325">
        <f t="shared" si="20"/>
        <v>700</v>
      </c>
    </row>
    <row r="363" spans="1:7" ht="31.5" x14ac:dyDescent="0.25">
      <c r="A363" s="45" t="s">
        <v>1105</v>
      </c>
      <c r="B363" s="9" t="s">
        <v>249</v>
      </c>
      <c r="C363" s="9" t="s">
        <v>228</v>
      </c>
      <c r="D363" s="32" t="s">
        <v>1107</v>
      </c>
      <c r="E363" s="9"/>
      <c r="F363" s="326">
        <f t="shared" si="20"/>
        <v>700</v>
      </c>
      <c r="G363" s="326">
        <f t="shared" si="20"/>
        <v>700</v>
      </c>
    </row>
    <row r="364" spans="1:7" ht="47.25" x14ac:dyDescent="0.25">
      <c r="A364" s="31" t="s">
        <v>146</v>
      </c>
      <c r="B364" s="9" t="s">
        <v>249</v>
      </c>
      <c r="C364" s="9" t="s">
        <v>228</v>
      </c>
      <c r="D364" s="32" t="s">
        <v>1107</v>
      </c>
      <c r="E364" s="9" t="s">
        <v>147</v>
      </c>
      <c r="F364" s="326">
        <f t="shared" si="20"/>
        <v>700</v>
      </c>
      <c r="G364" s="326">
        <f t="shared" si="20"/>
        <v>700</v>
      </c>
    </row>
    <row r="365" spans="1:7" ht="63" x14ac:dyDescent="0.25">
      <c r="A365" s="31" t="s">
        <v>148</v>
      </c>
      <c r="B365" s="9" t="s">
        <v>249</v>
      </c>
      <c r="C365" s="9" t="s">
        <v>228</v>
      </c>
      <c r="D365" s="32" t="s">
        <v>1107</v>
      </c>
      <c r="E365" s="9" t="s">
        <v>149</v>
      </c>
      <c r="F365" s="326">
        <f>'пр.6.1.ведом.21-22'!G922</f>
        <v>700</v>
      </c>
      <c r="G365" s="326">
        <f>'пр.6.1.ведом.21-22'!H922</f>
        <v>700</v>
      </c>
    </row>
    <row r="366" spans="1:7" ht="31.5" hidden="1" x14ac:dyDescent="0.25">
      <c r="A366" s="34" t="s">
        <v>1108</v>
      </c>
      <c r="B366" s="8" t="s">
        <v>249</v>
      </c>
      <c r="C366" s="8" t="s">
        <v>228</v>
      </c>
      <c r="D366" s="285" t="s">
        <v>1109</v>
      </c>
      <c r="E366" s="8"/>
      <c r="F366" s="325">
        <f>F367</f>
        <v>0</v>
      </c>
      <c r="G366" s="325">
        <f>G367</f>
        <v>0</v>
      </c>
    </row>
    <row r="367" spans="1:7" ht="31.5" hidden="1" x14ac:dyDescent="0.25">
      <c r="A367" s="45" t="s">
        <v>538</v>
      </c>
      <c r="B367" s="9" t="s">
        <v>249</v>
      </c>
      <c r="C367" s="9" t="s">
        <v>228</v>
      </c>
      <c r="D367" s="32" t="s">
        <v>1112</v>
      </c>
      <c r="E367" s="9"/>
      <c r="F367" s="326">
        <f>'Пр.5 Рд,пр, ЦС,ВР 20'!F367</f>
        <v>0</v>
      </c>
      <c r="G367" s="326">
        <f t="shared" si="19"/>
        <v>0</v>
      </c>
    </row>
    <row r="368" spans="1:7" ht="47.25" hidden="1" x14ac:dyDescent="0.25">
      <c r="A368" s="31" t="s">
        <v>146</v>
      </c>
      <c r="B368" s="9" t="s">
        <v>249</v>
      </c>
      <c r="C368" s="9" t="s">
        <v>228</v>
      </c>
      <c r="D368" s="32" t="s">
        <v>1112</v>
      </c>
      <c r="E368" s="9" t="s">
        <v>147</v>
      </c>
      <c r="F368" s="326">
        <f>'Пр.5 Рд,пр, ЦС,ВР 20'!F368</f>
        <v>0</v>
      </c>
      <c r="G368" s="326">
        <f t="shared" si="19"/>
        <v>0</v>
      </c>
    </row>
    <row r="369" spans="1:7" ht="63" hidden="1" x14ac:dyDescent="0.25">
      <c r="A369" s="31" t="s">
        <v>148</v>
      </c>
      <c r="B369" s="9" t="s">
        <v>249</v>
      </c>
      <c r="C369" s="9" t="s">
        <v>228</v>
      </c>
      <c r="D369" s="32" t="s">
        <v>1112</v>
      </c>
      <c r="E369" s="9" t="s">
        <v>149</v>
      </c>
      <c r="F369" s="326">
        <f>'Пр.5 Рд,пр, ЦС,ВР 20'!F369</f>
        <v>0</v>
      </c>
      <c r="G369" s="326">
        <f t="shared" si="19"/>
        <v>0</v>
      </c>
    </row>
    <row r="370" spans="1:7" ht="47.25" hidden="1" x14ac:dyDescent="0.25">
      <c r="A370" s="58" t="s">
        <v>1110</v>
      </c>
      <c r="B370" s="8" t="s">
        <v>249</v>
      </c>
      <c r="C370" s="8" t="s">
        <v>228</v>
      </c>
      <c r="D370" s="285" t="s">
        <v>1111</v>
      </c>
      <c r="E370" s="8"/>
      <c r="F370" s="325">
        <f>F371</f>
        <v>0</v>
      </c>
      <c r="G370" s="325">
        <f>G371</f>
        <v>0</v>
      </c>
    </row>
    <row r="371" spans="1:7" ht="31.5" hidden="1" x14ac:dyDescent="0.25">
      <c r="A371" s="45" t="s">
        <v>540</v>
      </c>
      <c r="B371" s="9" t="s">
        <v>249</v>
      </c>
      <c r="C371" s="9" t="s">
        <v>228</v>
      </c>
      <c r="D371" s="32" t="s">
        <v>1113</v>
      </c>
      <c r="E371" s="9"/>
      <c r="F371" s="326">
        <f>'Пр.5 Рд,пр, ЦС,ВР 20'!F371</f>
        <v>0</v>
      </c>
      <c r="G371" s="326">
        <f t="shared" si="19"/>
        <v>0</v>
      </c>
    </row>
    <row r="372" spans="1:7" ht="47.25" hidden="1" x14ac:dyDescent="0.25">
      <c r="A372" s="31" t="s">
        <v>146</v>
      </c>
      <c r="B372" s="9" t="s">
        <v>249</v>
      </c>
      <c r="C372" s="9" t="s">
        <v>228</v>
      </c>
      <c r="D372" s="32" t="s">
        <v>1113</v>
      </c>
      <c r="E372" s="9" t="s">
        <v>147</v>
      </c>
      <c r="F372" s="326">
        <f>'Пр.5 Рд,пр, ЦС,ВР 20'!F372</f>
        <v>0</v>
      </c>
      <c r="G372" s="326">
        <f t="shared" si="19"/>
        <v>0</v>
      </c>
    </row>
    <row r="373" spans="1:7" ht="63" hidden="1" x14ac:dyDescent="0.25">
      <c r="A373" s="31" t="s">
        <v>148</v>
      </c>
      <c r="B373" s="9" t="s">
        <v>249</v>
      </c>
      <c r="C373" s="9" t="s">
        <v>228</v>
      </c>
      <c r="D373" s="32" t="s">
        <v>1113</v>
      </c>
      <c r="E373" s="9" t="s">
        <v>149</v>
      </c>
      <c r="F373" s="326">
        <f>'Пр.5 Рд,пр, ЦС,ВР 20'!F373</f>
        <v>0</v>
      </c>
      <c r="G373" s="326">
        <f t="shared" si="19"/>
        <v>0</v>
      </c>
    </row>
    <row r="374" spans="1:7" ht="47.25" hidden="1" x14ac:dyDescent="0.25">
      <c r="A374" s="58" t="s">
        <v>1114</v>
      </c>
      <c r="B374" s="8" t="s">
        <v>249</v>
      </c>
      <c r="C374" s="8" t="s">
        <v>228</v>
      </c>
      <c r="D374" s="285" t="s">
        <v>1115</v>
      </c>
      <c r="E374" s="8"/>
      <c r="F374" s="325">
        <f>F375</f>
        <v>0</v>
      </c>
      <c r="G374" s="325">
        <f>G375</f>
        <v>0</v>
      </c>
    </row>
    <row r="375" spans="1:7" ht="31.5" hidden="1" x14ac:dyDescent="0.25">
      <c r="A375" s="45" t="s">
        <v>542</v>
      </c>
      <c r="B375" s="9" t="s">
        <v>249</v>
      </c>
      <c r="C375" s="9" t="s">
        <v>228</v>
      </c>
      <c r="D375" s="32" t="s">
        <v>1116</v>
      </c>
      <c r="E375" s="9"/>
      <c r="F375" s="326">
        <f>'Пр.5 Рд,пр, ЦС,ВР 20'!F375</f>
        <v>0</v>
      </c>
      <c r="G375" s="326">
        <f t="shared" si="19"/>
        <v>0</v>
      </c>
    </row>
    <row r="376" spans="1:7" ht="47.25" hidden="1" x14ac:dyDescent="0.25">
      <c r="A376" s="31" t="s">
        <v>146</v>
      </c>
      <c r="B376" s="9" t="s">
        <v>249</v>
      </c>
      <c r="C376" s="9" t="s">
        <v>228</v>
      </c>
      <c r="D376" s="32" t="s">
        <v>1116</v>
      </c>
      <c r="E376" s="9" t="s">
        <v>147</v>
      </c>
      <c r="F376" s="326">
        <f>'Пр.5 Рд,пр, ЦС,ВР 20'!F376</f>
        <v>0</v>
      </c>
      <c r="G376" s="326">
        <f t="shared" si="19"/>
        <v>0</v>
      </c>
    </row>
    <row r="377" spans="1:7" ht="63" hidden="1" x14ac:dyDescent="0.25">
      <c r="A377" s="31" t="s">
        <v>148</v>
      </c>
      <c r="B377" s="9" t="s">
        <v>249</v>
      </c>
      <c r="C377" s="9" t="s">
        <v>228</v>
      </c>
      <c r="D377" s="32" t="s">
        <v>1116</v>
      </c>
      <c r="E377" s="9" t="s">
        <v>149</v>
      </c>
      <c r="F377" s="326">
        <f>'Пр.5 Рд,пр, ЦС,ВР 20'!F377</f>
        <v>0</v>
      </c>
      <c r="G377" s="326">
        <f t="shared" si="19"/>
        <v>0</v>
      </c>
    </row>
    <row r="378" spans="1:7" ht="47.25" hidden="1" x14ac:dyDescent="0.25">
      <c r="A378" s="34" t="s">
        <v>1178</v>
      </c>
      <c r="B378" s="8" t="s">
        <v>249</v>
      </c>
      <c r="C378" s="8" t="s">
        <v>228</v>
      </c>
      <c r="D378" s="285" t="s">
        <v>1179</v>
      </c>
      <c r="E378" s="8"/>
      <c r="F378" s="325">
        <f>F379</f>
        <v>0</v>
      </c>
      <c r="G378" s="325">
        <f>G379</f>
        <v>0</v>
      </c>
    </row>
    <row r="379" spans="1:7" ht="31.5" hidden="1" x14ac:dyDescent="0.25">
      <c r="A379" s="45" t="s">
        <v>544</v>
      </c>
      <c r="B379" s="9" t="s">
        <v>249</v>
      </c>
      <c r="C379" s="9" t="s">
        <v>228</v>
      </c>
      <c r="D379" s="32" t="s">
        <v>1182</v>
      </c>
      <c r="E379" s="9"/>
      <c r="F379" s="326">
        <f>'Пр.5 Рд,пр, ЦС,ВР 20'!F379</f>
        <v>0</v>
      </c>
      <c r="G379" s="326">
        <f t="shared" si="19"/>
        <v>0</v>
      </c>
    </row>
    <row r="380" spans="1:7" ht="47.25" hidden="1" x14ac:dyDescent="0.25">
      <c r="A380" s="31" t="s">
        <v>146</v>
      </c>
      <c r="B380" s="9" t="s">
        <v>249</v>
      </c>
      <c r="C380" s="9" t="s">
        <v>228</v>
      </c>
      <c r="D380" s="32" t="s">
        <v>1182</v>
      </c>
      <c r="E380" s="9" t="s">
        <v>147</v>
      </c>
      <c r="F380" s="326">
        <f>'Пр.5 Рд,пр, ЦС,ВР 20'!F380</f>
        <v>0</v>
      </c>
      <c r="G380" s="326">
        <f t="shared" si="19"/>
        <v>0</v>
      </c>
    </row>
    <row r="381" spans="1:7" ht="63" hidden="1" x14ac:dyDescent="0.25">
      <c r="A381" s="31" t="s">
        <v>148</v>
      </c>
      <c r="B381" s="9" t="s">
        <v>249</v>
      </c>
      <c r="C381" s="9" t="s">
        <v>228</v>
      </c>
      <c r="D381" s="32" t="s">
        <v>1182</v>
      </c>
      <c r="E381" s="9" t="s">
        <v>149</v>
      </c>
      <c r="F381" s="326">
        <f>'Пр.5 Рд,пр, ЦС,ВР 20'!F381</f>
        <v>0</v>
      </c>
      <c r="G381" s="326">
        <f t="shared" si="19"/>
        <v>0</v>
      </c>
    </row>
    <row r="382" spans="1:7" ht="63" hidden="1" x14ac:dyDescent="0.25">
      <c r="A382" s="58" t="s">
        <v>1180</v>
      </c>
      <c r="B382" s="8" t="s">
        <v>249</v>
      </c>
      <c r="C382" s="8" t="s">
        <v>228</v>
      </c>
      <c r="D382" s="285" t="s">
        <v>1181</v>
      </c>
      <c r="E382" s="8"/>
      <c r="F382" s="325">
        <f>F383</f>
        <v>0</v>
      </c>
      <c r="G382" s="325">
        <f>G383</f>
        <v>0</v>
      </c>
    </row>
    <row r="383" spans="1:7" ht="47.25" hidden="1" x14ac:dyDescent="0.25">
      <c r="A383" s="45" t="s">
        <v>546</v>
      </c>
      <c r="B383" s="9" t="s">
        <v>249</v>
      </c>
      <c r="C383" s="9" t="s">
        <v>228</v>
      </c>
      <c r="D383" s="32" t="s">
        <v>1183</v>
      </c>
      <c r="E383" s="9"/>
      <c r="F383" s="326">
        <f>'Пр.5 Рд,пр, ЦС,ВР 20'!F383</f>
        <v>0</v>
      </c>
      <c r="G383" s="326">
        <f t="shared" si="19"/>
        <v>0</v>
      </c>
    </row>
    <row r="384" spans="1:7" ht="47.25" hidden="1" x14ac:dyDescent="0.25">
      <c r="A384" s="31" t="s">
        <v>146</v>
      </c>
      <c r="B384" s="9" t="s">
        <v>249</v>
      </c>
      <c r="C384" s="9" t="s">
        <v>228</v>
      </c>
      <c r="D384" s="32" t="s">
        <v>1183</v>
      </c>
      <c r="E384" s="9" t="s">
        <v>147</v>
      </c>
      <c r="F384" s="326">
        <f>'Пр.5 Рд,пр, ЦС,ВР 20'!F384</f>
        <v>0</v>
      </c>
      <c r="G384" s="326">
        <f t="shared" si="19"/>
        <v>0</v>
      </c>
    </row>
    <row r="385" spans="1:7" ht="63" hidden="1" x14ac:dyDescent="0.25">
      <c r="A385" s="31" t="s">
        <v>148</v>
      </c>
      <c r="B385" s="9" t="s">
        <v>249</v>
      </c>
      <c r="C385" s="9" t="s">
        <v>228</v>
      </c>
      <c r="D385" s="32" t="s">
        <v>1183</v>
      </c>
      <c r="E385" s="9" t="s">
        <v>149</v>
      </c>
      <c r="F385" s="326">
        <f>'Пр.5 Рд,пр, ЦС,ВР 20'!F385</f>
        <v>0</v>
      </c>
      <c r="G385" s="326">
        <f t="shared" si="19"/>
        <v>0</v>
      </c>
    </row>
    <row r="386" spans="1:7" ht="47.25" hidden="1" x14ac:dyDescent="0.25">
      <c r="A386" s="58" t="s">
        <v>1118</v>
      </c>
      <c r="B386" s="8" t="s">
        <v>249</v>
      </c>
      <c r="C386" s="8" t="s">
        <v>228</v>
      </c>
      <c r="D386" s="285" t="s">
        <v>1119</v>
      </c>
      <c r="E386" s="8"/>
      <c r="F386" s="325">
        <f>F387</f>
        <v>0</v>
      </c>
      <c r="G386" s="325">
        <f>G387</f>
        <v>0</v>
      </c>
    </row>
    <row r="387" spans="1:7" ht="31.5" hidden="1" x14ac:dyDescent="0.25">
      <c r="A387" s="45" t="s">
        <v>548</v>
      </c>
      <c r="B387" s="9" t="s">
        <v>249</v>
      </c>
      <c r="C387" s="9" t="s">
        <v>228</v>
      </c>
      <c r="D387" s="32" t="s">
        <v>1117</v>
      </c>
      <c r="E387" s="9"/>
      <c r="F387" s="326">
        <f>'Пр.5 Рд,пр, ЦС,ВР 20'!F387</f>
        <v>0</v>
      </c>
      <c r="G387" s="326">
        <f t="shared" si="19"/>
        <v>0</v>
      </c>
    </row>
    <row r="388" spans="1:7" ht="47.25" hidden="1" x14ac:dyDescent="0.25">
      <c r="A388" s="31" t="s">
        <v>146</v>
      </c>
      <c r="B388" s="9" t="s">
        <v>249</v>
      </c>
      <c r="C388" s="9" t="s">
        <v>228</v>
      </c>
      <c r="D388" s="32" t="s">
        <v>1117</v>
      </c>
      <c r="E388" s="9" t="s">
        <v>147</v>
      </c>
      <c r="F388" s="326">
        <f>'Пр.5 Рд,пр, ЦС,ВР 20'!F388</f>
        <v>0</v>
      </c>
      <c r="G388" s="326">
        <f t="shared" si="19"/>
        <v>0</v>
      </c>
    </row>
    <row r="389" spans="1:7" ht="63" hidden="1" x14ac:dyDescent="0.25">
      <c r="A389" s="31" t="s">
        <v>148</v>
      </c>
      <c r="B389" s="9" t="s">
        <v>249</v>
      </c>
      <c r="C389" s="9" t="s">
        <v>228</v>
      </c>
      <c r="D389" s="32" t="s">
        <v>1117</v>
      </c>
      <c r="E389" s="9" t="s">
        <v>149</v>
      </c>
      <c r="F389" s="326">
        <f>'Пр.5 Рд,пр, ЦС,ВР 20'!F389</f>
        <v>0</v>
      </c>
      <c r="G389" s="326">
        <f t="shared" si="19"/>
        <v>0</v>
      </c>
    </row>
    <row r="390" spans="1:7" ht="63" x14ac:dyDescent="0.25">
      <c r="A390" s="34" t="s">
        <v>1384</v>
      </c>
      <c r="B390" s="8" t="s">
        <v>249</v>
      </c>
      <c r="C390" s="8" t="s">
        <v>228</v>
      </c>
      <c r="D390" s="285" t="s">
        <v>1383</v>
      </c>
      <c r="E390" s="8"/>
      <c r="F390" s="325">
        <f t="shared" ref="F390:G393" si="21">F391</f>
        <v>235</v>
      </c>
      <c r="G390" s="325">
        <f t="shared" si="21"/>
        <v>204</v>
      </c>
    </row>
    <row r="391" spans="1:7" ht="47.25" x14ac:dyDescent="0.25">
      <c r="A391" s="34" t="s">
        <v>1385</v>
      </c>
      <c r="B391" s="8" t="s">
        <v>249</v>
      </c>
      <c r="C391" s="8" t="s">
        <v>228</v>
      </c>
      <c r="D391" s="285" t="s">
        <v>1386</v>
      </c>
      <c r="E391" s="8"/>
      <c r="F391" s="325">
        <f t="shared" si="21"/>
        <v>235</v>
      </c>
      <c r="G391" s="325">
        <f t="shared" si="21"/>
        <v>204</v>
      </c>
    </row>
    <row r="392" spans="1:7" ht="31.5" x14ac:dyDescent="0.25">
      <c r="A392" s="31" t="s">
        <v>552</v>
      </c>
      <c r="B392" s="9" t="s">
        <v>249</v>
      </c>
      <c r="C392" s="9" t="s">
        <v>228</v>
      </c>
      <c r="D392" s="32" t="s">
        <v>1387</v>
      </c>
      <c r="E392" s="9"/>
      <c r="F392" s="326">
        <f t="shared" si="21"/>
        <v>235</v>
      </c>
      <c r="G392" s="326">
        <f t="shared" si="21"/>
        <v>204</v>
      </c>
    </row>
    <row r="393" spans="1:7" ht="47.25" x14ac:dyDescent="0.25">
      <c r="A393" s="31" t="s">
        <v>146</v>
      </c>
      <c r="B393" s="9" t="s">
        <v>249</v>
      </c>
      <c r="C393" s="9" t="s">
        <v>228</v>
      </c>
      <c r="D393" s="32" t="s">
        <v>1387</v>
      </c>
      <c r="E393" s="9" t="s">
        <v>147</v>
      </c>
      <c r="F393" s="326">
        <f t="shared" si="21"/>
        <v>235</v>
      </c>
      <c r="G393" s="326">
        <f t="shared" si="21"/>
        <v>204</v>
      </c>
    </row>
    <row r="394" spans="1:7" ht="63" x14ac:dyDescent="0.25">
      <c r="A394" s="31" t="s">
        <v>148</v>
      </c>
      <c r="B394" s="9" t="s">
        <v>249</v>
      </c>
      <c r="C394" s="9" t="s">
        <v>228</v>
      </c>
      <c r="D394" s="32" t="s">
        <v>1387</v>
      </c>
      <c r="E394" s="9" t="s">
        <v>149</v>
      </c>
      <c r="F394" s="326">
        <f>'пр.6.1.ведом.21-22'!G951</f>
        <v>235</v>
      </c>
      <c r="G394" s="326">
        <f>'пр.6.1.ведом.21-22'!H951</f>
        <v>204</v>
      </c>
    </row>
    <row r="395" spans="1:7" ht="15.75" x14ac:dyDescent="0.25">
      <c r="A395" s="58" t="s">
        <v>556</v>
      </c>
      <c r="B395" s="8" t="s">
        <v>249</v>
      </c>
      <c r="C395" s="8" t="s">
        <v>230</v>
      </c>
      <c r="D395" s="8"/>
      <c r="E395" s="8"/>
      <c r="F395" s="325">
        <f>F396+F401+F439</f>
        <v>4134.5</v>
      </c>
      <c r="G395" s="325">
        <f>G396+G401+G439</f>
        <v>4134.5</v>
      </c>
    </row>
    <row r="396" spans="1:7" ht="31.5" x14ac:dyDescent="0.25">
      <c r="A396" s="34" t="s">
        <v>156</v>
      </c>
      <c r="B396" s="285" t="s">
        <v>249</v>
      </c>
      <c r="C396" s="285" t="s">
        <v>230</v>
      </c>
      <c r="D396" s="285" t="s">
        <v>914</v>
      </c>
      <c r="E396" s="285"/>
      <c r="F396" s="325">
        <f>F397</f>
        <v>390</v>
      </c>
      <c r="G396" s="325">
        <f>G397</f>
        <v>390</v>
      </c>
    </row>
    <row r="397" spans="1:7" ht="47.25" x14ac:dyDescent="0.25">
      <c r="A397" s="34" t="s">
        <v>918</v>
      </c>
      <c r="B397" s="285" t="s">
        <v>249</v>
      </c>
      <c r="C397" s="285" t="s">
        <v>230</v>
      </c>
      <c r="D397" s="285" t="s">
        <v>913</v>
      </c>
      <c r="E397" s="285"/>
      <c r="F397" s="325">
        <f>F398</f>
        <v>390</v>
      </c>
      <c r="G397" s="325">
        <f>G398</f>
        <v>390</v>
      </c>
    </row>
    <row r="398" spans="1:7" ht="31.5" x14ac:dyDescent="0.25">
      <c r="A398" s="31" t="s">
        <v>579</v>
      </c>
      <c r="B398" s="32" t="s">
        <v>249</v>
      </c>
      <c r="C398" s="32" t="s">
        <v>230</v>
      </c>
      <c r="D398" s="32" t="s">
        <v>1272</v>
      </c>
      <c r="E398" s="32"/>
      <c r="F398" s="326">
        <f>'Пр.5 Рд,пр, ЦС,ВР 20'!F398</f>
        <v>390</v>
      </c>
      <c r="G398" s="326">
        <f t="shared" si="19"/>
        <v>390</v>
      </c>
    </row>
    <row r="399" spans="1:7" ht="47.25" x14ac:dyDescent="0.25">
      <c r="A399" s="31" t="s">
        <v>146</v>
      </c>
      <c r="B399" s="32" t="s">
        <v>249</v>
      </c>
      <c r="C399" s="32" t="s">
        <v>230</v>
      </c>
      <c r="D399" s="32" t="s">
        <v>1272</v>
      </c>
      <c r="E399" s="32" t="s">
        <v>147</v>
      </c>
      <c r="F399" s="326">
        <f>'Пр.5 Рд,пр, ЦС,ВР 20'!F399</f>
        <v>390</v>
      </c>
      <c r="G399" s="326">
        <f t="shared" si="19"/>
        <v>390</v>
      </c>
    </row>
    <row r="400" spans="1:7" ht="63" x14ac:dyDescent="0.25">
      <c r="A400" s="31" t="s">
        <v>148</v>
      </c>
      <c r="B400" s="32" t="s">
        <v>249</v>
      </c>
      <c r="C400" s="32" t="s">
        <v>230</v>
      </c>
      <c r="D400" s="32" t="s">
        <v>1272</v>
      </c>
      <c r="E400" s="32" t="s">
        <v>149</v>
      </c>
      <c r="F400" s="326">
        <f>'Пр.5 Рд,пр, ЦС,ВР 20'!F400</f>
        <v>390</v>
      </c>
      <c r="G400" s="326">
        <f t="shared" si="19"/>
        <v>390</v>
      </c>
    </row>
    <row r="401" spans="1:7" ht="63" x14ac:dyDescent="0.25">
      <c r="A401" s="34" t="s">
        <v>1463</v>
      </c>
      <c r="B401" s="8" t="s">
        <v>249</v>
      </c>
      <c r="C401" s="8" t="s">
        <v>230</v>
      </c>
      <c r="D401" s="8" t="s">
        <v>558</v>
      </c>
      <c r="E401" s="8"/>
      <c r="F401" s="325">
        <f t="shared" ref="F401:G401" si="22">F402+F416</f>
        <v>3244.5</v>
      </c>
      <c r="G401" s="325">
        <f t="shared" si="22"/>
        <v>3244.5</v>
      </c>
    </row>
    <row r="402" spans="1:7" ht="78.75" x14ac:dyDescent="0.25">
      <c r="A402" s="34" t="s">
        <v>559</v>
      </c>
      <c r="B402" s="285" t="s">
        <v>249</v>
      </c>
      <c r="C402" s="285" t="s">
        <v>230</v>
      </c>
      <c r="D402" s="285" t="s">
        <v>560</v>
      </c>
      <c r="E402" s="285"/>
      <c r="F402" s="325">
        <f>F403</f>
        <v>940</v>
      </c>
      <c r="G402" s="325">
        <f>G403</f>
        <v>940</v>
      </c>
    </row>
    <row r="403" spans="1:7" ht="63" x14ac:dyDescent="0.25">
      <c r="A403" s="34" t="s">
        <v>1127</v>
      </c>
      <c r="B403" s="285" t="s">
        <v>249</v>
      </c>
      <c r="C403" s="285" t="s">
        <v>230</v>
      </c>
      <c r="D403" s="285" t="s">
        <v>1125</v>
      </c>
      <c r="E403" s="285"/>
      <c r="F403" s="325">
        <f>F404+F407+F413</f>
        <v>940</v>
      </c>
      <c r="G403" s="325">
        <f>G404+G407+G413</f>
        <v>940</v>
      </c>
    </row>
    <row r="404" spans="1:7" ht="31.5" x14ac:dyDescent="0.25">
      <c r="A404" s="31" t="s">
        <v>561</v>
      </c>
      <c r="B404" s="32" t="s">
        <v>249</v>
      </c>
      <c r="C404" s="32" t="s">
        <v>230</v>
      </c>
      <c r="D404" s="32" t="s">
        <v>1126</v>
      </c>
      <c r="E404" s="32"/>
      <c r="F404" s="326">
        <f>'Пр.5 Рд,пр, ЦС,ВР 20'!F404</f>
        <v>90</v>
      </c>
      <c r="G404" s="326">
        <f t="shared" si="19"/>
        <v>90</v>
      </c>
    </row>
    <row r="405" spans="1:7" ht="47.25" x14ac:dyDescent="0.25">
      <c r="A405" s="31" t="s">
        <v>146</v>
      </c>
      <c r="B405" s="32" t="s">
        <v>249</v>
      </c>
      <c r="C405" s="32" t="s">
        <v>230</v>
      </c>
      <c r="D405" s="32" t="s">
        <v>1126</v>
      </c>
      <c r="E405" s="32" t="s">
        <v>147</v>
      </c>
      <c r="F405" s="326">
        <f>'Пр.5 Рд,пр, ЦС,ВР 20'!F405</f>
        <v>90</v>
      </c>
      <c r="G405" s="326">
        <f t="shared" si="19"/>
        <v>90</v>
      </c>
    </row>
    <row r="406" spans="1:7" ht="63" x14ac:dyDescent="0.25">
      <c r="A406" s="31" t="s">
        <v>148</v>
      </c>
      <c r="B406" s="32" t="s">
        <v>249</v>
      </c>
      <c r="C406" s="32" t="s">
        <v>230</v>
      </c>
      <c r="D406" s="32" t="s">
        <v>1126</v>
      </c>
      <c r="E406" s="32" t="s">
        <v>149</v>
      </c>
      <c r="F406" s="326">
        <f>'Пр.5 Рд,пр, ЦС,ВР 20'!F406</f>
        <v>90</v>
      </c>
      <c r="G406" s="326">
        <f t="shared" si="19"/>
        <v>90</v>
      </c>
    </row>
    <row r="407" spans="1:7" ht="31.5" x14ac:dyDescent="0.25">
      <c r="A407" s="31" t="s">
        <v>563</v>
      </c>
      <c r="B407" s="32" t="s">
        <v>249</v>
      </c>
      <c r="C407" s="32" t="s">
        <v>230</v>
      </c>
      <c r="D407" s="32" t="s">
        <v>1128</v>
      </c>
      <c r="E407" s="32"/>
      <c r="F407" s="326">
        <f>'Пр.5 Рд,пр, ЦС,ВР 20'!F407</f>
        <v>650</v>
      </c>
      <c r="G407" s="326">
        <f t="shared" si="19"/>
        <v>650</v>
      </c>
    </row>
    <row r="408" spans="1:7" ht="47.25" x14ac:dyDescent="0.25">
      <c r="A408" s="31" t="s">
        <v>146</v>
      </c>
      <c r="B408" s="32" t="s">
        <v>249</v>
      </c>
      <c r="C408" s="32" t="s">
        <v>230</v>
      </c>
      <c r="D408" s="32" t="s">
        <v>1128</v>
      </c>
      <c r="E408" s="32" t="s">
        <v>147</v>
      </c>
      <c r="F408" s="326">
        <f>'Пр.5 Рд,пр, ЦС,ВР 20'!F408</f>
        <v>650</v>
      </c>
      <c r="G408" s="326">
        <f t="shared" si="19"/>
        <v>650</v>
      </c>
    </row>
    <row r="409" spans="1:7" ht="63" x14ac:dyDescent="0.25">
      <c r="A409" s="31" t="s">
        <v>148</v>
      </c>
      <c r="B409" s="32" t="s">
        <v>249</v>
      </c>
      <c r="C409" s="32" t="s">
        <v>230</v>
      </c>
      <c r="D409" s="32" t="s">
        <v>1128</v>
      </c>
      <c r="E409" s="32" t="s">
        <v>149</v>
      </c>
      <c r="F409" s="326">
        <f>'Пр.5 Рд,пр, ЦС,ВР 20'!F409</f>
        <v>650</v>
      </c>
      <c r="G409" s="326">
        <f t="shared" si="19"/>
        <v>650</v>
      </c>
    </row>
    <row r="410" spans="1:7" ht="31.5" hidden="1" x14ac:dyDescent="0.25">
      <c r="A410" s="45" t="s">
        <v>150</v>
      </c>
      <c r="B410" s="32" t="s">
        <v>249</v>
      </c>
      <c r="C410" s="32" t="s">
        <v>230</v>
      </c>
      <c r="D410" s="32" t="s">
        <v>1128</v>
      </c>
      <c r="E410" s="32" t="s">
        <v>160</v>
      </c>
      <c r="F410" s="326">
        <f>'Пр.5 Рд,пр, ЦС,ВР 20'!F410</f>
        <v>0</v>
      </c>
      <c r="G410" s="326">
        <f t="shared" si="19"/>
        <v>0</v>
      </c>
    </row>
    <row r="411" spans="1:7" ht="78.75" hidden="1" x14ac:dyDescent="0.25">
      <c r="A411" s="31" t="s">
        <v>883</v>
      </c>
      <c r="B411" s="32" t="s">
        <v>249</v>
      </c>
      <c r="C411" s="32" t="s">
        <v>230</v>
      </c>
      <c r="D411" s="32" t="s">
        <v>1128</v>
      </c>
      <c r="E411" s="32" t="s">
        <v>162</v>
      </c>
      <c r="F411" s="326">
        <f>'Пр.5 Рд,пр, ЦС,ВР 20'!F411</f>
        <v>0</v>
      </c>
      <c r="G411" s="326">
        <f t="shared" si="19"/>
        <v>0</v>
      </c>
    </row>
    <row r="412" spans="1:7" ht="31.5" hidden="1" x14ac:dyDescent="0.25">
      <c r="A412" s="45" t="s">
        <v>583</v>
      </c>
      <c r="B412" s="32" t="s">
        <v>249</v>
      </c>
      <c r="C412" s="32" t="s">
        <v>230</v>
      </c>
      <c r="D412" s="32" t="s">
        <v>1128</v>
      </c>
      <c r="E412" s="32" t="s">
        <v>153</v>
      </c>
      <c r="F412" s="326">
        <f>'Пр.5 Рд,пр, ЦС,ВР 20'!F412</f>
        <v>0</v>
      </c>
      <c r="G412" s="326">
        <f t="shared" si="19"/>
        <v>0</v>
      </c>
    </row>
    <row r="413" spans="1:7" ht="31.5" x14ac:dyDescent="0.25">
      <c r="A413" s="31" t="s">
        <v>565</v>
      </c>
      <c r="B413" s="32" t="s">
        <v>249</v>
      </c>
      <c r="C413" s="32" t="s">
        <v>230</v>
      </c>
      <c r="D413" s="32" t="s">
        <v>1129</v>
      </c>
      <c r="E413" s="32"/>
      <c r="F413" s="326">
        <f>'Пр.5 Рд,пр, ЦС,ВР 20'!F413</f>
        <v>200</v>
      </c>
      <c r="G413" s="326">
        <f t="shared" si="19"/>
        <v>200</v>
      </c>
    </row>
    <row r="414" spans="1:7" ht="47.25" x14ac:dyDescent="0.25">
      <c r="A414" s="31" t="s">
        <v>146</v>
      </c>
      <c r="B414" s="32" t="s">
        <v>249</v>
      </c>
      <c r="C414" s="32" t="s">
        <v>230</v>
      </c>
      <c r="D414" s="32" t="s">
        <v>1129</v>
      </c>
      <c r="E414" s="32" t="s">
        <v>147</v>
      </c>
      <c r="F414" s="326">
        <f>'Пр.5 Рд,пр, ЦС,ВР 20'!F414</f>
        <v>200</v>
      </c>
      <c r="G414" s="326">
        <f t="shared" ref="G414:G473" si="23">F414</f>
        <v>200</v>
      </c>
    </row>
    <row r="415" spans="1:7" ht="63" x14ac:dyDescent="0.25">
      <c r="A415" s="31" t="s">
        <v>148</v>
      </c>
      <c r="B415" s="32" t="s">
        <v>249</v>
      </c>
      <c r="C415" s="32" t="s">
        <v>230</v>
      </c>
      <c r="D415" s="32" t="s">
        <v>1129</v>
      </c>
      <c r="E415" s="32" t="s">
        <v>149</v>
      </c>
      <c r="F415" s="326">
        <f>'Пр.5 Рд,пр, ЦС,ВР 20'!F415</f>
        <v>200</v>
      </c>
      <c r="G415" s="326">
        <f t="shared" si="23"/>
        <v>200</v>
      </c>
    </row>
    <row r="416" spans="1:7" ht="63" x14ac:dyDescent="0.25">
      <c r="A416" s="34" t="s">
        <v>1478</v>
      </c>
      <c r="B416" s="285" t="s">
        <v>249</v>
      </c>
      <c r="C416" s="285" t="s">
        <v>230</v>
      </c>
      <c r="D416" s="285" t="s">
        <v>568</v>
      </c>
      <c r="E416" s="285"/>
      <c r="F416" s="325">
        <f>F417+F432</f>
        <v>2304.5</v>
      </c>
      <c r="G416" s="325">
        <f>G417+G432</f>
        <v>2304.5</v>
      </c>
    </row>
    <row r="417" spans="1:7" ht="47.25" x14ac:dyDescent="0.25">
      <c r="A417" s="34" t="s">
        <v>1145</v>
      </c>
      <c r="B417" s="285" t="s">
        <v>249</v>
      </c>
      <c r="C417" s="285" t="s">
        <v>230</v>
      </c>
      <c r="D417" s="285" t="s">
        <v>1130</v>
      </c>
      <c r="E417" s="285"/>
      <c r="F417" s="325">
        <f>F418+F421+F424+F429</f>
        <v>390</v>
      </c>
      <c r="G417" s="325">
        <f>G418+G421+G424+G429</f>
        <v>390</v>
      </c>
    </row>
    <row r="418" spans="1:7" ht="31.5" x14ac:dyDescent="0.25">
      <c r="A418" s="31" t="s">
        <v>565</v>
      </c>
      <c r="B418" s="32" t="s">
        <v>249</v>
      </c>
      <c r="C418" s="32" t="s">
        <v>230</v>
      </c>
      <c r="D418" s="32" t="s">
        <v>1131</v>
      </c>
      <c r="E418" s="32"/>
      <c r="F418" s="326">
        <f>'Пр.5 Рд,пр, ЦС,ВР 20'!F418</f>
        <v>11</v>
      </c>
      <c r="G418" s="326">
        <f t="shared" si="23"/>
        <v>11</v>
      </c>
    </row>
    <row r="419" spans="1:7" ht="47.25" x14ac:dyDescent="0.25">
      <c r="A419" s="31" t="s">
        <v>146</v>
      </c>
      <c r="B419" s="32" t="s">
        <v>249</v>
      </c>
      <c r="C419" s="32" t="s">
        <v>230</v>
      </c>
      <c r="D419" s="32" t="s">
        <v>1131</v>
      </c>
      <c r="E419" s="32" t="s">
        <v>147</v>
      </c>
      <c r="F419" s="326">
        <f>'Пр.5 Рд,пр, ЦС,ВР 20'!F419</f>
        <v>11</v>
      </c>
      <c r="G419" s="326">
        <f t="shared" si="23"/>
        <v>11</v>
      </c>
    </row>
    <row r="420" spans="1:7" ht="63" x14ac:dyDescent="0.25">
      <c r="A420" s="31" t="s">
        <v>148</v>
      </c>
      <c r="B420" s="32" t="s">
        <v>249</v>
      </c>
      <c r="C420" s="32" t="s">
        <v>230</v>
      </c>
      <c r="D420" s="32" t="s">
        <v>1131</v>
      </c>
      <c r="E420" s="32" t="s">
        <v>149</v>
      </c>
      <c r="F420" s="326">
        <f>'Пр.5 Рд,пр, ЦС,ВР 20'!F420</f>
        <v>11</v>
      </c>
      <c r="G420" s="326">
        <f t="shared" si="23"/>
        <v>11</v>
      </c>
    </row>
    <row r="421" spans="1:7" ht="31.5" x14ac:dyDescent="0.25">
      <c r="A421" s="31" t="s">
        <v>570</v>
      </c>
      <c r="B421" s="32" t="s">
        <v>249</v>
      </c>
      <c r="C421" s="32" t="s">
        <v>230</v>
      </c>
      <c r="D421" s="32" t="s">
        <v>1132</v>
      </c>
      <c r="E421" s="32"/>
      <c r="F421" s="326">
        <f>'Пр.5 Рд,пр, ЦС,ВР 20'!F421</f>
        <v>4</v>
      </c>
      <c r="G421" s="326">
        <f t="shared" si="23"/>
        <v>4</v>
      </c>
    </row>
    <row r="422" spans="1:7" ht="47.25" x14ac:dyDescent="0.25">
      <c r="A422" s="31" t="s">
        <v>146</v>
      </c>
      <c r="B422" s="32" t="s">
        <v>249</v>
      </c>
      <c r="C422" s="32" t="s">
        <v>230</v>
      </c>
      <c r="D422" s="32" t="s">
        <v>1132</v>
      </c>
      <c r="E422" s="32" t="s">
        <v>147</v>
      </c>
      <c r="F422" s="326">
        <f>'Пр.5 Рд,пр, ЦС,ВР 20'!F422</f>
        <v>4</v>
      </c>
      <c r="G422" s="326">
        <f t="shared" si="23"/>
        <v>4</v>
      </c>
    </row>
    <row r="423" spans="1:7" ht="63" x14ac:dyDescent="0.25">
      <c r="A423" s="31" t="s">
        <v>148</v>
      </c>
      <c r="B423" s="32" t="s">
        <v>249</v>
      </c>
      <c r="C423" s="32" t="s">
        <v>230</v>
      </c>
      <c r="D423" s="32" t="s">
        <v>1132</v>
      </c>
      <c r="E423" s="32" t="s">
        <v>149</v>
      </c>
      <c r="F423" s="326">
        <f>'Пр.5 Рд,пр, ЦС,ВР 20'!F423</f>
        <v>4</v>
      </c>
      <c r="G423" s="326">
        <f t="shared" si="23"/>
        <v>4</v>
      </c>
    </row>
    <row r="424" spans="1:7" ht="78.75" x14ac:dyDescent="0.25">
      <c r="A424" s="101" t="s">
        <v>572</v>
      </c>
      <c r="B424" s="32" t="s">
        <v>249</v>
      </c>
      <c r="C424" s="32" t="s">
        <v>230</v>
      </c>
      <c r="D424" s="32" t="s">
        <v>1133</v>
      </c>
      <c r="E424" s="32"/>
      <c r="F424" s="326">
        <f>'Пр.5 Рд,пр, ЦС,ВР 20'!F424</f>
        <v>375</v>
      </c>
      <c r="G424" s="326">
        <f t="shared" si="23"/>
        <v>375</v>
      </c>
    </row>
    <row r="425" spans="1:7" ht="47.25" x14ac:dyDescent="0.25">
      <c r="A425" s="31" t="s">
        <v>146</v>
      </c>
      <c r="B425" s="32" t="s">
        <v>249</v>
      </c>
      <c r="C425" s="32" t="s">
        <v>230</v>
      </c>
      <c r="D425" s="32" t="s">
        <v>1133</v>
      </c>
      <c r="E425" s="32" t="s">
        <v>147</v>
      </c>
      <c r="F425" s="326">
        <f>'Пр.5 Рд,пр, ЦС,ВР 20'!F425</f>
        <v>300</v>
      </c>
      <c r="G425" s="326">
        <f t="shared" si="23"/>
        <v>300</v>
      </c>
    </row>
    <row r="426" spans="1:7" ht="63" x14ac:dyDescent="0.25">
      <c r="A426" s="31" t="s">
        <v>148</v>
      </c>
      <c r="B426" s="32" t="s">
        <v>249</v>
      </c>
      <c r="C426" s="32" t="s">
        <v>230</v>
      </c>
      <c r="D426" s="32" t="s">
        <v>1133</v>
      </c>
      <c r="E426" s="32" t="s">
        <v>149</v>
      </c>
      <c r="F426" s="326">
        <f>'Пр.5 Рд,пр, ЦС,ВР 20'!F426</f>
        <v>300</v>
      </c>
      <c r="G426" s="326">
        <f t="shared" si="23"/>
        <v>300</v>
      </c>
    </row>
    <row r="427" spans="1:7" ht="31.5" x14ac:dyDescent="0.25">
      <c r="A427" s="45" t="s">
        <v>150</v>
      </c>
      <c r="B427" s="32" t="s">
        <v>249</v>
      </c>
      <c r="C427" s="32" t="s">
        <v>230</v>
      </c>
      <c r="D427" s="32" t="s">
        <v>1133</v>
      </c>
      <c r="E427" s="32" t="s">
        <v>160</v>
      </c>
      <c r="F427" s="326">
        <f>'Пр.5 Рд,пр, ЦС,ВР 20'!F427</f>
        <v>75</v>
      </c>
      <c r="G427" s="326">
        <f t="shared" si="23"/>
        <v>75</v>
      </c>
    </row>
    <row r="428" spans="1:7" ht="38.25" customHeight="1" x14ac:dyDescent="0.25">
      <c r="A428" s="45" t="s">
        <v>583</v>
      </c>
      <c r="B428" s="32" t="s">
        <v>249</v>
      </c>
      <c r="C428" s="32" t="s">
        <v>230</v>
      </c>
      <c r="D428" s="32" t="s">
        <v>1133</v>
      </c>
      <c r="E428" s="32" t="s">
        <v>153</v>
      </c>
      <c r="F428" s="326">
        <f>'Пр.5 Рд,пр, ЦС,ВР 20'!F428</f>
        <v>75</v>
      </c>
      <c r="G428" s="326">
        <f t="shared" si="23"/>
        <v>75</v>
      </c>
    </row>
    <row r="429" spans="1:7" ht="31.5" hidden="1" x14ac:dyDescent="0.25">
      <c r="A429" s="101" t="s">
        <v>574</v>
      </c>
      <c r="B429" s="32" t="s">
        <v>249</v>
      </c>
      <c r="C429" s="32" t="s">
        <v>230</v>
      </c>
      <c r="D429" s="32" t="s">
        <v>1134</v>
      </c>
      <c r="E429" s="32"/>
      <c r="F429" s="326">
        <f>'Пр.5 Рд,пр, ЦС,ВР 20'!F429</f>
        <v>0</v>
      </c>
      <c r="G429" s="326">
        <f t="shared" si="23"/>
        <v>0</v>
      </c>
    </row>
    <row r="430" spans="1:7" ht="47.25" hidden="1" x14ac:dyDescent="0.25">
      <c r="A430" s="31" t="s">
        <v>146</v>
      </c>
      <c r="B430" s="32" t="s">
        <v>249</v>
      </c>
      <c r="C430" s="32" t="s">
        <v>230</v>
      </c>
      <c r="D430" s="32" t="s">
        <v>1134</v>
      </c>
      <c r="E430" s="32" t="s">
        <v>147</v>
      </c>
      <c r="F430" s="326">
        <f>'Пр.5 Рд,пр, ЦС,ВР 20'!F430</f>
        <v>0</v>
      </c>
      <c r="G430" s="326">
        <f t="shared" si="23"/>
        <v>0</v>
      </c>
    </row>
    <row r="431" spans="1:7" ht="63" hidden="1" x14ac:dyDescent="0.25">
      <c r="A431" s="31" t="s">
        <v>148</v>
      </c>
      <c r="B431" s="32" t="s">
        <v>249</v>
      </c>
      <c r="C431" s="32" t="s">
        <v>230</v>
      </c>
      <c r="D431" s="32" t="s">
        <v>1134</v>
      </c>
      <c r="E431" s="32" t="s">
        <v>149</v>
      </c>
      <c r="F431" s="326">
        <f>'Пр.5 Рд,пр, ЦС,ВР 20'!F431</f>
        <v>0</v>
      </c>
      <c r="G431" s="326">
        <f t="shared" si="23"/>
        <v>0</v>
      </c>
    </row>
    <row r="432" spans="1:7" ht="51.75" customHeight="1" x14ac:dyDescent="0.25">
      <c r="A432" s="34" t="s">
        <v>952</v>
      </c>
      <c r="B432" s="8" t="s">
        <v>249</v>
      </c>
      <c r="C432" s="8" t="s">
        <v>230</v>
      </c>
      <c r="D432" s="285" t="s">
        <v>1135</v>
      </c>
      <c r="E432" s="285"/>
      <c r="F432" s="325">
        <f>F433+F436</f>
        <v>1914.5</v>
      </c>
      <c r="G432" s="325">
        <f>G433+G436</f>
        <v>1914.5</v>
      </c>
    </row>
    <row r="433" spans="1:7" ht="63" x14ac:dyDescent="0.25">
      <c r="A433" s="31" t="s">
        <v>706</v>
      </c>
      <c r="B433" s="32" t="s">
        <v>249</v>
      </c>
      <c r="C433" s="32" t="s">
        <v>230</v>
      </c>
      <c r="D433" s="32" t="s">
        <v>1136</v>
      </c>
      <c r="E433" s="32"/>
      <c r="F433" s="326">
        <f>'Пр.5 Рд,пр, ЦС,ВР 20'!F433</f>
        <v>0</v>
      </c>
      <c r="G433" s="326">
        <f t="shared" si="23"/>
        <v>0</v>
      </c>
    </row>
    <row r="434" spans="1:7" ht="47.25" x14ac:dyDescent="0.25">
      <c r="A434" s="31" t="s">
        <v>146</v>
      </c>
      <c r="B434" s="32" t="s">
        <v>249</v>
      </c>
      <c r="C434" s="32" t="s">
        <v>230</v>
      </c>
      <c r="D434" s="32" t="s">
        <v>1136</v>
      </c>
      <c r="E434" s="32" t="s">
        <v>147</v>
      </c>
      <c r="F434" s="326">
        <f>'Пр.5 Рд,пр, ЦС,ВР 20'!F434</f>
        <v>0</v>
      </c>
      <c r="G434" s="326">
        <f t="shared" si="23"/>
        <v>0</v>
      </c>
    </row>
    <row r="435" spans="1:7" ht="63" x14ac:dyDescent="0.25">
      <c r="A435" s="31" t="s">
        <v>148</v>
      </c>
      <c r="B435" s="32" t="s">
        <v>249</v>
      </c>
      <c r="C435" s="32" t="s">
        <v>230</v>
      </c>
      <c r="D435" s="32" t="s">
        <v>1136</v>
      </c>
      <c r="E435" s="32" t="s">
        <v>149</v>
      </c>
      <c r="F435" s="326">
        <f>'Пр.5 Рд,пр, ЦС,ВР 20'!F435</f>
        <v>0</v>
      </c>
      <c r="G435" s="326">
        <f t="shared" si="23"/>
        <v>0</v>
      </c>
    </row>
    <row r="436" spans="1:7" ht="78.75" x14ac:dyDescent="0.25">
      <c r="A436" s="31" t="s">
        <v>1260</v>
      </c>
      <c r="B436" s="32" t="s">
        <v>249</v>
      </c>
      <c r="C436" s="32" t="s">
        <v>230</v>
      </c>
      <c r="D436" s="32" t="s">
        <v>1261</v>
      </c>
      <c r="E436" s="32"/>
      <c r="F436" s="326">
        <f>'Пр.5 Рд,пр, ЦС,ВР 20'!F436</f>
        <v>1914.5</v>
      </c>
      <c r="G436" s="326">
        <f t="shared" si="23"/>
        <v>1914.5</v>
      </c>
    </row>
    <row r="437" spans="1:7" ht="47.25" x14ac:dyDescent="0.25">
      <c r="A437" s="31" t="s">
        <v>146</v>
      </c>
      <c r="B437" s="32" t="s">
        <v>249</v>
      </c>
      <c r="C437" s="32" t="s">
        <v>230</v>
      </c>
      <c r="D437" s="32" t="s">
        <v>1261</v>
      </c>
      <c r="E437" s="32" t="s">
        <v>147</v>
      </c>
      <c r="F437" s="326">
        <f>'Пр.5 Рд,пр, ЦС,ВР 20'!F437</f>
        <v>1914.5</v>
      </c>
      <c r="G437" s="326">
        <f t="shared" si="23"/>
        <v>1914.5</v>
      </c>
    </row>
    <row r="438" spans="1:7" ht="63" x14ac:dyDescent="0.25">
      <c r="A438" s="31" t="s">
        <v>148</v>
      </c>
      <c r="B438" s="32" t="s">
        <v>249</v>
      </c>
      <c r="C438" s="32" t="s">
        <v>230</v>
      </c>
      <c r="D438" s="32" t="s">
        <v>1261</v>
      </c>
      <c r="E438" s="32" t="s">
        <v>149</v>
      </c>
      <c r="F438" s="326">
        <f>'Пр.5 Рд,пр, ЦС,ВР 20'!F438</f>
        <v>1914.5</v>
      </c>
      <c r="G438" s="326">
        <f t="shared" si="23"/>
        <v>1914.5</v>
      </c>
    </row>
    <row r="439" spans="1:7" ht="94.5" x14ac:dyDescent="0.25">
      <c r="A439" s="34" t="s">
        <v>821</v>
      </c>
      <c r="B439" s="285" t="s">
        <v>249</v>
      </c>
      <c r="C439" s="285" t="s">
        <v>230</v>
      </c>
      <c r="D439" s="285" t="s">
        <v>733</v>
      </c>
      <c r="E439" s="285"/>
      <c r="F439" s="325">
        <f t="shared" ref="F439:G439" si="24">F441</f>
        <v>500</v>
      </c>
      <c r="G439" s="325">
        <f t="shared" si="24"/>
        <v>500</v>
      </c>
    </row>
    <row r="440" spans="1:7" ht="47.25" x14ac:dyDescent="0.25">
      <c r="A440" s="34" t="s">
        <v>1256</v>
      </c>
      <c r="B440" s="285" t="s">
        <v>249</v>
      </c>
      <c r="C440" s="285" t="s">
        <v>230</v>
      </c>
      <c r="D440" s="285" t="s">
        <v>882</v>
      </c>
      <c r="E440" s="32"/>
      <c r="F440" s="325">
        <f>F441</f>
        <v>500</v>
      </c>
      <c r="G440" s="325">
        <f>G441</f>
        <v>500</v>
      </c>
    </row>
    <row r="441" spans="1:7" ht="47.25" x14ac:dyDescent="0.25">
      <c r="A441" s="352" t="s">
        <v>732</v>
      </c>
      <c r="B441" s="32" t="s">
        <v>249</v>
      </c>
      <c r="C441" s="32" t="s">
        <v>230</v>
      </c>
      <c r="D441" s="32" t="s">
        <v>882</v>
      </c>
      <c r="E441" s="32"/>
      <c r="F441" s="326">
        <f>'Пр.5 Рд,пр, ЦС,ВР 20'!F441</f>
        <v>500</v>
      </c>
      <c r="G441" s="326">
        <f t="shared" si="23"/>
        <v>500</v>
      </c>
    </row>
    <row r="442" spans="1:7" ht="47.25" x14ac:dyDescent="0.25">
      <c r="A442" s="31" t="s">
        <v>146</v>
      </c>
      <c r="B442" s="32" t="s">
        <v>249</v>
      </c>
      <c r="C442" s="32" t="s">
        <v>230</v>
      </c>
      <c r="D442" s="32" t="s">
        <v>882</v>
      </c>
      <c r="E442" s="32" t="s">
        <v>147</v>
      </c>
      <c r="F442" s="326">
        <f>'Пр.5 Рд,пр, ЦС,ВР 20'!F442</f>
        <v>500</v>
      </c>
      <c r="G442" s="326">
        <f t="shared" si="23"/>
        <v>500</v>
      </c>
    </row>
    <row r="443" spans="1:7" ht="63" x14ac:dyDescent="0.25">
      <c r="A443" s="31" t="s">
        <v>148</v>
      </c>
      <c r="B443" s="32" t="s">
        <v>249</v>
      </c>
      <c r="C443" s="32" t="s">
        <v>230</v>
      </c>
      <c r="D443" s="32" t="s">
        <v>882</v>
      </c>
      <c r="E443" s="32" t="s">
        <v>149</v>
      </c>
      <c r="F443" s="326">
        <f>'Пр.5 Рд,пр, ЦС,ВР 20'!F443</f>
        <v>500</v>
      </c>
      <c r="G443" s="326">
        <f t="shared" si="23"/>
        <v>500</v>
      </c>
    </row>
    <row r="444" spans="1:7" ht="47.25" x14ac:dyDescent="0.25">
      <c r="A444" s="58" t="s">
        <v>584</v>
      </c>
      <c r="B444" s="8" t="s">
        <v>249</v>
      </c>
      <c r="C444" s="8" t="s">
        <v>249</v>
      </c>
      <c r="D444" s="8"/>
      <c r="E444" s="8"/>
      <c r="F444" s="325">
        <f>F445+F457+F474</f>
        <v>22307</v>
      </c>
      <c r="G444" s="325">
        <f>G445+G457+G474</f>
        <v>22307</v>
      </c>
    </row>
    <row r="445" spans="1:7" ht="47.25" x14ac:dyDescent="0.25">
      <c r="A445" s="34" t="s">
        <v>992</v>
      </c>
      <c r="B445" s="285" t="s">
        <v>249</v>
      </c>
      <c r="C445" s="285" t="s">
        <v>249</v>
      </c>
      <c r="D445" s="285" t="s">
        <v>906</v>
      </c>
      <c r="E445" s="285"/>
      <c r="F445" s="325">
        <f>F446</f>
        <v>11546</v>
      </c>
      <c r="G445" s="325">
        <f>G446</f>
        <v>11546</v>
      </c>
    </row>
    <row r="446" spans="1:7" ht="31.5" x14ac:dyDescent="0.25">
      <c r="A446" s="34" t="s">
        <v>993</v>
      </c>
      <c r="B446" s="285" t="s">
        <v>249</v>
      </c>
      <c r="C446" s="285" t="s">
        <v>249</v>
      </c>
      <c r="D446" s="285" t="s">
        <v>907</v>
      </c>
      <c r="E446" s="285"/>
      <c r="F446" s="325">
        <f>F447+F454</f>
        <v>11546</v>
      </c>
      <c r="G446" s="325">
        <f>G447+G454</f>
        <v>11546</v>
      </c>
    </row>
    <row r="447" spans="1:7" ht="47.25" x14ac:dyDescent="0.25">
      <c r="A447" s="31" t="s">
        <v>969</v>
      </c>
      <c r="B447" s="32" t="s">
        <v>249</v>
      </c>
      <c r="C447" s="32" t="s">
        <v>249</v>
      </c>
      <c r="D447" s="32" t="s">
        <v>908</v>
      </c>
      <c r="E447" s="32"/>
      <c r="F447" s="326">
        <f>'Пр.5 Рд,пр, ЦС,ВР 20'!F447</f>
        <v>11210</v>
      </c>
      <c r="G447" s="326">
        <f t="shared" si="23"/>
        <v>11210</v>
      </c>
    </row>
    <row r="448" spans="1:7" ht="126" x14ac:dyDescent="0.25">
      <c r="A448" s="31" t="s">
        <v>142</v>
      </c>
      <c r="B448" s="32" t="s">
        <v>249</v>
      </c>
      <c r="C448" s="32" t="s">
        <v>249</v>
      </c>
      <c r="D448" s="32" t="s">
        <v>908</v>
      </c>
      <c r="E448" s="32" t="s">
        <v>143</v>
      </c>
      <c r="F448" s="326">
        <f>'Пр.5 Рд,пр, ЦС,ВР 20'!F448</f>
        <v>11138</v>
      </c>
      <c r="G448" s="326">
        <f t="shared" si="23"/>
        <v>11138</v>
      </c>
    </row>
    <row r="449" spans="1:7" ht="48.75" customHeight="1" x14ac:dyDescent="0.25">
      <c r="A449" s="31" t="s">
        <v>144</v>
      </c>
      <c r="B449" s="32" t="s">
        <v>249</v>
      </c>
      <c r="C449" s="32" t="s">
        <v>249</v>
      </c>
      <c r="D449" s="32" t="s">
        <v>908</v>
      </c>
      <c r="E449" s="32" t="s">
        <v>145</v>
      </c>
      <c r="F449" s="326">
        <f>'Пр.5 Рд,пр, ЦС,ВР 20'!F449</f>
        <v>11138</v>
      </c>
      <c r="G449" s="326">
        <f t="shared" si="23"/>
        <v>11138</v>
      </c>
    </row>
    <row r="450" spans="1:7" ht="47.25" x14ac:dyDescent="0.25">
      <c r="A450" s="31" t="s">
        <v>146</v>
      </c>
      <c r="B450" s="32" t="s">
        <v>249</v>
      </c>
      <c r="C450" s="32" t="s">
        <v>249</v>
      </c>
      <c r="D450" s="32" t="s">
        <v>908</v>
      </c>
      <c r="E450" s="32" t="s">
        <v>147</v>
      </c>
      <c r="F450" s="326">
        <f>'Пр.5 Рд,пр, ЦС,ВР 20'!F450</f>
        <v>25</v>
      </c>
      <c r="G450" s="326">
        <f t="shared" si="23"/>
        <v>25</v>
      </c>
    </row>
    <row r="451" spans="1:7" ht="63" x14ac:dyDescent="0.25">
      <c r="A451" s="31" t="s">
        <v>148</v>
      </c>
      <c r="B451" s="32" t="s">
        <v>249</v>
      </c>
      <c r="C451" s="32" t="s">
        <v>249</v>
      </c>
      <c r="D451" s="32" t="s">
        <v>908</v>
      </c>
      <c r="E451" s="32" t="s">
        <v>149</v>
      </c>
      <c r="F451" s="326">
        <f>'Пр.5 Рд,пр, ЦС,ВР 20'!F451</f>
        <v>25</v>
      </c>
      <c r="G451" s="326">
        <f t="shared" si="23"/>
        <v>25</v>
      </c>
    </row>
    <row r="452" spans="1:7" ht="31.5" x14ac:dyDescent="0.25">
      <c r="A452" s="31" t="s">
        <v>150</v>
      </c>
      <c r="B452" s="32" t="s">
        <v>249</v>
      </c>
      <c r="C452" s="32" t="s">
        <v>249</v>
      </c>
      <c r="D452" s="32" t="s">
        <v>908</v>
      </c>
      <c r="E452" s="32" t="s">
        <v>160</v>
      </c>
      <c r="F452" s="326">
        <f>'Пр.5 Рд,пр, ЦС,ВР 20'!F452</f>
        <v>47</v>
      </c>
      <c r="G452" s="326">
        <f t="shared" si="23"/>
        <v>47</v>
      </c>
    </row>
    <row r="453" spans="1:7" ht="21.75" customHeight="1" x14ac:dyDescent="0.25">
      <c r="A453" s="31" t="s">
        <v>583</v>
      </c>
      <c r="B453" s="32" t="s">
        <v>249</v>
      </c>
      <c r="C453" s="32" t="s">
        <v>249</v>
      </c>
      <c r="D453" s="32" t="s">
        <v>908</v>
      </c>
      <c r="E453" s="32" t="s">
        <v>153</v>
      </c>
      <c r="F453" s="326">
        <f>'Пр.5 Рд,пр, ЦС,ВР 20'!F453</f>
        <v>47</v>
      </c>
      <c r="G453" s="326">
        <f t="shared" si="23"/>
        <v>47</v>
      </c>
    </row>
    <row r="454" spans="1:7" ht="63" x14ac:dyDescent="0.25">
      <c r="A454" s="31" t="s">
        <v>886</v>
      </c>
      <c r="B454" s="32" t="s">
        <v>249</v>
      </c>
      <c r="C454" s="32" t="s">
        <v>249</v>
      </c>
      <c r="D454" s="32" t="s">
        <v>910</v>
      </c>
      <c r="E454" s="32"/>
      <c r="F454" s="326">
        <f>'Пр.5 Рд,пр, ЦС,ВР 20'!F454</f>
        <v>336</v>
      </c>
      <c r="G454" s="326">
        <f t="shared" si="23"/>
        <v>336</v>
      </c>
    </row>
    <row r="455" spans="1:7" ht="126" x14ac:dyDescent="0.25">
      <c r="A455" s="31" t="s">
        <v>142</v>
      </c>
      <c r="B455" s="32" t="s">
        <v>249</v>
      </c>
      <c r="C455" s="32" t="s">
        <v>249</v>
      </c>
      <c r="D455" s="32" t="s">
        <v>910</v>
      </c>
      <c r="E455" s="32" t="s">
        <v>143</v>
      </c>
      <c r="F455" s="326">
        <f>'Пр.5 Рд,пр, ЦС,ВР 20'!F455</f>
        <v>336</v>
      </c>
      <c r="G455" s="326">
        <f t="shared" si="23"/>
        <v>336</v>
      </c>
    </row>
    <row r="456" spans="1:7" ht="50.25" customHeight="1" x14ac:dyDescent="0.25">
      <c r="A456" s="31" t="s">
        <v>144</v>
      </c>
      <c r="B456" s="32" t="s">
        <v>249</v>
      </c>
      <c r="C456" s="32" t="s">
        <v>249</v>
      </c>
      <c r="D456" s="32" t="s">
        <v>910</v>
      </c>
      <c r="E456" s="32" t="s">
        <v>145</v>
      </c>
      <c r="F456" s="326">
        <f>'Пр.5 Рд,пр, ЦС,ВР 20'!F456</f>
        <v>336</v>
      </c>
      <c r="G456" s="326">
        <f t="shared" si="23"/>
        <v>336</v>
      </c>
    </row>
    <row r="457" spans="1:7" ht="31.5" x14ac:dyDescent="0.25">
      <c r="A457" s="34" t="s">
        <v>156</v>
      </c>
      <c r="B457" s="285" t="s">
        <v>249</v>
      </c>
      <c r="C457" s="285" t="s">
        <v>249</v>
      </c>
      <c r="D457" s="285" t="s">
        <v>914</v>
      </c>
      <c r="E457" s="285"/>
      <c r="F457" s="325">
        <f>F458+F465</f>
        <v>10761</v>
      </c>
      <c r="G457" s="325">
        <f>G458+G465</f>
        <v>10761</v>
      </c>
    </row>
    <row r="458" spans="1:7" ht="47.25" x14ac:dyDescent="0.25">
      <c r="A458" s="34" t="s">
        <v>918</v>
      </c>
      <c r="B458" s="285" t="s">
        <v>249</v>
      </c>
      <c r="C458" s="285" t="s">
        <v>249</v>
      </c>
      <c r="D458" s="285" t="s">
        <v>913</v>
      </c>
      <c r="E458" s="285"/>
      <c r="F458" s="430">
        <f>F459+F462</f>
        <v>982</v>
      </c>
      <c r="G458" s="430">
        <f>G459+G462</f>
        <v>982</v>
      </c>
    </row>
    <row r="459" spans="1:7" ht="47.25" x14ac:dyDescent="0.25">
      <c r="A459" s="31" t="s">
        <v>585</v>
      </c>
      <c r="B459" s="32" t="s">
        <v>249</v>
      </c>
      <c r="C459" s="32" t="s">
        <v>249</v>
      </c>
      <c r="D459" s="32" t="s">
        <v>1137</v>
      </c>
      <c r="E459" s="32"/>
      <c r="F459" s="326">
        <f>'Пр.5 Рд,пр, ЦС,ВР 20'!F459</f>
        <v>982</v>
      </c>
      <c r="G459" s="326">
        <f t="shared" si="23"/>
        <v>982</v>
      </c>
    </row>
    <row r="460" spans="1:7" ht="31.5" x14ac:dyDescent="0.25">
      <c r="A460" s="31" t="s">
        <v>150</v>
      </c>
      <c r="B460" s="32" t="s">
        <v>249</v>
      </c>
      <c r="C460" s="32" t="s">
        <v>249</v>
      </c>
      <c r="D460" s="32" t="s">
        <v>1137</v>
      </c>
      <c r="E460" s="32" t="s">
        <v>160</v>
      </c>
      <c r="F460" s="326">
        <f>'Пр.5 Рд,пр, ЦС,ВР 20'!F460</f>
        <v>982</v>
      </c>
      <c r="G460" s="326">
        <f t="shared" si="23"/>
        <v>982</v>
      </c>
    </row>
    <row r="461" spans="1:7" ht="78.75" x14ac:dyDescent="0.25">
      <c r="A461" s="31" t="s">
        <v>199</v>
      </c>
      <c r="B461" s="32" t="s">
        <v>249</v>
      </c>
      <c r="C461" s="32" t="s">
        <v>249</v>
      </c>
      <c r="D461" s="32" t="s">
        <v>1137</v>
      </c>
      <c r="E461" s="32" t="s">
        <v>175</v>
      </c>
      <c r="F461" s="326">
        <f>'Пр.5 Рд,пр, ЦС,ВР 20'!F461</f>
        <v>982</v>
      </c>
      <c r="G461" s="326">
        <f t="shared" si="23"/>
        <v>982</v>
      </c>
    </row>
    <row r="462" spans="1:7" ht="47.25" hidden="1" x14ac:dyDescent="0.25">
      <c r="A462" s="31" t="s">
        <v>869</v>
      </c>
      <c r="B462" s="32" t="s">
        <v>249</v>
      </c>
      <c r="C462" s="32" t="s">
        <v>249</v>
      </c>
      <c r="D462" s="32" t="s">
        <v>1262</v>
      </c>
      <c r="E462" s="32"/>
      <c r="F462" s="326">
        <f>'Пр.5 Рд,пр, ЦС,ВР 20'!F462</f>
        <v>0</v>
      </c>
      <c r="G462" s="326">
        <f t="shared" si="23"/>
        <v>0</v>
      </c>
    </row>
    <row r="463" spans="1:7" ht="31.5" hidden="1" x14ac:dyDescent="0.25">
      <c r="A463" s="31" t="s">
        <v>150</v>
      </c>
      <c r="B463" s="32" t="s">
        <v>249</v>
      </c>
      <c r="C463" s="32" t="s">
        <v>249</v>
      </c>
      <c r="D463" s="32" t="s">
        <v>1262</v>
      </c>
      <c r="E463" s="32" t="s">
        <v>160</v>
      </c>
      <c r="F463" s="326">
        <f>'Пр.5 Рд,пр, ЦС,ВР 20'!F463</f>
        <v>0</v>
      </c>
      <c r="G463" s="326">
        <f t="shared" si="23"/>
        <v>0</v>
      </c>
    </row>
    <row r="464" spans="1:7" ht="78.75" hidden="1" x14ac:dyDescent="0.25">
      <c r="A464" s="31" t="s">
        <v>199</v>
      </c>
      <c r="B464" s="32" t="s">
        <v>249</v>
      </c>
      <c r="C464" s="32" t="s">
        <v>249</v>
      </c>
      <c r="D464" s="32" t="s">
        <v>1262</v>
      </c>
      <c r="E464" s="32" t="s">
        <v>175</v>
      </c>
      <c r="F464" s="326">
        <f>'Пр.5 Рд,пр, ЦС,ВР 20'!F464</f>
        <v>0</v>
      </c>
      <c r="G464" s="326">
        <f t="shared" si="23"/>
        <v>0</v>
      </c>
    </row>
    <row r="465" spans="1:11" ht="63" x14ac:dyDescent="0.25">
      <c r="A465" s="34" t="s">
        <v>1006</v>
      </c>
      <c r="B465" s="285" t="s">
        <v>249</v>
      </c>
      <c r="C465" s="285" t="s">
        <v>249</v>
      </c>
      <c r="D465" s="285" t="s">
        <v>989</v>
      </c>
      <c r="E465" s="285"/>
      <c r="F465" s="430">
        <f>F466+F471</f>
        <v>9779</v>
      </c>
      <c r="G465" s="430">
        <f>G466+G471</f>
        <v>9779</v>
      </c>
    </row>
    <row r="466" spans="1:11" ht="47.25" x14ac:dyDescent="0.25">
      <c r="A466" s="31" t="s">
        <v>976</v>
      </c>
      <c r="B466" s="32" t="s">
        <v>249</v>
      </c>
      <c r="C466" s="32" t="s">
        <v>249</v>
      </c>
      <c r="D466" s="32" t="s">
        <v>990</v>
      </c>
      <c r="E466" s="32"/>
      <c r="F466" s="326">
        <f>'Пр.5 Рд,пр, ЦС,ВР 20'!F466</f>
        <v>9359</v>
      </c>
      <c r="G466" s="326">
        <f t="shared" si="23"/>
        <v>9359</v>
      </c>
    </row>
    <row r="467" spans="1:11" ht="126" x14ac:dyDescent="0.25">
      <c r="A467" s="31" t="s">
        <v>142</v>
      </c>
      <c r="B467" s="32" t="s">
        <v>249</v>
      </c>
      <c r="C467" s="32" t="s">
        <v>249</v>
      </c>
      <c r="D467" s="32" t="s">
        <v>990</v>
      </c>
      <c r="E467" s="32" t="s">
        <v>143</v>
      </c>
      <c r="F467" s="326">
        <f>'Пр.5 Рд,пр, ЦС,ВР 20'!F467</f>
        <v>8047</v>
      </c>
      <c r="G467" s="326">
        <f t="shared" si="23"/>
        <v>8047</v>
      </c>
    </row>
    <row r="468" spans="1:11" ht="31.5" x14ac:dyDescent="0.25">
      <c r="A468" s="31" t="s">
        <v>357</v>
      </c>
      <c r="B468" s="32" t="s">
        <v>249</v>
      </c>
      <c r="C468" s="32" t="s">
        <v>249</v>
      </c>
      <c r="D468" s="32" t="s">
        <v>990</v>
      </c>
      <c r="E468" s="32" t="s">
        <v>224</v>
      </c>
      <c r="F468" s="326">
        <f>'Пр.5 Рд,пр, ЦС,ВР 20'!F468</f>
        <v>8047</v>
      </c>
      <c r="G468" s="326">
        <f t="shared" si="23"/>
        <v>8047</v>
      </c>
    </row>
    <row r="469" spans="1:11" ht="47.25" x14ac:dyDescent="0.25">
      <c r="A469" s="31" t="s">
        <v>146</v>
      </c>
      <c r="B469" s="32" t="s">
        <v>249</v>
      </c>
      <c r="C469" s="32" t="s">
        <v>249</v>
      </c>
      <c r="D469" s="32" t="s">
        <v>990</v>
      </c>
      <c r="E469" s="32" t="s">
        <v>147</v>
      </c>
      <c r="F469" s="326">
        <f>'Пр.5 Рд,пр, ЦС,ВР 20'!F469</f>
        <v>1312</v>
      </c>
      <c r="G469" s="326">
        <f t="shared" si="23"/>
        <v>1312</v>
      </c>
    </row>
    <row r="470" spans="1:11" ht="63" x14ac:dyDescent="0.25">
      <c r="A470" s="31" t="s">
        <v>148</v>
      </c>
      <c r="B470" s="32" t="s">
        <v>249</v>
      </c>
      <c r="C470" s="32" t="s">
        <v>249</v>
      </c>
      <c r="D470" s="32" t="s">
        <v>990</v>
      </c>
      <c r="E470" s="32" t="s">
        <v>149</v>
      </c>
      <c r="F470" s="326">
        <f>'Пр.5 Рд,пр, ЦС,ВР 20'!F470</f>
        <v>1312</v>
      </c>
      <c r="G470" s="326">
        <f t="shared" si="23"/>
        <v>1312</v>
      </c>
    </row>
    <row r="471" spans="1:11" ht="63" x14ac:dyDescent="0.25">
      <c r="A471" s="31" t="s">
        <v>886</v>
      </c>
      <c r="B471" s="32" t="s">
        <v>249</v>
      </c>
      <c r="C471" s="32" t="s">
        <v>249</v>
      </c>
      <c r="D471" s="32" t="s">
        <v>991</v>
      </c>
      <c r="E471" s="32"/>
      <c r="F471" s="326">
        <f>'Пр.5 Рд,пр, ЦС,ВР 20'!F471</f>
        <v>420</v>
      </c>
      <c r="G471" s="326">
        <f t="shared" si="23"/>
        <v>420</v>
      </c>
    </row>
    <row r="472" spans="1:11" ht="126" x14ac:dyDescent="0.25">
      <c r="A472" s="31" t="s">
        <v>142</v>
      </c>
      <c r="B472" s="32" t="s">
        <v>249</v>
      </c>
      <c r="C472" s="32" t="s">
        <v>249</v>
      </c>
      <c r="D472" s="32" t="s">
        <v>991</v>
      </c>
      <c r="E472" s="32" t="s">
        <v>143</v>
      </c>
      <c r="F472" s="326">
        <f>'Пр.5 Рд,пр, ЦС,ВР 20'!F472</f>
        <v>420</v>
      </c>
      <c r="G472" s="326">
        <f t="shared" si="23"/>
        <v>420</v>
      </c>
    </row>
    <row r="473" spans="1:11" ht="44.25" customHeight="1" x14ac:dyDescent="0.25">
      <c r="A473" s="31" t="s">
        <v>144</v>
      </c>
      <c r="B473" s="32" t="s">
        <v>249</v>
      </c>
      <c r="C473" s="32" t="s">
        <v>249</v>
      </c>
      <c r="D473" s="32" t="s">
        <v>991</v>
      </c>
      <c r="E473" s="32" t="s">
        <v>145</v>
      </c>
      <c r="F473" s="326">
        <f>'Пр.5 Рд,пр, ЦС,ВР 20'!F473</f>
        <v>420</v>
      </c>
      <c r="G473" s="326">
        <f t="shared" si="23"/>
        <v>420</v>
      </c>
    </row>
    <row r="474" spans="1:11" ht="94.5" hidden="1" x14ac:dyDescent="0.25">
      <c r="A474" s="34" t="s">
        <v>804</v>
      </c>
      <c r="B474" s="285" t="s">
        <v>249</v>
      </c>
      <c r="C474" s="285" t="s">
        <v>249</v>
      </c>
      <c r="D474" s="285" t="s">
        <v>339</v>
      </c>
      <c r="E474" s="285"/>
      <c r="F474" s="416">
        <f t="shared" ref="F474:G477" si="25">F475</f>
        <v>0</v>
      </c>
      <c r="G474" s="416">
        <f t="shared" si="25"/>
        <v>0</v>
      </c>
    </row>
    <row r="475" spans="1:11" ht="94.5" hidden="1" x14ac:dyDescent="0.25">
      <c r="A475" s="34" t="s">
        <v>1168</v>
      </c>
      <c r="B475" s="285" t="s">
        <v>249</v>
      </c>
      <c r="C475" s="285" t="s">
        <v>249</v>
      </c>
      <c r="D475" s="285" t="s">
        <v>1030</v>
      </c>
      <c r="E475" s="285"/>
      <c r="F475" s="416">
        <f t="shared" si="25"/>
        <v>0</v>
      </c>
      <c r="G475" s="416">
        <f t="shared" si="25"/>
        <v>0</v>
      </c>
    </row>
    <row r="476" spans="1:11" ht="78.75" hidden="1" x14ac:dyDescent="0.25">
      <c r="A476" s="31" t="s">
        <v>1284</v>
      </c>
      <c r="B476" s="32" t="s">
        <v>249</v>
      </c>
      <c r="C476" s="32" t="s">
        <v>249</v>
      </c>
      <c r="D476" s="32" t="s">
        <v>1200</v>
      </c>
      <c r="E476" s="32"/>
      <c r="F476" s="415">
        <f t="shared" si="25"/>
        <v>0</v>
      </c>
      <c r="G476" s="415">
        <f t="shared" si="25"/>
        <v>0</v>
      </c>
    </row>
    <row r="477" spans="1:11" ht="47.25" hidden="1" x14ac:dyDescent="0.25">
      <c r="A477" s="31" t="s">
        <v>146</v>
      </c>
      <c r="B477" s="32" t="s">
        <v>249</v>
      </c>
      <c r="C477" s="32" t="s">
        <v>249</v>
      </c>
      <c r="D477" s="32" t="s">
        <v>1200</v>
      </c>
      <c r="E477" s="32" t="s">
        <v>147</v>
      </c>
      <c r="F477" s="415">
        <f t="shared" si="25"/>
        <v>0</v>
      </c>
      <c r="G477" s="415">
        <f t="shared" si="25"/>
        <v>0</v>
      </c>
    </row>
    <row r="478" spans="1:11" ht="63" hidden="1" x14ac:dyDescent="0.25">
      <c r="A478" s="31" t="s">
        <v>148</v>
      </c>
      <c r="B478" s="32" t="s">
        <v>249</v>
      </c>
      <c r="C478" s="32" t="s">
        <v>249</v>
      </c>
      <c r="D478" s="32" t="s">
        <v>1200</v>
      </c>
      <c r="E478" s="32" t="s">
        <v>149</v>
      </c>
      <c r="F478" s="415">
        <f>'пр.6.1.ведом.21-22'!G1035</f>
        <v>0</v>
      </c>
      <c r="G478" s="326">
        <f>'пр.6.1.ведом.21-22'!H1035</f>
        <v>0</v>
      </c>
    </row>
    <row r="479" spans="1:11" ht="15.75" x14ac:dyDescent="0.25">
      <c r="A479" s="58" t="s">
        <v>278</v>
      </c>
      <c r="B479" s="8" t="s">
        <v>279</v>
      </c>
      <c r="C479" s="9"/>
      <c r="D479" s="9"/>
      <c r="E479" s="9"/>
      <c r="F479" s="325">
        <f>F480+F548+F723+F626+F694</f>
        <v>378623.1</v>
      </c>
      <c r="G479" s="325">
        <f>G480+G548+G723+G626+G694</f>
        <v>378631.6</v>
      </c>
      <c r="H479" s="428">
        <v>378154.5</v>
      </c>
      <c r="I479" s="428">
        <v>378163</v>
      </c>
      <c r="J479" s="428">
        <f>H479-F479</f>
        <v>-468.59999999997672</v>
      </c>
      <c r="K479" s="428">
        <f>I479-G479</f>
        <v>-468.59999999997672</v>
      </c>
    </row>
    <row r="480" spans="1:11" ht="15.75" x14ac:dyDescent="0.25">
      <c r="A480" s="58" t="s">
        <v>419</v>
      </c>
      <c r="B480" s="8" t="s">
        <v>279</v>
      </c>
      <c r="C480" s="8" t="s">
        <v>133</v>
      </c>
      <c r="D480" s="8"/>
      <c r="E480" s="8"/>
      <c r="F480" s="325">
        <f>F481+F538+F543</f>
        <v>109329.55</v>
      </c>
      <c r="G480" s="325">
        <f>G481+G538+G543</f>
        <v>109329.55</v>
      </c>
    </row>
    <row r="481" spans="1:7" ht="78.75" x14ac:dyDescent="0.25">
      <c r="A481" s="34" t="s">
        <v>1457</v>
      </c>
      <c r="B481" s="285" t="s">
        <v>279</v>
      </c>
      <c r="C481" s="285" t="s">
        <v>133</v>
      </c>
      <c r="D481" s="285" t="s">
        <v>421</v>
      </c>
      <c r="E481" s="285"/>
      <c r="F481" s="325">
        <f>F482+F503</f>
        <v>108865.25</v>
      </c>
      <c r="G481" s="325">
        <f>G482+G503</f>
        <v>108865.25</v>
      </c>
    </row>
    <row r="482" spans="1:7" ht="63" x14ac:dyDescent="0.25">
      <c r="A482" s="34" t="s">
        <v>422</v>
      </c>
      <c r="B482" s="285" t="s">
        <v>279</v>
      </c>
      <c r="C482" s="285" t="s">
        <v>133</v>
      </c>
      <c r="D482" s="285" t="s">
        <v>423</v>
      </c>
      <c r="E482" s="285"/>
      <c r="F482" s="325">
        <f>F483+F490</f>
        <v>97867.55</v>
      </c>
      <c r="G482" s="325">
        <f>G483+G490</f>
        <v>97867.55</v>
      </c>
    </row>
    <row r="483" spans="1:7" ht="63" x14ac:dyDescent="0.25">
      <c r="A483" s="34" t="s">
        <v>1033</v>
      </c>
      <c r="B483" s="285" t="s">
        <v>279</v>
      </c>
      <c r="C483" s="285" t="s">
        <v>133</v>
      </c>
      <c r="D483" s="285" t="s">
        <v>1011</v>
      </c>
      <c r="E483" s="285"/>
      <c r="F483" s="325">
        <f>F484+F487</f>
        <v>12027</v>
      </c>
      <c r="G483" s="325">
        <f>G484+G487</f>
        <v>12027</v>
      </c>
    </row>
    <row r="484" spans="1:7" ht="94.5" x14ac:dyDescent="0.25">
      <c r="A484" s="31" t="s">
        <v>1068</v>
      </c>
      <c r="B484" s="32" t="s">
        <v>279</v>
      </c>
      <c r="C484" s="32" t="s">
        <v>133</v>
      </c>
      <c r="D484" s="32" t="s">
        <v>1067</v>
      </c>
      <c r="E484" s="32"/>
      <c r="F484" s="326">
        <f>'Пр.5 Рд,пр, ЦС,ВР 20'!F484</f>
        <v>7224.2999999999993</v>
      </c>
      <c r="G484" s="326">
        <f t="shared" ref="G484:G553" si="26">F484</f>
        <v>7224.2999999999993</v>
      </c>
    </row>
    <row r="485" spans="1:7" ht="63" x14ac:dyDescent="0.25">
      <c r="A485" s="31" t="s">
        <v>287</v>
      </c>
      <c r="B485" s="32" t="s">
        <v>279</v>
      </c>
      <c r="C485" s="32" t="s">
        <v>133</v>
      </c>
      <c r="D485" s="32" t="s">
        <v>1067</v>
      </c>
      <c r="E485" s="32" t="s">
        <v>288</v>
      </c>
      <c r="F485" s="326">
        <f>'Пр.5 Рд,пр, ЦС,ВР 20'!F485</f>
        <v>7224.2999999999993</v>
      </c>
      <c r="G485" s="326">
        <f t="shared" si="26"/>
        <v>7224.2999999999993</v>
      </c>
    </row>
    <row r="486" spans="1:7" ht="31.5" x14ac:dyDescent="0.25">
      <c r="A486" s="31" t="s">
        <v>289</v>
      </c>
      <c r="B486" s="32" t="s">
        <v>279</v>
      </c>
      <c r="C486" s="32" t="s">
        <v>133</v>
      </c>
      <c r="D486" s="32" t="s">
        <v>1067</v>
      </c>
      <c r="E486" s="32" t="s">
        <v>290</v>
      </c>
      <c r="F486" s="326">
        <f>'Пр.5 Рд,пр, ЦС,ВР 20'!F486</f>
        <v>7224.2999999999993</v>
      </c>
      <c r="G486" s="326">
        <f t="shared" si="26"/>
        <v>7224.2999999999993</v>
      </c>
    </row>
    <row r="487" spans="1:7" ht="78.75" x14ac:dyDescent="0.25">
      <c r="A487" s="31" t="s">
        <v>1249</v>
      </c>
      <c r="B487" s="32" t="s">
        <v>279</v>
      </c>
      <c r="C487" s="32" t="s">
        <v>133</v>
      </c>
      <c r="D487" s="32" t="s">
        <v>1069</v>
      </c>
      <c r="E487" s="32"/>
      <c r="F487" s="326">
        <f>'Пр.5 Рд,пр, ЦС,ВР 20'!F487</f>
        <v>4802.7</v>
      </c>
      <c r="G487" s="326">
        <f t="shared" si="26"/>
        <v>4802.7</v>
      </c>
    </row>
    <row r="488" spans="1:7" ht="63" x14ac:dyDescent="0.25">
      <c r="A488" s="31" t="s">
        <v>287</v>
      </c>
      <c r="B488" s="32" t="s">
        <v>279</v>
      </c>
      <c r="C488" s="32" t="s">
        <v>133</v>
      </c>
      <c r="D488" s="32" t="s">
        <v>1069</v>
      </c>
      <c r="E488" s="32" t="s">
        <v>288</v>
      </c>
      <c r="F488" s="326">
        <f>'Пр.5 Рд,пр, ЦС,ВР 20'!F488</f>
        <v>4802.7</v>
      </c>
      <c r="G488" s="326">
        <f t="shared" si="26"/>
        <v>4802.7</v>
      </c>
    </row>
    <row r="489" spans="1:7" ht="31.5" x14ac:dyDescent="0.25">
      <c r="A489" s="31" t="s">
        <v>289</v>
      </c>
      <c r="B489" s="32" t="s">
        <v>279</v>
      </c>
      <c r="C489" s="32" t="s">
        <v>133</v>
      </c>
      <c r="D489" s="32" t="s">
        <v>1069</v>
      </c>
      <c r="E489" s="32" t="s">
        <v>290</v>
      </c>
      <c r="F489" s="326">
        <f>'Пр.5 Рд,пр, ЦС,ВР 20'!F489</f>
        <v>4802.7</v>
      </c>
      <c r="G489" s="326">
        <f t="shared" si="26"/>
        <v>4802.7</v>
      </c>
    </row>
    <row r="490" spans="1:7" ht="88.5" customHeight="1" x14ac:dyDescent="0.25">
      <c r="A490" s="34" t="s">
        <v>973</v>
      </c>
      <c r="B490" s="285" t="s">
        <v>279</v>
      </c>
      <c r="C490" s="285" t="s">
        <v>133</v>
      </c>
      <c r="D490" s="285" t="s">
        <v>1026</v>
      </c>
      <c r="E490" s="285"/>
      <c r="F490" s="325">
        <f>F491+F494+F497+F500</f>
        <v>85840.55</v>
      </c>
      <c r="G490" s="325">
        <f>G491+G494+G497+G500</f>
        <v>85840.55</v>
      </c>
    </row>
    <row r="491" spans="1:7" ht="110.25" x14ac:dyDescent="0.25">
      <c r="A491" s="31" t="s">
        <v>304</v>
      </c>
      <c r="B491" s="32" t="s">
        <v>279</v>
      </c>
      <c r="C491" s="32" t="s">
        <v>133</v>
      </c>
      <c r="D491" s="32" t="s">
        <v>1025</v>
      </c>
      <c r="E491" s="32"/>
      <c r="F491" s="326">
        <f>'Пр.5 Рд,пр, ЦС,ВР 20'!F491</f>
        <v>559.71</v>
      </c>
      <c r="G491" s="326">
        <f t="shared" si="26"/>
        <v>559.71</v>
      </c>
    </row>
    <row r="492" spans="1:7" ht="63" x14ac:dyDescent="0.25">
      <c r="A492" s="31" t="s">
        <v>287</v>
      </c>
      <c r="B492" s="32" t="s">
        <v>279</v>
      </c>
      <c r="C492" s="32" t="s">
        <v>133</v>
      </c>
      <c r="D492" s="32" t="s">
        <v>1025</v>
      </c>
      <c r="E492" s="32" t="s">
        <v>288</v>
      </c>
      <c r="F492" s="326">
        <f>'Пр.5 Рд,пр, ЦС,ВР 20'!F492</f>
        <v>559.71</v>
      </c>
      <c r="G492" s="326">
        <f t="shared" si="26"/>
        <v>559.71</v>
      </c>
    </row>
    <row r="493" spans="1:7" ht="31.5" x14ac:dyDescent="0.25">
      <c r="A493" s="31" t="s">
        <v>289</v>
      </c>
      <c r="B493" s="32" t="s">
        <v>279</v>
      </c>
      <c r="C493" s="32" t="s">
        <v>133</v>
      </c>
      <c r="D493" s="32" t="s">
        <v>1025</v>
      </c>
      <c r="E493" s="32" t="s">
        <v>290</v>
      </c>
      <c r="F493" s="326">
        <f>'Пр.5 Рд,пр, ЦС,ВР 20'!F493</f>
        <v>559.71</v>
      </c>
      <c r="G493" s="326">
        <f t="shared" si="26"/>
        <v>559.71</v>
      </c>
    </row>
    <row r="494" spans="1:7" ht="110.25" x14ac:dyDescent="0.25">
      <c r="A494" s="31" t="s">
        <v>435</v>
      </c>
      <c r="B494" s="32" t="s">
        <v>279</v>
      </c>
      <c r="C494" s="32" t="s">
        <v>133</v>
      </c>
      <c r="D494" s="32" t="s">
        <v>1028</v>
      </c>
      <c r="E494" s="32"/>
      <c r="F494" s="326">
        <f>'Пр.5 Рд,пр, ЦС,ВР 20'!F494</f>
        <v>1629.37</v>
      </c>
      <c r="G494" s="326">
        <f t="shared" si="26"/>
        <v>1629.37</v>
      </c>
    </row>
    <row r="495" spans="1:7" ht="63" x14ac:dyDescent="0.25">
      <c r="A495" s="31" t="s">
        <v>287</v>
      </c>
      <c r="B495" s="32" t="s">
        <v>279</v>
      </c>
      <c r="C495" s="32" t="s">
        <v>133</v>
      </c>
      <c r="D495" s="32" t="s">
        <v>1028</v>
      </c>
      <c r="E495" s="32" t="s">
        <v>288</v>
      </c>
      <c r="F495" s="326">
        <f>'Пр.5 Рд,пр, ЦС,ВР 20'!F495</f>
        <v>1629.37</v>
      </c>
      <c r="G495" s="326">
        <f t="shared" si="26"/>
        <v>1629.37</v>
      </c>
    </row>
    <row r="496" spans="1:7" ht="31.5" x14ac:dyDescent="0.25">
      <c r="A496" s="31" t="s">
        <v>289</v>
      </c>
      <c r="B496" s="32" t="s">
        <v>279</v>
      </c>
      <c r="C496" s="32" t="s">
        <v>133</v>
      </c>
      <c r="D496" s="32" t="s">
        <v>1028</v>
      </c>
      <c r="E496" s="32" t="s">
        <v>290</v>
      </c>
      <c r="F496" s="326">
        <f>'Пр.5 Рд,пр, ЦС,ВР 20'!F496</f>
        <v>1629.37</v>
      </c>
      <c r="G496" s="326">
        <f t="shared" si="26"/>
        <v>1629.37</v>
      </c>
    </row>
    <row r="497" spans="1:7" ht="141.75" x14ac:dyDescent="0.25">
      <c r="A497" s="31" t="s">
        <v>436</v>
      </c>
      <c r="B497" s="32" t="s">
        <v>279</v>
      </c>
      <c r="C497" s="32" t="s">
        <v>133</v>
      </c>
      <c r="D497" s="32" t="s">
        <v>1027</v>
      </c>
      <c r="E497" s="32"/>
      <c r="F497" s="326">
        <f>'Пр.5 Рд,пр, ЦС,ВР 20'!F497</f>
        <v>80735.399999999994</v>
      </c>
      <c r="G497" s="326">
        <f t="shared" si="26"/>
        <v>80735.399999999994</v>
      </c>
    </row>
    <row r="498" spans="1:7" ht="63" x14ac:dyDescent="0.25">
      <c r="A498" s="31" t="s">
        <v>287</v>
      </c>
      <c r="B498" s="32" t="s">
        <v>279</v>
      </c>
      <c r="C498" s="32" t="s">
        <v>133</v>
      </c>
      <c r="D498" s="32" t="s">
        <v>1027</v>
      </c>
      <c r="E498" s="32" t="s">
        <v>288</v>
      </c>
      <c r="F498" s="326">
        <f>'Пр.5 Рд,пр, ЦС,ВР 20'!F498</f>
        <v>80735.399999999994</v>
      </c>
      <c r="G498" s="326">
        <f t="shared" si="26"/>
        <v>80735.399999999994</v>
      </c>
    </row>
    <row r="499" spans="1:7" ht="31.5" x14ac:dyDescent="0.25">
      <c r="A499" s="31" t="s">
        <v>289</v>
      </c>
      <c r="B499" s="32" t="s">
        <v>279</v>
      </c>
      <c r="C499" s="32" t="s">
        <v>133</v>
      </c>
      <c r="D499" s="32" t="s">
        <v>1027</v>
      </c>
      <c r="E499" s="32" t="s">
        <v>290</v>
      </c>
      <c r="F499" s="326">
        <f>'Пр.5 Рд,пр, ЦС,ВР 20'!F499</f>
        <v>80735.399999999994</v>
      </c>
      <c r="G499" s="326">
        <f t="shared" si="26"/>
        <v>80735.399999999994</v>
      </c>
    </row>
    <row r="500" spans="1:7" ht="157.5" x14ac:dyDescent="0.25">
      <c r="A500" s="31" t="s">
        <v>308</v>
      </c>
      <c r="B500" s="32" t="s">
        <v>279</v>
      </c>
      <c r="C500" s="32" t="s">
        <v>133</v>
      </c>
      <c r="D500" s="32" t="s">
        <v>1029</v>
      </c>
      <c r="E500" s="32"/>
      <c r="F500" s="326">
        <f>'Пр.5 Рд,пр, ЦС,ВР 20'!F500</f>
        <v>2916.07</v>
      </c>
      <c r="G500" s="326">
        <f t="shared" si="26"/>
        <v>2916.07</v>
      </c>
    </row>
    <row r="501" spans="1:7" ht="63" x14ac:dyDescent="0.25">
      <c r="A501" s="31" t="s">
        <v>287</v>
      </c>
      <c r="B501" s="32" t="s">
        <v>279</v>
      </c>
      <c r="C501" s="32" t="s">
        <v>133</v>
      </c>
      <c r="D501" s="32" t="s">
        <v>1029</v>
      </c>
      <c r="E501" s="32" t="s">
        <v>288</v>
      </c>
      <c r="F501" s="326">
        <f>'Пр.5 Рд,пр, ЦС,ВР 20'!F501</f>
        <v>2916.07</v>
      </c>
      <c r="G501" s="326">
        <f t="shared" si="26"/>
        <v>2916.07</v>
      </c>
    </row>
    <row r="502" spans="1:7" ht="31.5" x14ac:dyDescent="0.25">
      <c r="A502" s="31" t="s">
        <v>289</v>
      </c>
      <c r="B502" s="32" t="s">
        <v>279</v>
      </c>
      <c r="C502" s="32" t="s">
        <v>133</v>
      </c>
      <c r="D502" s="32" t="s">
        <v>1029</v>
      </c>
      <c r="E502" s="32" t="s">
        <v>290</v>
      </c>
      <c r="F502" s="326">
        <f>'Пр.5 Рд,пр, ЦС,ВР 20'!F502</f>
        <v>2916.07</v>
      </c>
      <c r="G502" s="326">
        <f t="shared" si="26"/>
        <v>2916.07</v>
      </c>
    </row>
    <row r="503" spans="1:7" ht="63" x14ac:dyDescent="0.25">
      <c r="A503" s="34" t="s">
        <v>426</v>
      </c>
      <c r="B503" s="285" t="s">
        <v>279</v>
      </c>
      <c r="C503" s="285" t="s">
        <v>133</v>
      </c>
      <c r="D503" s="285" t="s">
        <v>427</v>
      </c>
      <c r="E503" s="285"/>
      <c r="F503" s="325">
        <f>F504+F514+F524+F531</f>
        <v>10997.7</v>
      </c>
      <c r="G503" s="325">
        <f>G504+G514+G524+G531</f>
        <v>10997.7</v>
      </c>
    </row>
    <row r="504" spans="1:7" ht="47.25" x14ac:dyDescent="0.25">
      <c r="A504" s="34" t="s">
        <v>1012</v>
      </c>
      <c r="B504" s="285" t="s">
        <v>279</v>
      </c>
      <c r="C504" s="285" t="s">
        <v>133</v>
      </c>
      <c r="D504" s="285" t="s">
        <v>1013</v>
      </c>
      <c r="E504" s="285"/>
      <c r="F504" s="325">
        <f>F505+F508+F511</f>
        <v>4430</v>
      </c>
      <c r="G504" s="325">
        <f>G505+G508+G511</f>
        <v>4430</v>
      </c>
    </row>
    <row r="505" spans="1:7" ht="63" x14ac:dyDescent="0.25">
      <c r="A505" s="31" t="s">
        <v>293</v>
      </c>
      <c r="B505" s="32" t="s">
        <v>279</v>
      </c>
      <c r="C505" s="32" t="s">
        <v>133</v>
      </c>
      <c r="D505" s="32" t="s">
        <v>1014</v>
      </c>
      <c r="E505" s="32"/>
      <c r="F505" s="326">
        <f>'Пр.5 Рд,пр, ЦС,ВР 20'!F505</f>
        <v>0</v>
      </c>
      <c r="G505" s="326">
        <f t="shared" si="26"/>
        <v>0</v>
      </c>
    </row>
    <row r="506" spans="1:7" ht="63" x14ac:dyDescent="0.25">
      <c r="A506" s="31" t="s">
        <v>287</v>
      </c>
      <c r="B506" s="32" t="s">
        <v>279</v>
      </c>
      <c r="C506" s="32" t="s">
        <v>133</v>
      </c>
      <c r="D506" s="32" t="s">
        <v>1014</v>
      </c>
      <c r="E506" s="32" t="s">
        <v>288</v>
      </c>
      <c r="F506" s="326">
        <f>'Пр.5 Рд,пр, ЦС,ВР 20'!F506</f>
        <v>0</v>
      </c>
      <c r="G506" s="326">
        <f t="shared" si="26"/>
        <v>0</v>
      </c>
    </row>
    <row r="507" spans="1:7" ht="31.5" x14ac:dyDescent="0.25">
      <c r="A507" s="31" t="s">
        <v>289</v>
      </c>
      <c r="B507" s="32" t="s">
        <v>279</v>
      </c>
      <c r="C507" s="32" t="s">
        <v>133</v>
      </c>
      <c r="D507" s="32" t="s">
        <v>1014</v>
      </c>
      <c r="E507" s="32" t="s">
        <v>290</v>
      </c>
      <c r="F507" s="326">
        <f>'Пр.5 Рд,пр, ЦС,ВР 20'!F507</f>
        <v>0</v>
      </c>
      <c r="G507" s="326">
        <f t="shared" si="26"/>
        <v>0</v>
      </c>
    </row>
    <row r="508" spans="1:7" ht="47.25" x14ac:dyDescent="0.25">
      <c r="A508" s="31" t="s">
        <v>295</v>
      </c>
      <c r="B508" s="32" t="s">
        <v>279</v>
      </c>
      <c r="C508" s="32" t="s">
        <v>133</v>
      </c>
      <c r="D508" s="32" t="s">
        <v>1015</v>
      </c>
      <c r="E508" s="32"/>
      <c r="F508" s="326">
        <f>'Пр.5 Рд,пр, ЦС,ВР 20'!F508</f>
        <v>0</v>
      </c>
      <c r="G508" s="326">
        <f t="shared" si="26"/>
        <v>0</v>
      </c>
    </row>
    <row r="509" spans="1:7" ht="63" x14ac:dyDescent="0.25">
      <c r="A509" s="31" t="s">
        <v>287</v>
      </c>
      <c r="B509" s="32" t="s">
        <v>279</v>
      </c>
      <c r="C509" s="32" t="s">
        <v>133</v>
      </c>
      <c r="D509" s="32" t="s">
        <v>1015</v>
      </c>
      <c r="E509" s="32" t="s">
        <v>288</v>
      </c>
      <c r="F509" s="326">
        <f>'Пр.5 Рд,пр, ЦС,ВР 20'!F509</f>
        <v>0</v>
      </c>
      <c r="G509" s="326">
        <f t="shared" si="26"/>
        <v>0</v>
      </c>
    </row>
    <row r="510" spans="1:7" ht="31.5" x14ac:dyDescent="0.25">
      <c r="A510" s="31" t="s">
        <v>289</v>
      </c>
      <c r="B510" s="32" t="s">
        <v>279</v>
      </c>
      <c r="C510" s="32" t="s">
        <v>133</v>
      </c>
      <c r="D510" s="32" t="s">
        <v>1015</v>
      </c>
      <c r="E510" s="32" t="s">
        <v>290</v>
      </c>
      <c r="F510" s="326">
        <f>'Пр.5 Рд,пр, ЦС,ВР 20'!F510</f>
        <v>0</v>
      </c>
      <c r="G510" s="326">
        <f t="shared" si="26"/>
        <v>0</v>
      </c>
    </row>
    <row r="511" spans="1:7" ht="63" x14ac:dyDescent="0.25">
      <c r="A511" s="31" t="s">
        <v>430</v>
      </c>
      <c r="B511" s="32" t="s">
        <v>279</v>
      </c>
      <c r="C511" s="32" t="s">
        <v>133</v>
      </c>
      <c r="D511" s="32" t="s">
        <v>1016</v>
      </c>
      <c r="E511" s="32"/>
      <c r="F511" s="326">
        <f>'Пр.5 Рд,пр, ЦС,ВР 20'!F511</f>
        <v>4430</v>
      </c>
      <c r="G511" s="326">
        <f t="shared" si="26"/>
        <v>4430</v>
      </c>
    </row>
    <row r="512" spans="1:7" ht="63" x14ac:dyDescent="0.25">
      <c r="A512" s="31" t="s">
        <v>287</v>
      </c>
      <c r="B512" s="32" t="s">
        <v>279</v>
      </c>
      <c r="C512" s="32" t="s">
        <v>133</v>
      </c>
      <c r="D512" s="32" t="s">
        <v>1016</v>
      </c>
      <c r="E512" s="32" t="s">
        <v>288</v>
      </c>
      <c r="F512" s="326">
        <f>'Пр.5 Рд,пр, ЦС,ВР 20'!F512</f>
        <v>4430</v>
      </c>
      <c r="G512" s="326">
        <f t="shared" si="26"/>
        <v>4430</v>
      </c>
    </row>
    <row r="513" spans="1:7" ht="31.5" x14ac:dyDescent="0.25">
      <c r="A513" s="31" t="s">
        <v>289</v>
      </c>
      <c r="B513" s="32" t="s">
        <v>279</v>
      </c>
      <c r="C513" s="32" t="s">
        <v>133</v>
      </c>
      <c r="D513" s="32" t="s">
        <v>1016</v>
      </c>
      <c r="E513" s="32" t="s">
        <v>290</v>
      </c>
      <c r="F513" s="326">
        <f>'Пр.5 Рд,пр, ЦС,ВР 20'!F513</f>
        <v>4430</v>
      </c>
      <c r="G513" s="326">
        <f t="shared" si="26"/>
        <v>4430</v>
      </c>
    </row>
    <row r="514" spans="1:7" ht="63" x14ac:dyDescent="0.25">
      <c r="A514" s="284" t="s">
        <v>1082</v>
      </c>
      <c r="B514" s="285" t="s">
        <v>279</v>
      </c>
      <c r="C514" s="285" t="s">
        <v>133</v>
      </c>
      <c r="D514" s="285" t="s">
        <v>1017</v>
      </c>
      <c r="E514" s="285"/>
      <c r="F514" s="325">
        <f>F515+F518+F521</f>
        <v>4610</v>
      </c>
      <c r="G514" s="325">
        <f>G515+G518+G521</f>
        <v>4610</v>
      </c>
    </row>
    <row r="515" spans="1:7" ht="47.25" hidden="1" x14ac:dyDescent="0.25">
      <c r="A515" s="31" t="s">
        <v>299</v>
      </c>
      <c r="B515" s="32" t="s">
        <v>279</v>
      </c>
      <c r="C515" s="32" t="s">
        <v>133</v>
      </c>
      <c r="D515" s="32" t="s">
        <v>1018</v>
      </c>
      <c r="E515" s="32"/>
      <c r="F515" s="326">
        <f>'Пр.5 Рд,пр, ЦС,ВР 20'!F515</f>
        <v>0</v>
      </c>
      <c r="G515" s="326">
        <f t="shared" si="26"/>
        <v>0</v>
      </c>
    </row>
    <row r="516" spans="1:7" ht="63" hidden="1" x14ac:dyDescent="0.25">
      <c r="A516" s="31" t="s">
        <v>287</v>
      </c>
      <c r="B516" s="32" t="s">
        <v>279</v>
      </c>
      <c r="C516" s="32" t="s">
        <v>133</v>
      </c>
      <c r="D516" s="32" t="s">
        <v>1018</v>
      </c>
      <c r="E516" s="32" t="s">
        <v>288</v>
      </c>
      <c r="F516" s="326">
        <f>'Пр.5 Рд,пр, ЦС,ВР 20'!F516</f>
        <v>0</v>
      </c>
      <c r="G516" s="326">
        <f t="shared" si="26"/>
        <v>0</v>
      </c>
    </row>
    <row r="517" spans="1:7" ht="31.5" hidden="1" x14ac:dyDescent="0.25">
      <c r="A517" s="31" t="s">
        <v>289</v>
      </c>
      <c r="B517" s="32" t="s">
        <v>279</v>
      </c>
      <c r="C517" s="32" t="s">
        <v>133</v>
      </c>
      <c r="D517" s="32" t="s">
        <v>1018</v>
      </c>
      <c r="E517" s="32" t="s">
        <v>290</v>
      </c>
      <c r="F517" s="326">
        <f>'Пр.5 Рд,пр, ЦС,ВР 20'!F517</f>
        <v>0</v>
      </c>
      <c r="G517" s="326">
        <f t="shared" si="26"/>
        <v>0</v>
      </c>
    </row>
    <row r="518" spans="1:7" ht="63" x14ac:dyDescent="0.25">
      <c r="A518" s="46" t="s">
        <v>786</v>
      </c>
      <c r="B518" s="32" t="s">
        <v>279</v>
      </c>
      <c r="C518" s="32" t="s">
        <v>133</v>
      </c>
      <c r="D518" s="32" t="s">
        <v>1019</v>
      </c>
      <c r="E518" s="32"/>
      <c r="F518" s="326">
        <f>'Пр.5 Рд,пр, ЦС,ВР 20'!F518</f>
        <v>2850</v>
      </c>
      <c r="G518" s="326">
        <f t="shared" si="26"/>
        <v>2850</v>
      </c>
    </row>
    <row r="519" spans="1:7" ht="63" x14ac:dyDescent="0.25">
      <c r="A519" s="45" t="s">
        <v>287</v>
      </c>
      <c r="B519" s="32" t="s">
        <v>279</v>
      </c>
      <c r="C519" s="32" t="s">
        <v>133</v>
      </c>
      <c r="D519" s="32" t="s">
        <v>1019</v>
      </c>
      <c r="E519" s="32" t="s">
        <v>288</v>
      </c>
      <c r="F519" s="326">
        <f>'Пр.5 Рд,пр, ЦС,ВР 20'!F519</f>
        <v>2850</v>
      </c>
      <c r="G519" s="326">
        <f t="shared" si="26"/>
        <v>2850</v>
      </c>
    </row>
    <row r="520" spans="1:7" ht="31.5" x14ac:dyDescent="0.25">
      <c r="A520" s="439" t="s">
        <v>289</v>
      </c>
      <c r="B520" s="32" t="s">
        <v>279</v>
      </c>
      <c r="C520" s="32" t="s">
        <v>133</v>
      </c>
      <c r="D520" s="32" t="s">
        <v>1019</v>
      </c>
      <c r="E520" s="32" t="s">
        <v>290</v>
      </c>
      <c r="F520" s="326">
        <f>'Пр.5 Рд,пр, ЦС,ВР 20'!F520</f>
        <v>2850</v>
      </c>
      <c r="G520" s="326">
        <f t="shared" si="26"/>
        <v>2850</v>
      </c>
    </row>
    <row r="521" spans="1:7" ht="78.75" x14ac:dyDescent="0.25">
      <c r="A521" s="46" t="s">
        <v>787</v>
      </c>
      <c r="B521" s="32" t="s">
        <v>279</v>
      </c>
      <c r="C521" s="32" t="s">
        <v>133</v>
      </c>
      <c r="D521" s="32" t="s">
        <v>1020</v>
      </c>
      <c r="E521" s="32"/>
      <c r="F521" s="326">
        <f>'Пр.5 Рд,пр, ЦС,ВР 20'!F521</f>
        <v>1760</v>
      </c>
      <c r="G521" s="326">
        <f t="shared" si="26"/>
        <v>1760</v>
      </c>
    </row>
    <row r="522" spans="1:7" ht="63" x14ac:dyDescent="0.25">
      <c r="A522" s="45" t="s">
        <v>287</v>
      </c>
      <c r="B522" s="32" t="s">
        <v>279</v>
      </c>
      <c r="C522" s="32" t="s">
        <v>133</v>
      </c>
      <c r="D522" s="32" t="s">
        <v>1020</v>
      </c>
      <c r="E522" s="32" t="s">
        <v>288</v>
      </c>
      <c r="F522" s="326">
        <f>'Пр.5 Рд,пр, ЦС,ВР 20'!F522</f>
        <v>1760</v>
      </c>
      <c r="G522" s="326">
        <f t="shared" si="26"/>
        <v>1760</v>
      </c>
    </row>
    <row r="523" spans="1:7" ht="31.5" x14ac:dyDescent="0.25">
      <c r="A523" s="439" t="s">
        <v>289</v>
      </c>
      <c r="B523" s="32" t="s">
        <v>279</v>
      </c>
      <c r="C523" s="32" t="s">
        <v>133</v>
      </c>
      <c r="D523" s="32" t="s">
        <v>1020</v>
      </c>
      <c r="E523" s="32" t="s">
        <v>290</v>
      </c>
      <c r="F523" s="326">
        <f>'Пр.5 Рд,пр, ЦС,ВР 20'!F523</f>
        <v>1760</v>
      </c>
      <c r="G523" s="326">
        <f t="shared" si="26"/>
        <v>1760</v>
      </c>
    </row>
    <row r="524" spans="1:7" ht="112.5" customHeight="1" x14ac:dyDescent="0.25">
      <c r="A524" s="34" t="s">
        <v>1021</v>
      </c>
      <c r="B524" s="285" t="s">
        <v>279</v>
      </c>
      <c r="C524" s="285" t="s">
        <v>133</v>
      </c>
      <c r="D524" s="285" t="s">
        <v>1022</v>
      </c>
      <c r="E524" s="285"/>
      <c r="F524" s="325">
        <f>F525+F528</f>
        <v>291.10000000000002</v>
      </c>
      <c r="G524" s="325">
        <f>G525+G528</f>
        <v>291.10000000000002</v>
      </c>
    </row>
    <row r="525" spans="1:7" ht="252" x14ac:dyDescent="0.25">
      <c r="A525" s="31" t="s">
        <v>830</v>
      </c>
      <c r="B525" s="32" t="s">
        <v>279</v>
      </c>
      <c r="C525" s="32" t="s">
        <v>133</v>
      </c>
      <c r="D525" s="32" t="s">
        <v>1023</v>
      </c>
      <c r="E525" s="32"/>
      <c r="F525" s="326">
        <f>'Пр.5 Рд,пр, ЦС,ВР 20'!F525</f>
        <v>124.4</v>
      </c>
      <c r="G525" s="326">
        <f t="shared" si="26"/>
        <v>124.4</v>
      </c>
    </row>
    <row r="526" spans="1:7" ht="63" x14ac:dyDescent="0.25">
      <c r="A526" s="45" t="s">
        <v>287</v>
      </c>
      <c r="B526" s="32" t="s">
        <v>279</v>
      </c>
      <c r="C526" s="32" t="s">
        <v>133</v>
      </c>
      <c r="D526" s="32" t="s">
        <v>1023</v>
      </c>
      <c r="E526" s="32" t="s">
        <v>288</v>
      </c>
      <c r="F526" s="326">
        <f>'Пр.5 Рд,пр, ЦС,ВР 20'!F526</f>
        <v>124.4</v>
      </c>
      <c r="G526" s="326">
        <f t="shared" si="26"/>
        <v>124.4</v>
      </c>
    </row>
    <row r="527" spans="1:7" ht="31.5" x14ac:dyDescent="0.25">
      <c r="A527" s="439" t="s">
        <v>289</v>
      </c>
      <c r="B527" s="32" t="s">
        <v>279</v>
      </c>
      <c r="C527" s="32" t="s">
        <v>133</v>
      </c>
      <c r="D527" s="32" t="s">
        <v>1023</v>
      </c>
      <c r="E527" s="32" t="s">
        <v>290</v>
      </c>
      <c r="F527" s="326">
        <f>'Пр.5 Рд,пр, ЦС,ВР 20'!F527</f>
        <v>124.4</v>
      </c>
      <c r="G527" s="326">
        <f t="shared" si="26"/>
        <v>124.4</v>
      </c>
    </row>
    <row r="528" spans="1:7" ht="220.5" x14ac:dyDescent="0.25">
      <c r="A528" s="31" t="s">
        <v>438</v>
      </c>
      <c r="B528" s="32" t="s">
        <v>279</v>
      </c>
      <c r="C528" s="32" t="s">
        <v>133</v>
      </c>
      <c r="D528" s="32" t="s">
        <v>1024</v>
      </c>
      <c r="E528" s="32"/>
      <c r="F528" s="326">
        <f>'Пр.5 Рд,пр, ЦС,ВР 20'!F528</f>
        <v>166.7</v>
      </c>
      <c r="G528" s="326">
        <f t="shared" si="26"/>
        <v>166.7</v>
      </c>
    </row>
    <row r="529" spans="1:7" ht="63" x14ac:dyDescent="0.25">
      <c r="A529" s="31" t="s">
        <v>287</v>
      </c>
      <c r="B529" s="32" t="s">
        <v>279</v>
      </c>
      <c r="C529" s="32" t="s">
        <v>133</v>
      </c>
      <c r="D529" s="32" t="s">
        <v>1024</v>
      </c>
      <c r="E529" s="32" t="s">
        <v>288</v>
      </c>
      <c r="F529" s="326">
        <f>'Пр.5 Рд,пр, ЦС,ВР 20'!F529</f>
        <v>166.7</v>
      </c>
      <c r="G529" s="326">
        <f t="shared" si="26"/>
        <v>166.7</v>
      </c>
    </row>
    <row r="530" spans="1:7" ht="31.5" x14ac:dyDescent="0.25">
      <c r="A530" s="31" t="s">
        <v>289</v>
      </c>
      <c r="B530" s="32" t="s">
        <v>279</v>
      </c>
      <c r="C530" s="32" t="s">
        <v>133</v>
      </c>
      <c r="D530" s="32" t="s">
        <v>1024</v>
      </c>
      <c r="E530" s="32" t="s">
        <v>290</v>
      </c>
      <c r="F530" s="326">
        <f>'Пр.5 Рд,пр, ЦС,ВР 20'!F530</f>
        <v>166.7</v>
      </c>
      <c r="G530" s="326">
        <f t="shared" si="26"/>
        <v>166.7</v>
      </c>
    </row>
    <row r="531" spans="1:7" ht="157.5" x14ac:dyDescent="0.25">
      <c r="A531" s="34" t="s">
        <v>1426</v>
      </c>
      <c r="B531" s="285" t="s">
        <v>279</v>
      </c>
      <c r="C531" s="285" t="s">
        <v>133</v>
      </c>
      <c r="D531" s="285" t="s">
        <v>1424</v>
      </c>
      <c r="E531" s="285"/>
      <c r="F531" s="416">
        <f>F532+F535</f>
        <v>1666.6</v>
      </c>
      <c r="G531" s="416">
        <f>G532+G535</f>
        <v>1666.6</v>
      </c>
    </row>
    <row r="532" spans="1:7" ht="126" hidden="1" x14ac:dyDescent="0.25">
      <c r="A532" s="441" t="s">
        <v>1429</v>
      </c>
      <c r="B532" s="32" t="s">
        <v>279</v>
      </c>
      <c r="C532" s="32" t="s">
        <v>133</v>
      </c>
      <c r="D532" s="32" t="s">
        <v>1428</v>
      </c>
      <c r="E532" s="32"/>
      <c r="F532" s="415">
        <f>F533</f>
        <v>0</v>
      </c>
      <c r="G532" s="415">
        <f>G533</f>
        <v>0</v>
      </c>
    </row>
    <row r="533" spans="1:7" ht="63" hidden="1" x14ac:dyDescent="0.25">
      <c r="A533" s="31" t="s">
        <v>287</v>
      </c>
      <c r="B533" s="32" t="s">
        <v>279</v>
      </c>
      <c r="C533" s="32" t="s">
        <v>133</v>
      </c>
      <c r="D533" s="32" t="s">
        <v>1428</v>
      </c>
      <c r="E533" s="32" t="s">
        <v>288</v>
      </c>
      <c r="F533" s="415">
        <f>F534</f>
        <v>0</v>
      </c>
      <c r="G533" s="415">
        <f>G534</f>
        <v>0</v>
      </c>
    </row>
    <row r="534" spans="1:7" ht="31.5" hidden="1" x14ac:dyDescent="0.25">
      <c r="A534" s="31" t="s">
        <v>289</v>
      </c>
      <c r="B534" s="32" t="s">
        <v>279</v>
      </c>
      <c r="C534" s="32" t="s">
        <v>133</v>
      </c>
      <c r="D534" s="32" t="s">
        <v>1428</v>
      </c>
      <c r="E534" s="32" t="s">
        <v>290</v>
      </c>
      <c r="F534" s="415">
        <f>'пр.6.1.ведом.21-22'!G600</f>
        <v>0</v>
      </c>
      <c r="G534" s="326">
        <f>'пр.6.1.ведом.21-22'!H600</f>
        <v>0</v>
      </c>
    </row>
    <row r="535" spans="1:7" ht="141.75" x14ac:dyDescent="0.25">
      <c r="A535" s="441" t="s">
        <v>1425</v>
      </c>
      <c r="B535" s="32" t="s">
        <v>279</v>
      </c>
      <c r="C535" s="32" t="s">
        <v>133</v>
      </c>
      <c r="D535" s="32" t="s">
        <v>1427</v>
      </c>
      <c r="E535" s="32"/>
      <c r="F535" s="415">
        <f>F536</f>
        <v>1666.6</v>
      </c>
      <c r="G535" s="415">
        <f>G536</f>
        <v>1666.6</v>
      </c>
    </row>
    <row r="536" spans="1:7" ht="63" x14ac:dyDescent="0.25">
      <c r="A536" s="31" t="s">
        <v>287</v>
      </c>
      <c r="B536" s="32" t="s">
        <v>279</v>
      </c>
      <c r="C536" s="32" t="s">
        <v>133</v>
      </c>
      <c r="D536" s="32" t="s">
        <v>1427</v>
      </c>
      <c r="E536" s="32" t="s">
        <v>288</v>
      </c>
      <c r="F536" s="415">
        <f>F537</f>
        <v>1666.6</v>
      </c>
      <c r="G536" s="415">
        <f>G537</f>
        <v>1666.6</v>
      </c>
    </row>
    <row r="537" spans="1:7" ht="31.5" x14ac:dyDescent="0.25">
      <c r="A537" s="31" t="s">
        <v>289</v>
      </c>
      <c r="B537" s="32" t="s">
        <v>279</v>
      </c>
      <c r="C537" s="32" t="s">
        <v>133</v>
      </c>
      <c r="D537" s="32" t="s">
        <v>1427</v>
      </c>
      <c r="E537" s="32" t="s">
        <v>290</v>
      </c>
      <c r="F537" s="415">
        <f>'пр.6.1.ведом.21-22'!G603</f>
        <v>1666.6</v>
      </c>
      <c r="G537" s="326">
        <f>'пр.6.1.ведом.21-22'!H603</f>
        <v>1666.6</v>
      </c>
    </row>
    <row r="538" spans="1:7" ht="94.5" hidden="1" x14ac:dyDescent="0.25">
      <c r="A538" s="34" t="s">
        <v>804</v>
      </c>
      <c r="B538" s="285" t="s">
        <v>279</v>
      </c>
      <c r="C538" s="285" t="s">
        <v>133</v>
      </c>
      <c r="D538" s="285" t="s">
        <v>339</v>
      </c>
      <c r="E538" s="285"/>
      <c r="F538" s="325">
        <f>F539</f>
        <v>0</v>
      </c>
      <c r="G538" s="325">
        <f>G539</f>
        <v>0</v>
      </c>
    </row>
    <row r="539" spans="1:7" ht="94.5" hidden="1" x14ac:dyDescent="0.25">
      <c r="A539" s="34" t="s">
        <v>1168</v>
      </c>
      <c r="B539" s="285" t="s">
        <v>279</v>
      </c>
      <c r="C539" s="285" t="s">
        <v>133</v>
      </c>
      <c r="D539" s="285" t="s">
        <v>1030</v>
      </c>
      <c r="E539" s="285"/>
      <c r="F539" s="325">
        <f>F540</f>
        <v>0</v>
      </c>
      <c r="G539" s="325">
        <f>G540</f>
        <v>0</v>
      </c>
    </row>
    <row r="540" spans="1:7" ht="78.75" hidden="1" x14ac:dyDescent="0.25">
      <c r="A540" s="31" t="s">
        <v>1167</v>
      </c>
      <c r="B540" s="32" t="s">
        <v>279</v>
      </c>
      <c r="C540" s="32" t="s">
        <v>133</v>
      </c>
      <c r="D540" s="32" t="s">
        <v>1031</v>
      </c>
      <c r="E540" s="32"/>
      <c r="F540" s="326">
        <f>'Пр.5 Рд,пр, ЦС,ВР 20'!F533</f>
        <v>0</v>
      </c>
      <c r="G540" s="326">
        <f t="shared" si="26"/>
        <v>0</v>
      </c>
    </row>
    <row r="541" spans="1:7" ht="63" hidden="1" x14ac:dyDescent="0.25">
      <c r="A541" s="31" t="s">
        <v>287</v>
      </c>
      <c r="B541" s="32" t="s">
        <v>279</v>
      </c>
      <c r="C541" s="32" t="s">
        <v>133</v>
      </c>
      <c r="D541" s="32" t="s">
        <v>1031</v>
      </c>
      <c r="E541" s="32" t="s">
        <v>288</v>
      </c>
      <c r="F541" s="326">
        <f>'Пр.5 Рд,пр, ЦС,ВР 20'!F534</f>
        <v>0</v>
      </c>
      <c r="G541" s="326">
        <f t="shared" si="26"/>
        <v>0</v>
      </c>
    </row>
    <row r="542" spans="1:7" ht="31.5" hidden="1" x14ac:dyDescent="0.25">
      <c r="A542" s="31" t="s">
        <v>289</v>
      </c>
      <c r="B542" s="32" t="s">
        <v>279</v>
      </c>
      <c r="C542" s="32" t="s">
        <v>133</v>
      </c>
      <c r="D542" s="32" t="s">
        <v>1031</v>
      </c>
      <c r="E542" s="32" t="s">
        <v>290</v>
      </c>
      <c r="F542" s="326">
        <f>'Пр.5 Рд,пр, ЦС,ВР 20'!F535</f>
        <v>0</v>
      </c>
      <c r="G542" s="326">
        <f t="shared" si="26"/>
        <v>0</v>
      </c>
    </row>
    <row r="543" spans="1:7" ht="78.75" x14ac:dyDescent="0.25">
      <c r="A543" s="58" t="s">
        <v>1452</v>
      </c>
      <c r="B543" s="285" t="s">
        <v>279</v>
      </c>
      <c r="C543" s="285" t="s">
        <v>133</v>
      </c>
      <c r="D543" s="285" t="s">
        <v>727</v>
      </c>
      <c r="E543" s="285"/>
      <c r="F543" s="325">
        <f>F544</f>
        <v>464.3</v>
      </c>
      <c r="G543" s="325">
        <f>G544</f>
        <v>464.3</v>
      </c>
    </row>
    <row r="544" spans="1:7" ht="78.75" x14ac:dyDescent="0.25">
      <c r="A544" s="58" t="s">
        <v>951</v>
      </c>
      <c r="B544" s="285" t="s">
        <v>279</v>
      </c>
      <c r="C544" s="285" t="s">
        <v>133</v>
      </c>
      <c r="D544" s="285" t="s">
        <v>949</v>
      </c>
      <c r="E544" s="285"/>
      <c r="F544" s="325">
        <f t="shared" ref="F544:G544" si="27">F545</f>
        <v>464.3</v>
      </c>
      <c r="G544" s="325">
        <f t="shared" si="27"/>
        <v>464.3</v>
      </c>
    </row>
    <row r="545" spans="1:7" ht="78.75" x14ac:dyDescent="0.25">
      <c r="A545" s="101" t="s">
        <v>802</v>
      </c>
      <c r="B545" s="32" t="s">
        <v>279</v>
      </c>
      <c r="C545" s="32" t="s">
        <v>133</v>
      </c>
      <c r="D545" s="32" t="s">
        <v>1032</v>
      </c>
      <c r="E545" s="32"/>
      <c r="F545" s="326">
        <f>'Пр.5 Рд,пр, ЦС,ВР 20'!F545</f>
        <v>464.3</v>
      </c>
      <c r="G545" s="326">
        <f t="shared" si="26"/>
        <v>464.3</v>
      </c>
    </row>
    <row r="546" spans="1:7" ht="63" x14ac:dyDescent="0.25">
      <c r="A546" s="45" t="s">
        <v>287</v>
      </c>
      <c r="B546" s="32" t="s">
        <v>279</v>
      </c>
      <c r="C546" s="32" t="s">
        <v>133</v>
      </c>
      <c r="D546" s="32" t="s">
        <v>1032</v>
      </c>
      <c r="E546" s="32" t="s">
        <v>288</v>
      </c>
      <c r="F546" s="326">
        <f>'Пр.5 Рд,пр, ЦС,ВР 20'!F546</f>
        <v>464.3</v>
      </c>
      <c r="G546" s="326">
        <f t="shared" si="26"/>
        <v>464.3</v>
      </c>
    </row>
    <row r="547" spans="1:7" ht="31.5" x14ac:dyDescent="0.25">
      <c r="A547" s="439" t="s">
        <v>289</v>
      </c>
      <c r="B547" s="32" t="s">
        <v>279</v>
      </c>
      <c r="C547" s="32" t="s">
        <v>133</v>
      </c>
      <c r="D547" s="32" t="s">
        <v>1032</v>
      </c>
      <c r="E547" s="32" t="s">
        <v>290</v>
      </c>
      <c r="F547" s="326">
        <f>'Пр.5 Рд,пр, ЦС,ВР 20'!F547</f>
        <v>464.3</v>
      </c>
      <c r="G547" s="326">
        <f t="shared" si="26"/>
        <v>464.3</v>
      </c>
    </row>
    <row r="548" spans="1:7" ht="15.75" x14ac:dyDescent="0.25">
      <c r="A548" s="58" t="s">
        <v>440</v>
      </c>
      <c r="B548" s="8" t="s">
        <v>279</v>
      </c>
      <c r="C548" s="8" t="s">
        <v>228</v>
      </c>
      <c r="D548" s="8"/>
      <c r="E548" s="8"/>
      <c r="F548" s="325">
        <f>F549+F616+F621</f>
        <v>190807.17999999996</v>
      </c>
      <c r="G548" s="325">
        <f>G549+G616+G621</f>
        <v>190815.67999999996</v>
      </c>
    </row>
    <row r="549" spans="1:7" ht="78.75" x14ac:dyDescent="0.25">
      <c r="A549" s="34" t="s">
        <v>1458</v>
      </c>
      <c r="B549" s="285" t="s">
        <v>279</v>
      </c>
      <c r="C549" s="285" t="s">
        <v>228</v>
      </c>
      <c r="D549" s="285" t="s">
        <v>421</v>
      </c>
      <c r="E549" s="285"/>
      <c r="F549" s="325">
        <f>F550+F577</f>
        <v>190083.87999999998</v>
      </c>
      <c r="G549" s="325">
        <f>G550+G577</f>
        <v>190092.37999999998</v>
      </c>
    </row>
    <row r="550" spans="1:7" ht="63" x14ac:dyDescent="0.25">
      <c r="A550" s="34" t="s">
        <v>422</v>
      </c>
      <c r="B550" s="285" t="s">
        <v>279</v>
      </c>
      <c r="C550" s="285" t="s">
        <v>228</v>
      </c>
      <c r="D550" s="285" t="s">
        <v>423</v>
      </c>
      <c r="E550" s="285"/>
      <c r="F550" s="325">
        <f>F551+F561</f>
        <v>181239.77999999997</v>
      </c>
      <c r="G550" s="325">
        <f>G551+G561</f>
        <v>181239.77999999997</v>
      </c>
    </row>
    <row r="551" spans="1:7" ht="63" x14ac:dyDescent="0.25">
      <c r="A551" s="34" t="s">
        <v>1033</v>
      </c>
      <c r="B551" s="285" t="s">
        <v>279</v>
      </c>
      <c r="C551" s="285" t="s">
        <v>228</v>
      </c>
      <c r="D551" s="285" t="s">
        <v>1011</v>
      </c>
      <c r="E551" s="285"/>
      <c r="F551" s="325">
        <f>F552+F555+F558</f>
        <v>28803</v>
      </c>
      <c r="G551" s="325">
        <f>G552+G555+G558</f>
        <v>28803</v>
      </c>
    </row>
    <row r="552" spans="1:7" ht="78.75" x14ac:dyDescent="0.25">
      <c r="A552" s="31" t="s">
        <v>1073</v>
      </c>
      <c r="B552" s="32" t="s">
        <v>279</v>
      </c>
      <c r="C552" s="32" t="s">
        <v>228</v>
      </c>
      <c r="D552" s="32" t="s">
        <v>1070</v>
      </c>
      <c r="E552" s="32"/>
      <c r="F552" s="326">
        <f>'Пр.5 Рд,пр, ЦС,ВР 20'!F552</f>
        <v>9775.4000000000015</v>
      </c>
      <c r="G552" s="326">
        <f t="shared" si="26"/>
        <v>9775.4000000000015</v>
      </c>
    </row>
    <row r="553" spans="1:7" ht="63" x14ac:dyDescent="0.25">
      <c r="A553" s="31" t="s">
        <v>287</v>
      </c>
      <c r="B553" s="32" t="s">
        <v>279</v>
      </c>
      <c r="C553" s="32" t="s">
        <v>228</v>
      </c>
      <c r="D553" s="32" t="s">
        <v>1070</v>
      </c>
      <c r="E553" s="32" t="s">
        <v>288</v>
      </c>
      <c r="F553" s="326">
        <f>'Пр.5 Рд,пр, ЦС,ВР 20'!F553</f>
        <v>9775.4000000000015</v>
      </c>
      <c r="G553" s="326">
        <f t="shared" si="26"/>
        <v>9775.4000000000015</v>
      </c>
    </row>
    <row r="554" spans="1:7" ht="31.5" x14ac:dyDescent="0.25">
      <c r="A554" s="31" t="s">
        <v>289</v>
      </c>
      <c r="B554" s="32" t="s">
        <v>279</v>
      </c>
      <c r="C554" s="32" t="s">
        <v>228</v>
      </c>
      <c r="D554" s="32" t="s">
        <v>1070</v>
      </c>
      <c r="E554" s="32" t="s">
        <v>290</v>
      </c>
      <c r="F554" s="326">
        <f>'Пр.5 Рд,пр, ЦС,ВР 20'!F554</f>
        <v>9775.4000000000015</v>
      </c>
      <c r="G554" s="326">
        <f t="shared" ref="G554:G615" si="28">F554</f>
        <v>9775.4000000000015</v>
      </c>
    </row>
    <row r="555" spans="1:7" ht="78.75" x14ac:dyDescent="0.25">
      <c r="A555" s="31" t="s">
        <v>1074</v>
      </c>
      <c r="B555" s="32" t="s">
        <v>279</v>
      </c>
      <c r="C555" s="32" t="s">
        <v>228</v>
      </c>
      <c r="D555" s="32" t="s">
        <v>1071</v>
      </c>
      <c r="E555" s="32"/>
      <c r="F555" s="326">
        <f>'Пр.5 Рд,пр, ЦС,ВР 20'!F555</f>
        <v>12351.7</v>
      </c>
      <c r="G555" s="326">
        <f t="shared" si="28"/>
        <v>12351.7</v>
      </c>
    </row>
    <row r="556" spans="1:7" ht="63" x14ac:dyDescent="0.25">
      <c r="A556" s="31" t="s">
        <v>287</v>
      </c>
      <c r="B556" s="32" t="s">
        <v>279</v>
      </c>
      <c r="C556" s="32" t="s">
        <v>228</v>
      </c>
      <c r="D556" s="32" t="s">
        <v>1071</v>
      </c>
      <c r="E556" s="32" t="s">
        <v>288</v>
      </c>
      <c r="F556" s="326">
        <f>'Пр.5 Рд,пр, ЦС,ВР 20'!F556</f>
        <v>12351.7</v>
      </c>
      <c r="G556" s="326">
        <f t="shared" si="28"/>
        <v>12351.7</v>
      </c>
    </row>
    <row r="557" spans="1:7" ht="31.5" x14ac:dyDescent="0.25">
      <c r="A557" s="31" t="s">
        <v>289</v>
      </c>
      <c r="B557" s="32" t="s">
        <v>279</v>
      </c>
      <c r="C557" s="32" t="s">
        <v>228</v>
      </c>
      <c r="D557" s="32" t="s">
        <v>1071</v>
      </c>
      <c r="E557" s="32" t="s">
        <v>290</v>
      </c>
      <c r="F557" s="326">
        <f>'Пр.5 Рд,пр, ЦС,ВР 20'!F557</f>
        <v>12351.7</v>
      </c>
      <c r="G557" s="326">
        <f t="shared" si="28"/>
        <v>12351.7</v>
      </c>
    </row>
    <row r="558" spans="1:7" ht="78.75" x14ac:dyDescent="0.25">
      <c r="A558" s="31" t="s">
        <v>1075</v>
      </c>
      <c r="B558" s="32" t="s">
        <v>279</v>
      </c>
      <c r="C558" s="32" t="s">
        <v>228</v>
      </c>
      <c r="D558" s="32" t="s">
        <v>1072</v>
      </c>
      <c r="E558" s="32"/>
      <c r="F558" s="326">
        <f>'Пр.5 Рд,пр, ЦС,ВР 20'!F558</f>
        <v>6675.9</v>
      </c>
      <c r="G558" s="326">
        <f t="shared" si="28"/>
        <v>6675.9</v>
      </c>
    </row>
    <row r="559" spans="1:7" ht="63" x14ac:dyDescent="0.25">
      <c r="A559" s="31" t="s">
        <v>287</v>
      </c>
      <c r="B559" s="32" t="s">
        <v>279</v>
      </c>
      <c r="C559" s="32" t="s">
        <v>228</v>
      </c>
      <c r="D559" s="32" t="s">
        <v>1072</v>
      </c>
      <c r="E559" s="32" t="s">
        <v>288</v>
      </c>
      <c r="F559" s="326">
        <f>'Пр.5 Рд,пр, ЦС,ВР 20'!F559</f>
        <v>6675.9</v>
      </c>
      <c r="G559" s="326">
        <f t="shared" si="28"/>
        <v>6675.9</v>
      </c>
    </row>
    <row r="560" spans="1:7" ht="31.5" x14ac:dyDescent="0.25">
      <c r="A560" s="31" t="s">
        <v>289</v>
      </c>
      <c r="B560" s="32" t="s">
        <v>279</v>
      </c>
      <c r="C560" s="32" t="s">
        <v>228</v>
      </c>
      <c r="D560" s="32" t="s">
        <v>1072</v>
      </c>
      <c r="E560" s="32" t="s">
        <v>290</v>
      </c>
      <c r="F560" s="326">
        <f>'Пр.5 Рд,пр, ЦС,ВР 20'!F560</f>
        <v>6675.9</v>
      </c>
      <c r="G560" s="326">
        <f t="shared" si="28"/>
        <v>6675.9</v>
      </c>
    </row>
    <row r="561" spans="1:7" ht="54" customHeight="1" x14ac:dyDescent="0.25">
      <c r="A561" s="34" t="s">
        <v>973</v>
      </c>
      <c r="B561" s="285" t="s">
        <v>279</v>
      </c>
      <c r="C561" s="285" t="s">
        <v>228</v>
      </c>
      <c r="D561" s="285" t="s">
        <v>1026</v>
      </c>
      <c r="E561" s="285"/>
      <c r="F561" s="325">
        <f>F562+F565+F568+F571+F574</f>
        <v>152436.77999999997</v>
      </c>
      <c r="G561" s="325">
        <f>G562+G565+G568+G571+G574</f>
        <v>152436.77999999997</v>
      </c>
    </row>
    <row r="562" spans="1:7" ht="126" x14ac:dyDescent="0.25">
      <c r="A562" s="31" t="s">
        <v>475</v>
      </c>
      <c r="B562" s="32" t="s">
        <v>279</v>
      </c>
      <c r="C562" s="32" t="s">
        <v>228</v>
      </c>
      <c r="D562" s="32" t="s">
        <v>1054</v>
      </c>
      <c r="E562" s="32"/>
      <c r="F562" s="326">
        <f>'Пр.5 Рд,пр, ЦС,ВР 20'!F562</f>
        <v>143160</v>
      </c>
      <c r="G562" s="326">
        <f t="shared" si="28"/>
        <v>143160</v>
      </c>
    </row>
    <row r="563" spans="1:7" ht="63" x14ac:dyDescent="0.25">
      <c r="A563" s="31" t="s">
        <v>287</v>
      </c>
      <c r="B563" s="32" t="s">
        <v>279</v>
      </c>
      <c r="C563" s="32" t="s">
        <v>228</v>
      </c>
      <c r="D563" s="32" t="s">
        <v>1054</v>
      </c>
      <c r="E563" s="32" t="s">
        <v>288</v>
      </c>
      <c r="F563" s="326">
        <f>'Пр.5 Рд,пр, ЦС,ВР 20'!F563</f>
        <v>143160</v>
      </c>
      <c r="G563" s="326">
        <f t="shared" si="28"/>
        <v>143160</v>
      </c>
    </row>
    <row r="564" spans="1:7" ht="31.5" x14ac:dyDescent="0.25">
      <c r="A564" s="31" t="s">
        <v>289</v>
      </c>
      <c r="B564" s="32" t="s">
        <v>279</v>
      </c>
      <c r="C564" s="32" t="s">
        <v>228</v>
      </c>
      <c r="D564" s="32" t="s">
        <v>1054</v>
      </c>
      <c r="E564" s="32" t="s">
        <v>290</v>
      </c>
      <c r="F564" s="326">
        <f>'Пр.5 Рд,пр, ЦС,ВР 20'!F564</f>
        <v>143160</v>
      </c>
      <c r="G564" s="326">
        <f t="shared" si="28"/>
        <v>143160</v>
      </c>
    </row>
    <row r="565" spans="1:7" ht="110.25" x14ac:dyDescent="0.25">
      <c r="A565" s="31" t="s">
        <v>304</v>
      </c>
      <c r="B565" s="32" t="s">
        <v>279</v>
      </c>
      <c r="C565" s="32" t="s">
        <v>228</v>
      </c>
      <c r="D565" s="32" t="s">
        <v>1025</v>
      </c>
      <c r="E565" s="32"/>
      <c r="F565" s="326">
        <f>'Пр.5 Рд,пр, ЦС,ВР 20'!F565</f>
        <v>1245.6099999999999</v>
      </c>
      <c r="G565" s="326">
        <f t="shared" si="28"/>
        <v>1245.6099999999999</v>
      </c>
    </row>
    <row r="566" spans="1:7" ht="63" x14ac:dyDescent="0.25">
      <c r="A566" s="31" t="s">
        <v>287</v>
      </c>
      <c r="B566" s="32" t="s">
        <v>279</v>
      </c>
      <c r="C566" s="32" t="s">
        <v>228</v>
      </c>
      <c r="D566" s="32" t="s">
        <v>1025</v>
      </c>
      <c r="E566" s="32" t="s">
        <v>288</v>
      </c>
      <c r="F566" s="326">
        <f>'Пр.5 Рд,пр, ЦС,ВР 20'!F566</f>
        <v>1245.6099999999999</v>
      </c>
      <c r="G566" s="326">
        <f t="shared" si="28"/>
        <v>1245.6099999999999</v>
      </c>
    </row>
    <row r="567" spans="1:7" ht="31.5" x14ac:dyDescent="0.25">
      <c r="A567" s="31" t="s">
        <v>289</v>
      </c>
      <c r="B567" s="32" t="s">
        <v>279</v>
      </c>
      <c r="C567" s="32" t="s">
        <v>228</v>
      </c>
      <c r="D567" s="32" t="s">
        <v>1025</v>
      </c>
      <c r="E567" s="32" t="s">
        <v>290</v>
      </c>
      <c r="F567" s="326">
        <f>'Пр.5 Рд,пр, ЦС,ВР 20'!F567</f>
        <v>1245.6099999999999</v>
      </c>
      <c r="G567" s="326">
        <f t="shared" si="28"/>
        <v>1245.6099999999999</v>
      </c>
    </row>
    <row r="568" spans="1:7" ht="94.5" x14ac:dyDescent="0.25">
      <c r="A568" s="31" t="s">
        <v>306</v>
      </c>
      <c r="B568" s="32" t="s">
        <v>279</v>
      </c>
      <c r="C568" s="32" t="s">
        <v>228</v>
      </c>
      <c r="D568" s="32" t="s">
        <v>1028</v>
      </c>
      <c r="E568" s="32"/>
      <c r="F568" s="326">
        <f>'Пр.5 Рд,пр, ЦС,ВР 20'!F568</f>
        <v>2266.7199999999998</v>
      </c>
      <c r="G568" s="326">
        <f t="shared" si="28"/>
        <v>2266.7199999999998</v>
      </c>
    </row>
    <row r="569" spans="1:7" ht="63" x14ac:dyDescent="0.25">
      <c r="A569" s="31" t="s">
        <v>287</v>
      </c>
      <c r="B569" s="32" t="s">
        <v>279</v>
      </c>
      <c r="C569" s="32" t="s">
        <v>228</v>
      </c>
      <c r="D569" s="32" t="s">
        <v>1028</v>
      </c>
      <c r="E569" s="32" t="s">
        <v>288</v>
      </c>
      <c r="F569" s="326">
        <f>'Пр.5 Рд,пр, ЦС,ВР 20'!F569</f>
        <v>2266.7199999999998</v>
      </c>
      <c r="G569" s="326">
        <f t="shared" si="28"/>
        <v>2266.7199999999998</v>
      </c>
    </row>
    <row r="570" spans="1:7" ht="31.5" x14ac:dyDescent="0.25">
      <c r="A570" s="31" t="s">
        <v>289</v>
      </c>
      <c r="B570" s="32" t="s">
        <v>279</v>
      </c>
      <c r="C570" s="32" t="s">
        <v>228</v>
      </c>
      <c r="D570" s="32" t="s">
        <v>1028</v>
      </c>
      <c r="E570" s="32" t="s">
        <v>290</v>
      </c>
      <c r="F570" s="326">
        <f>'Пр.5 Рд,пр, ЦС,ВР 20'!F570</f>
        <v>2266.7199999999998</v>
      </c>
      <c r="G570" s="326">
        <f t="shared" si="28"/>
        <v>2266.7199999999998</v>
      </c>
    </row>
    <row r="571" spans="1:7" ht="78.75" x14ac:dyDescent="0.25">
      <c r="A571" s="31" t="s">
        <v>477</v>
      </c>
      <c r="B571" s="32" t="s">
        <v>279</v>
      </c>
      <c r="C571" s="32" t="s">
        <v>228</v>
      </c>
      <c r="D571" s="32" t="s">
        <v>1055</v>
      </c>
      <c r="E571" s="32"/>
      <c r="F571" s="326">
        <f>'Пр.5 Рд,пр, ЦС,ВР 20'!F571</f>
        <v>923.4</v>
      </c>
      <c r="G571" s="326">
        <f t="shared" si="28"/>
        <v>923.4</v>
      </c>
    </row>
    <row r="572" spans="1:7" ht="63" x14ac:dyDescent="0.25">
      <c r="A572" s="31" t="s">
        <v>287</v>
      </c>
      <c r="B572" s="32" t="s">
        <v>279</v>
      </c>
      <c r="C572" s="32" t="s">
        <v>228</v>
      </c>
      <c r="D572" s="32" t="s">
        <v>1055</v>
      </c>
      <c r="E572" s="32" t="s">
        <v>288</v>
      </c>
      <c r="F572" s="326">
        <f>'Пр.5 Рд,пр, ЦС,ВР 20'!F572</f>
        <v>923.4</v>
      </c>
      <c r="G572" s="326">
        <f t="shared" si="28"/>
        <v>923.4</v>
      </c>
    </row>
    <row r="573" spans="1:7" ht="31.5" x14ac:dyDescent="0.25">
      <c r="A573" s="31" t="s">
        <v>289</v>
      </c>
      <c r="B573" s="32" t="s">
        <v>279</v>
      </c>
      <c r="C573" s="32" t="s">
        <v>228</v>
      </c>
      <c r="D573" s="32" t="s">
        <v>1055</v>
      </c>
      <c r="E573" s="32" t="s">
        <v>290</v>
      </c>
      <c r="F573" s="326">
        <f>'Пр.5 Рд,пр, ЦС,ВР 20'!F573</f>
        <v>923.4</v>
      </c>
      <c r="G573" s="326">
        <f t="shared" si="28"/>
        <v>923.4</v>
      </c>
    </row>
    <row r="574" spans="1:7" ht="157.5" x14ac:dyDescent="0.25">
      <c r="A574" s="31" t="s">
        <v>479</v>
      </c>
      <c r="B574" s="32" t="s">
        <v>279</v>
      </c>
      <c r="C574" s="32" t="s">
        <v>228</v>
      </c>
      <c r="D574" s="32" t="s">
        <v>1029</v>
      </c>
      <c r="E574" s="32"/>
      <c r="F574" s="326">
        <f>'Пр.5 Рд,пр, ЦС,ВР 20'!F574</f>
        <v>4841.0499999999993</v>
      </c>
      <c r="G574" s="326">
        <f t="shared" si="28"/>
        <v>4841.0499999999993</v>
      </c>
    </row>
    <row r="575" spans="1:7" ht="63" x14ac:dyDescent="0.25">
      <c r="A575" s="31" t="s">
        <v>287</v>
      </c>
      <c r="B575" s="32" t="s">
        <v>279</v>
      </c>
      <c r="C575" s="32" t="s">
        <v>228</v>
      </c>
      <c r="D575" s="32" t="s">
        <v>1029</v>
      </c>
      <c r="E575" s="32" t="s">
        <v>288</v>
      </c>
      <c r="F575" s="326">
        <f>'Пр.5 Рд,пр, ЦС,ВР 20'!F575</f>
        <v>4841.0499999999993</v>
      </c>
      <c r="G575" s="326">
        <f t="shared" si="28"/>
        <v>4841.0499999999993</v>
      </c>
    </row>
    <row r="576" spans="1:7" ht="31.5" x14ac:dyDescent="0.25">
      <c r="A576" s="31" t="s">
        <v>289</v>
      </c>
      <c r="B576" s="32" t="s">
        <v>279</v>
      </c>
      <c r="C576" s="32" t="s">
        <v>228</v>
      </c>
      <c r="D576" s="32" t="s">
        <v>1029</v>
      </c>
      <c r="E576" s="32" t="s">
        <v>290</v>
      </c>
      <c r="F576" s="326">
        <f>'Пр.5 Рд,пр, ЦС,ВР 20'!F576</f>
        <v>4841.0499999999993</v>
      </c>
      <c r="G576" s="326">
        <f t="shared" si="28"/>
        <v>4841.0499999999993</v>
      </c>
    </row>
    <row r="577" spans="1:7" ht="63" x14ac:dyDescent="0.25">
      <c r="A577" s="442" t="s">
        <v>445</v>
      </c>
      <c r="B577" s="285" t="s">
        <v>279</v>
      </c>
      <c r="C577" s="285" t="s">
        <v>228</v>
      </c>
      <c r="D577" s="285" t="s">
        <v>446</v>
      </c>
      <c r="E577" s="285"/>
      <c r="F577" s="325">
        <f>F578+F591+F598+F605+F612</f>
        <v>8844.0999999999985</v>
      </c>
      <c r="G577" s="325">
        <f>G578+G591+G598+G605+G612</f>
        <v>8852.5999999999985</v>
      </c>
    </row>
    <row r="578" spans="1:7" ht="47.25" x14ac:dyDescent="0.25">
      <c r="A578" s="34" t="s">
        <v>1279</v>
      </c>
      <c r="B578" s="285" t="s">
        <v>279</v>
      </c>
      <c r="C578" s="285" t="s">
        <v>228</v>
      </c>
      <c r="D578" s="285" t="s">
        <v>1035</v>
      </c>
      <c r="E578" s="285"/>
      <c r="F578" s="325">
        <f>F579+F582+F585+F588</f>
        <v>224</v>
      </c>
      <c r="G578" s="325">
        <f>G579+G582+G585+G588</f>
        <v>224</v>
      </c>
    </row>
    <row r="579" spans="1:7" ht="63" hidden="1" x14ac:dyDescent="0.25">
      <c r="A579" s="31" t="s">
        <v>455</v>
      </c>
      <c r="B579" s="32" t="s">
        <v>279</v>
      </c>
      <c r="C579" s="32" t="s">
        <v>228</v>
      </c>
      <c r="D579" s="32" t="s">
        <v>1039</v>
      </c>
      <c r="E579" s="32"/>
      <c r="F579" s="326">
        <f>'Пр.5 Рд,пр, ЦС,ВР 20'!F579</f>
        <v>0</v>
      </c>
      <c r="G579" s="326">
        <f t="shared" si="28"/>
        <v>0</v>
      </c>
    </row>
    <row r="580" spans="1:7" ht="63" hidden="1" x14ac:dyDescent="0.25">
      <c r="A580" s="31" t="s">
        <v>287</v>
      </c>
      <c r="B580" s="32" t="s">
        <v>279</v>
      </c>
      <c r="C580" s="32" t="s">
        <v>228</v>
      </c>
      <c r="D580" s="32" t="s">
        <v>1039</v>
      </c>
      <c r="E580" s="32" t="s">
        <v>288</v>
      </c>
      <c r="F580" s="326">
        <f>'Пр.5 Рд,пр, ЦС,ВР 20'!F580</f>
        <v>0</v>
      </c>
      <c r="G580" s="326">
        <f t="shared" si="28"/>
        <v>0</v>
      </c>
    </row>
    <row r="581" spans="1:7" ht="31.5" hidden="1" x14ac:dyDescent="0.25">
      <c r="A581" s="31" t="s">
        <v>289</v>
      </c>
      <c r="B581" s="32" t="s">
        <v>279</v>
      </c>
      <c r="C581" s="32" t="s">
        <v>228</v>
      </c>
      <c r="D581" s="32" t="s">
        <v>1039</v>
      </c>
      <c r="E581" s="32" t="s">
        <v>290</v>
      </c>
      <c r="F581" s="326">
        <f>'Пр.5 Рд,пр, ЦС,ВР 20'!F581</f>
        <v>0</v>
      </c>
      <c r="G581" s="326">
        <f t="shared" si="28"/>
        <v>0</v>
      </c>
    </row>
    <row r="582" spans="1:7" ht="63" hidden="1" x14ac:dyDescent="0.25">
      <c r="A582" s="31" t="s">
        <v>293</v>
      </c>
      <c r="B582" s="32" t="s">
        <v>279</v>
      </c>
      <c r="C582" s="32" t="s">
        <v>228</v>
      </c>
      <c r="D582" s="32" t="s">
        <v>1040</v>
      </c>
      <c r="E582" s="32"/>
      <c r="F582" s="326">
        <f>'Пр.5 Рд,пр, ЦС,ВР 20'!F582</f>
        <v>0</v>
      </c>
      <c r="G582" s="326">
        <f t="shared" si="28"/>
        <v>0</v>
      </c>
    </row>
    <row r="583" spans="1:7" ht="63" hidden="1" x14ac:dyDescent="0.25">
      <c r="A583" s="31" t="s">
        <v>287</v>
      </c>
      <c r="B583" s="32" t="s">
        <v>279</v>
      </c>
      <c r="C583" s="32" t="s">
        <v>228</v>
      </c>
      <c r="D583" s="32" t="s">
        <v>1040</v>
      </c>
      <c r="E583" s="32" t="s">
        <v>288</v>
      </c>
      <c r="F583" s="326">
        <f>'Пр.5 Рд,пр, ЦС,ВР 20'!F583</f>
        <v>0</v>
      </c>
      <c r="G583" s="326">
        <f t="shared" si="28"/>
        <v>0</v>
      </c>
    </row>
    <row r="584" spans="1:7" ht="31.5" hidden="1" x14ac:dyDescent="0.25">
      <c r="A584" s="31" t="s">
        <v>289</v>
      </c>
      <c r="B584" s="32" t="s">
        <v>279</v>
      </c>
      <c r="C584" s="32" t="s">
        <v>228</v>
      </c>
      <c r="D584" s="32" t="s">
        <v>1040</v>
      </c>
      <c r="E584" s="32" t="s">
        <v>290</v>
      </c>
      <c r="F584" s="326">
        <f>'Пр.5 Рд,пр, ЦС,ВР 20'!F584</f>
        <v>0</v>
      </c>
      <c r="G584" s="326">
        <f t="shared" si="28"/>
        <v>0</v>
      </c>
    </row>
    <row r="585" spans="1:7" ht="47.25" hidden="1" x14ac:dyDescent="0.25">
      <c r="A585" s="31" t="s">
        <v>295</v>
      </c>
      <c r="B585" s="32" t="s">
        <v>279</v>
      </c>
      <c r="C585" s="32" t="s">
        <v>228</v>
      </c>
      <c r="D585" s="32" t="s">
        <v>1041</v>
      </c>
      <c r="E585" s="32"/>
      <c r="F585" s="326">
        <f>'Пр.5 Рд,пр, ЦС,ВР 20'!F585</f>
        <v>0</v>
      </c>
      <c r="G585" s="326">
        <f t="shared" si="28"/>
        <v>0</v>
      </c>
    </row>
    <row r="586" spans="1:7" ht="63" hidden="1" x14ac:dyDescent="0.25">
      <c r="A586" s="31" t="s">
        <v>287</v>
      </c>
      <c r="B586" s="32" t="s">
        <v>279</v>
      </c>
      <c r="C586" s="32" t="s">
        <v>228</v>
      </c>
      <c r="D586" s="32" t="s">
        <v>1041</v>
      </c>
      <c r="E586" s="32" t="s">
        <v>288</v>
      </c>
      <c r="F586" s="326">
        <f>'Пр.5 Рд,пр, ЦС,ВР 20'!F586</f>
        <v>0</v>
      </c>
      <c r="G586" s="326">
        <f t="shared" si="28"/>
        <v>0</v>
      </c>
    </row>
    <row r="587" spans="1:7" ht="31.5" hidden="1" x14ac:dyDescent="0.25">
      <c r="A587" s="31" t="s">
        <v>289</v>
      </c>
      <c r="B587" s="32" t="s">
        <v>279</v>
      </c>
      <c r="C587" s="32" t="s">
        <v>228</v>
      </c>
      <c r="D587" s="32" t="s">
        <v>1041</v>
      </c>
      <c r="E587" s="32" t="s">
        <v>290</v>
      </c>
      <c r="F587" s="326">
        <f>'Пр.5 Рд,пр, ЦС,ВР 20'!F587</f>
        <v>0</v>
      </c>
      <c r="G587" s="326">
        <f t="shared" si="28"/>
        <v>0</v>
      </c>
    </row>
    <row r="588" spans="1:7" ht="47.25" x14ac:dyDescent="0.25">
      <c r="A588" s="31" t="s">
        <v>297</v>
      </c>
      <c r="B588" s="32" t="s">
        <v>279</v>
      </c>
      <c r="C588" s="32" t="s">
        <v>228</v>
      </c>
      <c r="D588" s="32" t="s">
        <v>1042</v>
      </c>
      <c r="E588" s="32"/>
      <c r="F588" s="326">
        <f>'Пр.5 Рд,пр, ЦС,ВР 20'!F588</f>
        <v>224</v>
      </c>
      <c r="G588" s="326">
        <f t="shared" si="28"/>
        <v>224</v>
      </c>
    </row>
    <row r="589" spans="1:7" ht="63" x14ac:dyDescent="0.25">
      <c r="A589" s="31" t="s">
        <v>287</v>
      </c>
      <c r="B589" s="32" t="s">
        <v>279</v>
      </c>
      <c r="C589" s="32" t="s">
        <v>228</v>
      </c>
      <c r="D589" s="32" t="s">
        <v>1042</v>
      </c>
      <c r="E589" s="32" t="s">
        <v>288</v>
      </c>
      <c r="F589" s="326">
        <f>'Пр.5 Рд,пр, ЦС,ВР 20'!F589</f>
        <v>224</v>
      </c>
      <c r="G589" s="326">
        <f t="shared" si="28"/>
        <v>224</v>
      </c>
    </row>
    <row r="590" spans="1:7" ht="31.5" x14ac:dyDescent="0.25">
      <c r="A590" s="31" t="s">
        <v>289</v>
      </c>
      <c r="B590" s="32" t="s">
        <v>279</v>
      </c>
      <c r="C590" s="32" t="s">
        <v>228</v>
      </c>
      <c r="D590" s="32" t="s">
        <v>1042</v>
      </c>
      <c r="E590" s="32" t="s">
        <v>290</v>
      </c>
      <c r="F590" s="326">
        <f>'Пр.5 Рд,пр, ЦС,ВР 20'!F590</f>
        <v>224</v>
      </c>
      <c r="G590" s="326">
        <f t="shared" si="28"/>
        <v>224</v>
      </c>
    </row>
    <row r="591" spans="1:7" ht="47.25" x14ac:dyDescent="0.25">
      <c r="A591" s="34" t="s">
        <v>1036</v>
      </c>
      <c r="B591" s="285" t="s">
        <v>279</v>
      </c>
      <c r="C591" s="285" t="s">
        <v>228</v>
      </c>
      <c r="D591" s="285" t="s">
        <v>1037</v>
      </c>
      <c r="E591" s="285"/>
      <c r="F591" s="325">
        <f>F592+F595</f>
        <v>3943.4</v>
      </c>
      <c r="G591" s="325">
        <f>G592+G595</f>
        <v>3951.9</v>
      </c>
    </row>
    <row r="592" spans="1:7" ht="53.25" customHeight="1" x14ac:dyDescent="0.25">
      <c r="A592" s="31" t="s">
        <v>451</v>
      </c>
      <c r="B592" s="32" t="s">
        <v>279</v>
      </c>
      <c r="C592" s="32" t="s">
        <v>228</v>
      </c>
      <c r="D592" s="32" t="s">
        <v>1043</v>
      </c>
      <c r="E592" s="32"/>
      <c r="F592" s="326">
        <f>'Пр.5 Рд,пр, ЦС,ВР 20'!F592</f>
        <v>2200</v>
      </c>
      <c r="G592" s="326">
        <f t="shared" si="28"/>
        <v>2200</v>
      </c>
    </row>
    <row r="593" spans="1:7" ht="63" x14ac:dyDescent="0.25">
      <c r="A593" s="31" t="s">
        <v>287</v>
      </c>
      <c r="B593" s="32" t="s">
        <v>279</v>
      </c>
      <c r="C593" s="32" t="s">
        <v>228</v>
      </c>
      <c r="D593" s="32" t="s">
        <v>1043</v>
      </c>
      <c r="E593" s="32" t="s">
        <v>288</v>
      </c>
      <c r="F593" s="326">
        <f>'Пр.5 Рд,пр, ЦС,ВР 20'!F593</f>
        <v>2200</v>
      </c>
      <c r="G593" s="326">
        <f t="shared" si="28"/>
        <v>2200</v>
      </c>
    </row>
    <row r="594" spans="1:7" ht="31.5" x14ac:dyDescent="0.25">
      <c r="A594" s="31" t="s">
        <v>289</v>
      </c>
      <c r="B594" s="32" t="s">
        <v>279</v>
      </c>
      <c r="C594" s="32" t="s">
        <v>228</v>
      </c>
      <c r="D594" s="32" t="s">
        <v>1043</v>
      </c>
      <c r="E594" s="32" t="s">
        <v>290</v>
      </c>
      <c r="F594" s="326">
        <f>'Пр.5 Рд,пр, ЦС,ВР 20'!F594</f>
        <v>2200</v>
      </c>
      <c r="G594" s="326">
        <f t="shared" si="28"/>
        <v>2200</v>
      </c>
    </row>
    <row r="595" spans="1:7" ht="47.25" x14ac:dyDescent="0.25">
      <c r="A595" s="31" t="s">
        <v>471</v>
      </c>
      <c r="B595" s="32" t="s">
        <v>279</v>
      </c>
      <c r="C595" s="32" t="s">
        <v>228</v>
      </c>
      <c r="D595" s="32" t="s">
        <v>1044</v>
      </c>
      <c r="E595" s="32"/>
      <c r="F595" s="326">
        <f>F596</f>
        <v>1743.4</v>
      </c>
      <c r="G595" s="326">
        <f>G596</f>
        <v>1751.9</v>
      </c>
    </row>
    <row r="596" spans="1:7" ht="63" x14ac:dyDescent="0.25">
      <c r="A596" s="31" t="s">
        <v>287</v>
      </c>
      <c r="B596" s="32" t="s">
        <v>279</v>
      </c>
      <c r="C596" s="32" t="s">
        <v>228</v>
      </c>
      <c r="D596" s="32" t="s">
        <v>1044</v>
      </c>
      <c r="E596" s="32" t="s">
        <v>288</v>
      </c>
      <c r="F596" s="326">
        <f>F597</f>
        <v>1743.4</v>
      </c>
      <c r="G596" s="326">
        <f>G597</f>
        <v>1751.9</v>
      </c>
    </row>
    <row r="597" spans="1:7" ht="31.5" x14ac:dyDescent="0.25">
      <c r="A597" s="31" t="s">
        <v>289</v>
      </c>
      <c r="B597" s="32" t="s">
        <v>279</v>
      </c>
      <c r="C597" s="32" t="s">
        <v>228</v>
      </c>
      <c r="D597" s="32" t="s">
        <v>1044</v>
      </c>
      <c r="E597" s="32" t="s">
        <v>290</v>
      </c>
      <c r="F597" s="326">
        <f>'пр.6.1.ведом.21-22'!G658</f>
        <v>1743.4</v>
      </c>
      <c r="G597" s="326">
        <f>'пр.6.1.ведом.21-22'!H658</f>
        <v>1751.9</v>
      </c>
    </row>
    <row r="598" spans="1:7" ht="47.25" x14ac:dyDescent="0.25">
      <c r="A598" s="34" t="s">
        <v>1038</v>
      </c>
      <c r="B598" s="285" t="s">
        <v>279</v>
      </c>
      <c r="C598" s="285" t="s">
        <v>228</v>
      </c>
      <c r="D598" s="285" t="s">
        <v>1045</v>
      </c>
      <c r="E598" s="285"/>
      <c r="F598" s="325">
        <f>F599+F602</f>
        <v>1364.7</v>
      </c>
      <c r="G598" s="325">
        <f>G599+G602</f>
        <v>1364.7</v>
      </c>
    </row>
    <row r="599" spans="1:7" ht="94.5" x14ac:dyDescent="0.25">
      <c r="A599" s="31" t="s">
        <v>453</v>
      </c>
      <c r="B599" s="32" t="s">
        <v>279</v>
      </c>
      <c r="C599" s="32" t="s">
        <v>228</v>
      </c>
      <c r="D599" s="32" t="s">
        <v>1046</v>
      </c>
      <c r="E599" s="32"/>
      <c r="F599" s="326">
        <f>'Пр.5 Рд,пр, ЦС,ВР 20'!F599</f>
        <v>868</v>
      </c>
      <c r="G599" s="326">
        <f t="shared" si="28"/>
        <v>868</v>
      </c>
    </row>
    <row r="600" spans="1:7" ht="63" x14ac:dyDescent="0.25">
      <c r="A600" s="31" t="s">
        <v>287</v>
      </c>
      <c r="B600" s="32" t="s">
        <v>279</v>
      </c>
      <c r="C600" s="32" t="s">
        <v>228</v>
      </c>
      <c r="D600" s="32" t="s">
        <v>1046</v>
      </c>
      <c r="E600" s="32" t="s">
        <v>288</v>
      </c>
      <c r="F600" s="326">
        <f>'Пр.5 Рд,пр, ЦС,ВР 20'!F600</f>
        <v>868</v>
      </c>
      <c r="G600" s="326">
        <f t="shared" si="28"/>
        <v>868</v>
      </c>
    </row>
    <row r="601" spans="1:7" ht="31.5" x14ac:dyDescent="0.25">
      <c r="A601" s="31" t="s">
        <v>289</v>
      </c>
      <c r="B601" s="32" t="s">
        <v>279</v>
      </c>
      <c r="C601" s="32" t="s">
        <v>228</v>
      </c>
      <c r="D601" s="32" t="s">
        <v>1046</v>
      </c>
      <c r="E601" s="32" t="s">
        <v>290</v>
      </c>
      <c r="F601" s="326">
        <f>'Пр.5 Рд,пр, ЦС,ВР 20'!F601</f>
        <v>868</v>
      </c>
      <c r="G601" s="326">
        <f t="shared" si="28"/>
        <v>868</v>
      </c>
    </row>
    <row r="602" spans="1:7" ht="78.75" x14ac:dyDescent="0.25">
      <c r="A602" s="31" t="s">
        <v>473</v>
      </c>
      <c r="B602" s="32" t="s">
        <v>279</v>
      </c>
      <c r="C602" s="32" t="s">
        <v>228</v>
      </c>
      <c r="D602" s="32" t="s">
        <v>1047</v>
      </c>
      <c r="E602" s="32"/>
      <c r="F602" s="326">
        <f>'Пр.5 Рд,пр, ЦС,ВР 20'!F602</f>
        <v>496.7</v>
      </c>
      <c r="G602" s="326">
        <f t="shared" si="28"/>
        <v>496.7</v>
      </c>
    </row>
    <row r="603" spans="1:7" ht="63" x14ac:dyDescent="0.25">
      <c r="A603" s="443" t="s">
        <v>287</v>
      </c>
      <c r="B603" s="32" t="s">
        <v>279</v>
      </c>
      <c r="C603" s="32" t="s">
        <v>228</v>
      </c>
      <c r="D603" s="32" t="s">
        <v>1047</v>
      </c>
      <c r="E603" s="32" t="s">
        <v>288</v>
      </c>
      <c r="F603" s="326">
        <f>'Пр.5 Рд,пр, ЦС,ВР 20'!F603</f>
        <v>496.7</v>
      </c>
      <c r="G603" s="326">
        <f t="shared" si="28"/>
        <v>496.7</v>
      </c>
    </row>
    <row r="604" spans="1:7" ht="31.5" x14ac:dyDescent="0.25">
      <c r="A604" s="31" t="s">
        <v>289</v>
      </c>
      <c r="B604" s="32" t="s">
        <v>279</v>
      </c>
      <c r="C604" s="32" t="s">
        <v>228</v>
      </c>
      <c r="D604" s="32" t="s">
        <v>1047</v>
      </c>
      <c r="E604" s="32" t="s">
        <v>290</v>
      </c>
      <c r="F604" s="326">
        <f>'Пр.5 Рд,пр, ЦС,ВР 20'!F604</f>
        <v>496.7</v>
      </c>
      <c r="G604" s="326">
        <f t="shared" si="28"/>
        <v>496.7</v>
      </c>
    </row>
    <row r="605" spans="1:7" ht="63" x14ac:dyDescent="0.25">
      <c r="A605" s="284" t="s">
        <v>1082</v>
      </c>
      <c r="B605" s="285" t="s">
        <v>279</v>
      </c>
      <c r="C605" s="285" t="s">
        <v>228</v>
      </c>
      <c r="D605" s="285" t="s">
        <v>1048</v>
      </c>
      <c r="E605" s="285"/>
      <c r="F605" s="325">
        <f>F606+F609</f>
        <v>2634</v>
      </c>
      <c r="G605" s="325">
        <f>G606+G609</f>
        <v>2634</v>
      </c>
    </row>
    <row r="606" spans="1:7" ht="47.25" hidden="1" x14ac:dyDescent="0.25">
      <c r="A606" s="31" t="s">
        <v>299</v>
      </c>
      <c r="B606" s="32" t="s">
        <v>279</v>
      </c>
      <c r="C606" s="32" t="s">
        <v>228</v>
      </c>
      <c r="D606" s="32" t="s">
        <v>1050</v>
      </c>
      <c r="E606" s="32"/>
      <c r="F606" s="326">
        <f>'Пр.5 Рд,пр, ЦС,ВР 20'!F606</f>
        <v>0</v>
      </c>
      <c r="G606" s="326">
        <f t="shared" si="28"/>
        <v>0</v>
      </c>
    </row>
    <row r="607" spans="1:7" ht="63" hidden="1" x14ac:dyDescent="0.25">
      <c r="A607" s="31" t="s">
        <v>287</v>
      </c>
      <c r="B607" s="32" t="s">
        <v>279</v>
      </c>
      <c r="C607" s="32" t="s">
        <v>228</v>
      </c>
      <c r="D607" s="32" t="s">
        <v>1050</v>
      </c>
      <c r="E607" s="32" t="s">
        <v>288</v>
      </c>
      <c r="F607" s="326">
        <f>'Пр.5 Рд,пр, ЦС,ВР 20'!F607</f>
        <v>0</v>
      </c>
      <c r="G607" s="326">
        <f t="shared" si="28"/>
        <v>0</v>
      </c>
    </row>
    <row r="608" spans="1:7" ht="31.5" hidden="1" x14ac:dyDescent="0.25">
      <c r="A608" s="31" t="s">
        <v>289</v>
      </c>
      <c r="B608" s="32" t="s">
        <v>279</v>
      </c>
      <c r="C608" s="32" t="s">
        <v>228</v>
      </c>
      <c r="D608" s="32" t="s">
        <v>1050</v>
      </c>
      <c r="E608" s="32" t="s">
        <v>290</v>
      </c>
      <c r="F608" s="326">
        <f>'Пр.5 Рд,пр, ЦС,ВР 20'!F608</f>
        <v>0</v>
      </c>
      <c r="G608" s="326">
        <f t="shared" si="28"/>
        <v>0</v>
      </c>
    </row>
    <row r="609" spans="1:7" ht="63" x14ac:dyDescent="0.25">
      <c r="A609" s="46" t="s">
        <v>786</v>
      </c>
      <c r="B609" s="32" t="s">
        <v>279</v>
      </c>
      <c r="C609" s="32" t="s">
        <v>228</v>
      </c>
      <c r="D609" s="32" t="s">
        <v>1051</v>
      </c>
      <c r="E609" s="32"/>
      <c r="F609" s="326">
        <f>'Пр.5 Рд,пр, ЦС,ВР 20'!F609</f>
        <v>2634</v>
      </c>
      <c r="G609" s="326">
        <f t="shared" si="28"/>
        <v>2634</v>
      </c>
    </row>
    <row r="610" spans="1:7" ht="63" x14ac:dyDescent="0.25">
      <c r="A610" s="45" t="s">
        <v>287</v>
      </c>
      <c r="B610" s="32" t="s">
        <v>279</v>
      </c>
      <c r="C610" s="32" t="s">
        <v>228</v>
      </c>
      <c r="D610" s="32" t="s">
        <v>1051</v>
      </c>
      <c r="E610" s="32" t="s">
        <v>288</v>
      </c>
      <c r="F610" s="326">
        <f>'Пр.5 Рд,пр, ЦС,ВР 20'!F610</f>
        <v>2634</v>
      </c>
      <c r="G610" s="326">
        <f t="shared" si="28"/>
        <v>2634</v>
      </c>
    </row>
    <row r="611" spans="1:7" ht="31.5" x14ac:dyDescent="0.25">
      <c r="A611" s="439" t="s">
        <v>289</v>
      </c>
      <c r="B611" s="32" t="s">
        <v>279</v>
      </c>
      <c r="C611" s="32" t="s">
        <v>228</v>
      </c>
      <c r="D611" s="32" t="s">
        <v>1051</v>
      </c>
      <c r="E611" s="32" t="s">
        <v>290</v>
      </c>
      <c r="F611" s="326">
        <f>'Пр.5 Рд,пр, ЦС,ВР 20'!F611</f>
        <v>2634</v>
      </c>
      <c r="G611" s="326">
        <f t="shared" si="28"/>
        <v>2634</v>
      </c>
    </row>
    <row r="612" spans="1:7" ht="63" x14ac:dyDescent="0.25">
      <c r="A612" s="438" t="s">
        <v>1053</v>
      </c>
      <c r="B612" s="285" t="s">
        <v>279</v>
      </c>
      <c r="C612" s="285" t="s">
        <v>228</v>
      </c>
      <c r="D612" s="285" t="s">
        <v>1049</v>
      </c>
      <c r="E612" s="285"/>
      <c r="F612" s="325">
        <f t="shared" ref="F612:G612" si="29">F613</f>
        <v>678</v>
      </c>
      <c r="G612" s="325">
        <f t="shared" si="29"/>
        <v>678</v>
      </c>
    </row>
    <row r="613" spans="1:7" ht="94.5" x14ac:dyDescent="0.25">
      <c r="A613" s="439" t="s">
        <v>875</v>
      </c>
      <c r="B613" s="32" t="s">
        <v>279</v>
      </c>
      <c r="C613" s="32" t="s">
        <v>228</v>
      </c>
      <c r="D613" s="32" t="s">
        <v>1052</v>
      </c>
      <c r="E613" s="32"/>
      <c r="F613" s="326">
        <f>'Пр.5 Рд,пр, ЦС,ВР 20'!F613</f>
        <v>678</v>
      </c>
      <c r="G613" s="326">
        <f t="shared" si="28"/>
        <v>678</v>
      </c>
    </row>
    <row r="614" spans="1:7" ht="63" x14ac:dyDescent="0.25">
      <c r="A614" s="31" t="s">
        <v>287</v>
      </c>
      <c r="B614" s="32" t="s">
        <v>279</v>
      </c>
      <c r="C614" s="32" t="s">
        <v>228</v>
      </c>
      <c r="D614" s="32" t="s">
        <v>1052</v>
      </c>
      <c r="E614" s="32" t="s">
        <v>288</v>
      </c>
      <c r="F614" s="326">
        <f>'Пр.5 Рд,пр, ЦС,ВР 20'!F614</f>
        <v>678</v>
      </c>
      <c r="G614" s="326">
        <f t="shared" si="28"/>
        <v>678</v>
      </c>
    </row>
    <row r="615" spans="1:7" ht="31.5" x14ac:dyDescent="0.25">
      <c r="A615" s="31" t="s">
        <v>289</v>
      </c>
      <c r="B615" s="32" t="s">
        <v>279</v>
      </c>
      <c r="C615" s="32" t="s">
        <v>228</v>
      </c>
      <c r="D615" s="32" t="s">
        <v>1052</v>
      </c>
      <c r="E615" s="32" t="s">
        <v>290</v>
      </c>
      <c r="F615" s="326">
        <f>'Пр.5 Рд,пр, ЦС,ВР 20'!F615</f>
        <v>678</v>
      </c>
      <c r="G615" s="326">
        <f t="shared" si="28"/>
        <v>678</v>
      </c>
    </row>
    <row r="616" spans="1:7" ht="94.5" hidden="1" x14ac:dyDescent="0.25">
      <c r="A616" s="34" t="s">
        <v>804</v>
      </c>
      <c r="B616" s="285" t="s">
        <v>279</v>
      </c>
      <c r="C616" s="285" t="s">
        <v>228</v>
      </c>
      <c r="D616" s="285" t="s">
        <v>339</v>
      </c>
      <c r="E616" s="285"/>
      <c r="F616" s="325">
        <f t="shared" ref="F616:G616" si="30">F617</f>
        <v>0</v>
      </c>
      <c r="G616" s="325">
        <f t="shared" si="30"/>
        <v>0</v>
      </c>
    </row>
    <row r="617" spans="1:7" ht="94.5" hidden="1" x14ac:dyDescent="0.25">
      <c r="A617" s="34" t="s">
        <v>1197</v>
      </c>
      <c r="B617" s="285" t="s">
        <v>279</v>
      </c>
      <c r="C617" s="285" t="s">
        <v>228</v>
      </c>
      <c r="D617" s="285" t="s">
        <v>1030</v>
      </c>
      <c r="E617" s="285"/>
      <c r="F617" s="325">
        <f>F618</f>
        <v>0</v>
      </c>
      <c r="G617" s="325">
        <f>G618</f>
        <v>0</v>
      </c>
    </row>
    <row r="618" spans="1:7" ht="78.75" hidden="1" x14ac:dyDescent="0.25">
      <c r="A618" s="31" t="s">
        <v>1167</v>
      </c>
      <c r="B618" s="32" t="s">
        <v>279</v>
      </c>
      <c r="C618" s="32" t="s">
        <v>228</v>
      </c>
      <c r="D618" s="32" t="s">
        <v>1031</v>
      </c>
      <c r="E618" s="32"/>
      <c r="F618" s="326">
        <f>'Пр.5 Рд,пр, ЦС,ВР 20'!F618</f>
        <v>0</v>
      </c>
      <c r="G618" s="326">
        <f t="shared" ref="G618:G681" si="31">F618</f>
        <v>0</v>
      </c>
    </row>
    <row r="619" spans="1:7" ht="63" hidden="1" x14ac:dyDescent="0.25">
      <c r="A619" s="31" t="s">
        <v>287</v>
      </c>
      <c r="B619" s="32" t="s">
        <v>279</v>
      </c>
      <c r="C619" s="32" t="s">
        <v>228</v>
      </c>
      <c r="D619" s="32" t="s">
        <v>1031</v>
      </c>
      <c r="E619" s="32" t="s">
        <v>288</v>
      </c>
      <c r="F619" s="326">
        <f>'Пр.5 Рд,пр, ЦС,ВР 20'!F619</f>
        <v>0</v>
      </c>
      <c r="G619" s="326">
        <f t="shared" si="31"/>
        <v>0</v>
      </c>
    </row>
    <row r="620" spans="1:7" ht="31.5" hidden="1" x14ac:dyDescent="0.25">
      <c r="A620" s="31" t="s">
        <v>289</v>
      </c>
      <c r="B620" s="32" t="s">
        <v>279</v>
      </c>
      <c r="C620" s="32" t="s">
        <v>228</v>
      </c>
      <c r="D620" s="32" t="s">
        <v>1031</v>
      </c>
      <c r="E620" s="32" t="s">
        <v>290</v>
      </c>
      <c r="F620" s="326">
        <f>'Пр.5 Рд,пр, ЦС,ВР 20'!F620</f>
        <v>0</v>
      </c>
      <c r="G620" s="326">
        <f t="shared" si="31"/>
        <v>0</v>
      </c>
    </row>
    <row r="621" spans="1:7" ht="78.75" x14ac:dyDescent="0.25">
      <c r="A621" s="58" t="s">
        <v>1452</v>
      </c>
      <c r="B621" s="285" t="s">
        <v>279</v>
      </c>
      <c r="C621" s="285" t="s">
        <v>228</v>
      </c>
      <c r="D621" s="285" t="s">
        <v>727</v>
      </c>
      <c r="E621" s="285"/>
      <c r="F621" s="325">
        <f t="shared" ref="F621:G622" si="32">F622</f>
        <v>723.3</v>
      </c>
      <c r="G621" s="325">
        <f t="shared" si="32"/>
        <v>723.3</v>
      </c>
    </row>
    <row r="622" spans="1:7" ht="78.75" x14ac:dyDescent="0.25">
      <c r="A622" s="58" t="s">
        <v>951</v>
      </c>
      <c r="B622" s="285" t="s">
        <v>279</v>
      </c>
      <c r="C622" s="285" t="s">
        <v>228</v>
      </c>
      <c r="D622" s="285" t="s">
        <v>949</v>
      </c>
      <c r="E622" s="285"/>
      <c r="F622" s="325">
        <f t="shared" si="32"/>
        <v>723.3</v>
      </c>
      <c r="G622" s="325">
        <f t="shared" si="32"/>
        <v>723.3</v>
      </c>
    </row>
    <row r="623" spans="1:7" ht="78.75" x14ac:dyDescent="0.25">
      <c r="A623" s="101" t="s">
        <v>802</v>
      </c>
      <c r="B623" s="32" t="s">
        <v>279</v>
      </c>
      <c r="C623" s="32" t="s">
        <v>228</v>
      </c>
      <c r="D623" s="32" t="s">
        <v>1032</v>
      </c>
      <c r="E623" s="32"/>
      <c r="F623" s="326">
        <f>'Пр.5 Рд,пр, ЦС,ВР 20'!F627</f>
        <v>723.3</v>
      </c>
      <c r="G623" s="326">
        <f t="shared" si="31"/>
        <v>723.3</v>
      </c>
    </row>
    <row r="624" spans="1:7" ht="63" x14ac:dyDescent="0.25">
      <c r="A624" s="45" t="s">
        <v>287</v>
      </c>
      <c r="B624" s="32" t="s">
        <v>279</v>
      </c>
      <c r="C624" s="32" t="s">
        <v>228</v>
      </c>
      <c r="D624" s="32" t="s">
        <v>1032</v>
      </c>
      <c r="E624" s="32" t="s">
        <v>288</v>
      </c>
      <c r="F624" s="326">
        <f>'Пр.5 Рд,пр, ЦС,ВР 20'!F628</f>
        <v>723.3</v>
      </c>
      <c r="G624" s="326">
        <f t="shared" si="31"/>
        <v>723.3</v>
      </c>
    </row>
    <row r="625" spans="1:7" ht="31.5" x14ac:dyDescent="0.25">
      <c r="A625" s="439" t="s">
        <v>289</v>
      </c>
      <c r="B625" s="32" t="s">
        <v>279</v>
      </c>
      <c r="C625" s="32" t="s">
        <v>228</v>
      </c>
      <c r="D625" s="32" t="s">
        <v>1032</v>
      </c>
      <c r="E625" s="32" t="s">
        <v>290</v>
      </c>
      <c r="F625" s="326">
        <f>'Пр.5 Рд,пр, ЦС,ВР 20'!F629</f>
        <v>723.3</v>
      </c>
      <c r="G625" s="326">
        <f t="shared" si="31"/>
        <v>723.3</v>
      </c>
    </row>
    <row r="626" spans="1:7" ht="31.5" x14ac:dyDescent="0.25">
      <c r="A626" s="58" t="s">
        <v>280</v>
      </c>
      <c r="B626" s="8" t="s">
        <v>279</v>
      </c>
      <c r="C626" s="8" t="s">
        <v>230</v>
      </c>
      <c r="D626" s="285"/>
      <c r="E626" s="8"/>
      <c r="F626" s="325">
        <f>F627+F652+F686</f>
        <v>52091.47</v>
      </c>
      <c r="G626" s="325">
        <f>G627+G652+G686</f>
        <v>52091.47</v>
      </c>
    </row>
    <row r="627" spans="1:7" ht="78.75" x14ac:dyDescent="0.25">
      <c r="A627" s="34" t="s">
        <v>1458</v>
      </c>
      <c r="B627" s="285" t="s">
        <v>279</v>
      </c>
      <c r="C627" s="285" t="s">
        <v>230</v>
      </c>
      <c r="D627" s="285" t="s">
        <v>421</v>
      </c>
      <c r="E627" s="285"/>
      <c r="F627" s="325">
        <f>F628+F643</f>
        <v>34926.14</v>
      </c>
      <c r="G627" s="325">
        <f>G628+G643</f>
        <v>34926.14</v>
      </c>
    </row>
    <row r="628" spans="1:7" ht="63" x14ac:dyDescent="0.25">
      <c r="A628" s="34" t="s">
        <v>422</v>
      </c>
      <c r="B628" s="285" t="s">
        <v>279</v>
      </c>
      <c r="C628" s="285" t="s">
        <v>230</v>
      </c>
      <c r="D628" s="285" t="s">
        <v>423</v>
      </c>
      <c r="E628" s="285"/>
      <c r="F628" s="325">
        <f>F629+F633</f>
        <v>34237.14</v>
      </c>
      <c r="G628" s="325">
        <f>G629+G633</f>
        <v>34237.14</v>
      </c>
    </row>
    <row r="629" spans="1:7" ht="63" x14ac:dyDescent="0.25">
      <c r="A629" s="34" t="s">
        <v>1033</v>
      </c>
      <c r="B629" s="285" t="s">
        <v>279</v>
      </c>
      <c r="C629" s="285" t="s">
        <v>230</v>
      </c>
      <c r="D629" s="285" t="s">
        <v>1011</v>
      </c>
      <c r="E629" s="285"/>
      <c r="F629" s="325">
        <f t="shared" ref="F629:G629" si="33">F630</f>
        <v>32614.999999999996</v>
      </c>
      <c r="G629" s="325">
        <f t="shared" si="33"/>
        <v>32614.999999999996</v>
      </c>
    </row>
    <row r="630" spans="1:7" ht="63" x14ac:dyDescent="0.25">
      <c r="A630" s="31" t="s">
        <v>285</v>
      </c>
      <c r="B630" s="32" t="s">
        <v>279</v>
      </c>
      <c r="C630" s="32" t="s">
        <v>230</v>
      </c>
      <c r="D630" s="32" t="s">
        <v>1056</v>
      </c>
      <c r="E630" s="32"/>
      <c r="F630" s="326">
        <f>'Пр.5 Рд,пр, ЦС,ВР 20'!F634</f>
        <v>32614.999999999996</v>
      </c>
      <c r="G630" s="326">
        <f t="shared" si="31"/>
        <v>32614.999999999996</v>
      </c>
    </row>
    <row r="631" spans="1:7" ht="63" x14ac:dyDescent="0.25">
      <c r="A631" s="31" t="s">
        <v>287</v>
      </c>
      <c r="B631" s="32" t="s">
        <v>279</v>
      </c>
      <c r="C631" s="32" t="s">
        <v>230</v>
      </c>
      <c r="D631" s="32" t="s">
        <v>1056</v>
      </c>
      <c r="E631" s="32" t="s">
        <v>288</v>
      </c>
      <c r="F631" s="326">
        <f>'Пр.5 Рд,пр, ЦС,ВР 20'!F635</f>
        <v>32614.999999999996</v>
      </c>
      <c r="G631" s="326">
        <f t="shared" si="31"/>
        <v>32614.999999999996</v>
      </c>
    </row>
    <row r="632" spans="1:7" ht="31.5" x14ac:dyDescent="0.25">
      <c r="A632" s="31" t="s">
        <v>289</v>
      </c>
      <c r="B632" s="32" t="s">
        <v>279</v>
      </c>
      <c r="C632" s="32" t="s">
        <v>230</v>
      </c>
      <c r="D632" s="32" t="s">
        <v>1056</v>
      </c>
      <c r="E632" s="32" t="s">
        <v>290</v>
      </c>
      <c r="F632" s="326">
        <f>'Пр.5 Рд,пр, ЦС,ВР 20'!F636</f>
        <v>32614.999999999996</v>
      </c>
      <c r="G632" s="326">
        <f t="shared" si="31"/>
        <v>32614.999999999996</v>
      </c>
    </row>
    <row r="633" spans="1:7" ht="78.75" x14ac:dyDescent="0.25">
      <c r="A633" s="34" t="s">
        <v>973</v>
      </c>
      <c r="B633" s="285" t="s">
        <v>279</v>
      </c>
      <c r="C633" s="285" t="s">
        <v>230</v>
      </c>
      <c r="D633" s="285" t="s">
        <v>1026</v>
      </c>
      <c r="E633" s="285"/>
      <c r="F633" s="325">
        <f>F634+F637+F640</f>
        <v>1622.1399999999999</v>
      </c>
      <c r="G633" s="325">
        <f>G634+G637+G640</f>
        <v>1622.1399999999999</v>
      </c>
    </row>
    <row r="634" spans="1:7" ht="110.25" x14ac:dyDescent="0.25">
      <c r="A634" s="31" t="s">
        <v>304</v>
      </c>
      <c r="B634" s="32" t="s">
        <v>279</v>
      </c>
      <c r="C634" s="32" t="s">
        <v>230</v>
      </c>
      <c r="D634" s="32" t="s">
        <v>1025</v>
      </c>
      <c r="E634" s="32"/>
      <c r="F634" s="326">
        <f>'Пр.5 Рд,пр, ЦС,ВР 20'!F638</f>
        <v>169.28</v>
      </c>
      <c r="G634" s="326">
        <f t="shared" si="31"/>
        <v>169.28</v>
      </c>
    </row>
    <row r="635" spans="1:7" ht="63" x14ac:dyDescent="0.25">
      <c r="A635" s="31" t="s">
        <v>287</v>
      </c>
      <c r="B635" s="32" t="s">
        <v>279</v>
      </c>
      <c r="C635" s="32" t="s">
        <v>230</v>
      </c>
      <c r="D635" s="32" t="s">
        <v>1025</v>
      </c>
      <c r="E635" s="32" t="s">
        <v>288</v>
      </c>
      <c r="F635" s="326">
        <f>'Пр.5 Рд,пр, ЦС,ВР 20'!F639</f>
        <v>169.28</v>
      </c>
      <c r="G635" s="326">
        <f t="shared" si="31"/>
        <v>169.28</v>
      </c>
    </row>
    <row r="636" spans="1:7" ht="31.5" x14ac:dyDescent="0.25">
      <c r="A636" s="31" t="s">
        <v>289</v>
      </c>
      <c r="B636" s="32" t="s">
        <v>279</v>
      </c>
      <c r="C636" s="32" t="s">
        <v>230</v>
      </c>
      <c r="D636" s="32" t="s">
        <v>1025</v>
      </c>
      <c r="E636" s="32" t="s">
        <v>290</v>
      </c>
      <c r="F636" s="326">
        <f>'Пр.5 Рд,пр, ЦС,ВР 20'!F640</f>
        <v>169.28</v>
      </c>
      <c r="G636" s="326">
        <f t="shared" si="31"/>
        <v>169.28</v>
      </c>
    </row>
    <row r="637" spans="1:7" ht="94.5" x14ac:dyDescent="0.25">
      <c r="A637" s="31" t="s">
        <v>306</v>
      </c>
      <c r="B637" s="32" t="s">
        <v>279</v>
      </c>
      <c r="C637" s="32" t="s">
        <v>230</v>
      </c>
      <c r="D637" s="32" t="s">
        <v>1028</v>
      </c>
      <c r="E637" s="32"/>
      <c r="F637" s="326">
        <f>'Пр.5 Рд,пр, ЦС,ВР 20'!F641</f>
        <v>549.46</v>
      </c>
      <c r="G637" s="326">
        <f t="shared" si="31"/>
        <v>549.46</v>
      </c>
    </row>
    <row r="638" spans="1:7" ht="63" x14ac:dyDescent="0.25">
      <c r="A638" s="31" t="s">
        <v>287</v>
      </c>
      <c r="B638" s="32" t="s">
        <v>279</v>
      </c>
      <c r="C638" s="32" t="s">
        <v>230</v>
      </c>
      <c r="D638" s="32" t="s">
        <v>1028</v>
      </c>
      <c r="E638" s="32" t="s">
        <v>288</v>
      </c>
      <c r="F638" s="326">
        <f>'Пр.5 Рд,пр, ЦС,ВР 20'!F642</f>
        <v>549.46</v>
      </c>
      <c r="G638" s="326">
        <f t="shared" si="31"/>
        <v>549.46</v>
      </c>
    </row>
    <row r="639" spans="1:7" ht="31.5" x14ac:dyDescent="0.25">
      <c r="A639" s="31" t="s">
        <v>289</v>
      </c>
      <c r="B639" s="32" t="s">
        <v>279</v>
      </c>
      <c r="C639" s="32" t="s">
        <v>230</v>
      </c>
      <c r="D639" s="32" t="s">
        <v>1028</v>
      </c>
      <c r="E639" s="32" t="s">
        <v>290</v>
      </c>
      <c r="F639" s="326">
        <f>'Пр.5 Рд,пр, ЦС,ВР 20'!F643</f>
        <v>549.46</v>
      </c>
      <c r="G639" s="326">
        <f t="shared" si="31"/>
        <v>549.46</v>
      </c>
    </row>
    <row r="640" spans="1:7" ht="157.5" x14ac:dyDescent="0.25">
      <c r="A640" s="31" t="s">
        <v>308</v>
      </c>
      <c r="B640" s="32" t="s">
        <v>279</v>
      </c>
      <c r="C640" s="32" t="s">
        <v>230</v>
      </c>
      <c r="D640" s="32" t="s">
        <v>1029</v>
      </c>
      <c r="E640" s="32"/>
      <c r="F640" s="326">
        <f>'Пр.5 Рд,пр, ЦС,ВР 20'!F644</f>
        <v>903.4</v>
      </c>
      <c r="G640" s="326">
        <f t="shared" si="31"/>
        <v>903.4</v>
      </c>
    </row>
    <row r="641" spans="1:7" ht="63" x14ac:dyDescent="0.25">
      <c r="A641" s="31" t="s">
        <v>287</v>
      </c>
      <c r="B641" s="32" t="s">
        <v>279</v>
      </c>
      <c r="C641" s="32" t="s">
        <v>230</v>
      </c>
      <c r="D641" s="32" t="s">
        <v>1029</v>
      </c>
      <c r="E641" s="32" t="s">
        <v>288</v>
      </c>
      <c r="F641" s="326">
        <f>'Пр.5 Рд,пр, ЦС,ВР 20'!F645</f>
        <v>903.4</v>
      </c>
      <c r="G641" s="326">
        <f t="shared" si="31"/>
        <v>903.4</v>
      </c>
    </row>
    <row r="642" spans="1:7" ht="31.5" x14ac:dyDescent="0.25">
      <c r="A642" s="31" t="s">
        <v>289</v>
      </c>
      <c r="B642" s="32" t="s">
        <v>279</v>
      </c>
      <c r="C642" s="32" t="s">
        <v>230</v>
      </c>
      <c r="D642" s="32" t="s">
        <v>1029</v>
      </c>
      <c r="E642" s="32" t="s">
        <v>290</v>
      </c>
      <c r="F642" s="326">
        <f>'Пр.5 Рд,пр, ЦС,ВР 20'!F646</f>
        <v>903.4</v>
      </c>
      <c r="G642" s="326">
        <f t="shared" si="31"/>
        <v>903.4</v>
      </c>
    </row>
    <row r="643" spans="1:7" ht="63" x14ac:dyDescent="0.25">
      <c r="A643" s="34" t="s">
        <v>720</v>
      </c>
      <c r="B643" s="285" t="s">
        <v>279</v>
      </c>
      <c r="C643" s="285" t="s">
        <v>230</v>
      </c>
      <c r="D643" s="285" t="s">
        <v>462</v>
      </c>
      <c r="E643" s="285"/>
      <c r="F643" s="325">
        <f>F644+F648</f>
        <v>689</v>
      </c>
      <c r="G643" s="325">
        <f>G644+G648</f>
        <v>689</v>
      </c>
    </row>
    <row r="644" spans="1:7" ht="47.25" hidden="1" x14ac:dyDescent="0.25">
      <c r="A644" s="34" t="s">
        <v>1057</v>
      </c>
      <c r="B644" s="285" t="s">
        <v>279</v>
      </c>
      <c r="C644" s="285" t="s">
        <v>230</v>
      </c>
      <c r="D644" s="285" t="s">
        <v>1244</v>
      </c>
      <c r="E644" s="285"/>
      <c r="F644" s="325">
        <f>F645</f>
        <v>0</v>
      </c>
      <c r="G644" s="325">
        <f>G645</f>
        <v>0</v>
      </c>
    </row>
    <row r="645" spans="1:7" ht="47.25" hidden="1" x14ac:dyDescent="0.25">
      <c r="A645" s="45" t="s">
        <v>788</v>
      </c>
      <c r="B645" s="32" t="s">
        <v>279</v>
      </c>
      <c r="C645" s="32" t="s">
        <v>230</v>
      </c>
      <c r="D645" s="32" t="s">
        <v>1245</v>
      </c>
      <c r="E645" s="32"/>
      <c r="F645" s="326">
        <f>'Пр.5 Рд,пр, ЦС,ВР 20'!F649</f>
        <v>0</v>
      </c>
      <c r="G645" s="326">
        <f t="shared" si="31"/>
        <v>0</v>
      </c>
    </row>
    <row r="646" spans="1:7" ht="63" hidden="1" x14ac:dyDescent="0.25">
      <c r="A646" s="31" t="s">
        <v>287</v>
      </c>
      <c r="B646" s="32" t="s">
        <v>279</v>
      </c>
      <c r="C646" s="32" t="s">
        <v>230</v>
      </c>
      <c r="D646" s="32" t="s">
        <v>1245</v>
      </c>
      <c r="E646" s="32" t="s">
        <v>288</v>
      </c>
      <c r="F646" s="326">
        <f>'Пр.5 Рд,пр, ЦС,ВР 20'!F650</f>
        <v>0</v>
      </c>
      <c r="G646" s="326">
        <f t="shared" si="31"/>
        <v>0</v>
      </c>
    </row>
    <row r="647" spans="1:7" ht="31.5" hidden="1" x14ac:dyDescent="0.25">
      <c r="A647" s="31" t="s">
        <v>289</v>
      </c>
      <c r="B647" s="32" t="s">
        <v>279</v>
      </c>
      <c r="C647" s="32" t="s">
        <v>230</v>
      </c>
      <c r="D647" s="32" t="s">
        <v>1245</v>
      </c>
      <c r="E647" s="32" t="s">
        <v>290</v>
      </c>
      <c r="F647" s="326">
        <f>'Пр.5 Рд,пр, ЦС,ВР 20'!F651</f>
        <v>0</v>
      </c>
      <c r="G647" s="326">
        <f t="shared" si="31"/>
        <v>0</v>
      </c>
    </row>
    <row r="648" spans="1:7" ht="63" x14ac:dyDescent="0.25">
      <c r="A648" s="284" t="s">
        <v>1082</v>
      </c>
      <c r="B648" s="285" t="s">
        <v>279</v>
      </c>
      <c r="C648" s="285" t="s">
        <v>230</v>
      </c>
      <c r="D648" s="285" t="s">
        <v>1058</v>
      </c>
      <c r="E648" s="285"/>
      <c r="F648" s="325">
        <f>F649</f>
        <v>689</v>
      </c>
      <c r="G648" s="325">
        <f>G649</f>
        <v>689</v>
      </c>
    </row>
    <row r="649" spans="1:7" ht="63" x14ac:dyDescent="0.25">
      <c r="A649" s="45" t="s">
        <v>786</v>
      </c>
      <c r="B649" s="32" t="s">
        <v>279</v>
      </c>
      <c r="C649" s="32" t="s">
        <v>230</v>
      </c>
      <c r="D649" s="32" t="s">
        <v>1059</v>
      </c>
      <c r="E649" s="32"/>
      <c r="F649" s="326">
        <f>'Пр.5 Рд,пр, ЦС,ВР 20'!F653</f>
        <v>689</v>
      </c>
      <c r="G649" s="326">
        <f t="shared" si="31"/>
        <v>689</v>
      </c>
    </row>
    <row r="650" spans="1:7" ht="63" x14ac:dyDescent="0.25">
      <c r="A650" s="31" t="s">
        <v>287</v>
      </c>
      <c r="B650" s="32" t="s">
        <v>279</v>
      </c>
      <c r="C650" s="32" t="s">
        <v>230</v>
      </c>
      <c r="D650" s="32" t="s">
        <v>1059</v>
      </c>
      <c r="E650" s="32" t="s">
        <v>288</v>
      </c>
      <c r="F650" s="326">
        <f>'Пр.5 Рд,пр, ЦС,ВР 20'!F654</f>
        <v>689</v>
      </c>
      <c r="G650" s="326">
        <f t="shared" si="31"/>
        <v>689</v>
      </c>
    </row>
    <row r="651" spans="1:7" ht="31.5" x14ac:dyDescent="0.25">
      <c r="A651" s="31" t="s">
        <v>289</v>
      </c>
      <c r="B651" s="32" t="s">
        <v>279</v>
      </c>
      <c r="C651" s="32" t="s">
        <v>230</v>
      </c>
      <c r="D651" s="32" t="s">
        <v>1059</v>
      </c>
      <c r="E651" s="32" t="s">
        <v>290</v>
      </c>
      <c r="F651" s="326">
        <f>'Пр.5 Рд,пр, ЦС,ВР 20'!F655</f>
        <v>689</v>
      </c>
      <c r="G651" s="326">
        <f t="shared" si="31"/>
        <v>689</v>
      </c>
    </row>
    <row r="652" spans="1:7" ht="63" x14ac:dyDescent="0.25">
      <c r="A652" s="34" t="s">
        <v>1453</v>
      </c>
      <c r="B652" s="285" t="s">
        <v>279</v>
      </c>
      <c r="C652" s="285" t="s">
        <v>230</v>
      </c>
      <c r="D652" s="285" t="s">
        <v>282</v>
      </c>
      <c r="E652" s="285"/>
      <c r="F652" s="325">
        <f>F653</f>
        <v>16643.63</v>
      </c>
      <c r="G652" s="325">
        <f>G653</f>
        <v>16643.63</v>
      </c>
    </row>
    <row r="653" spans="1:7" ht="78.75" x14ac:dyDescent="0.25">
      <c r="A653" s="34" t="s">
        <v>1472</v>
      </c>
      <c r="B653" s="285" t="s">
        <v>279</v>
      </c>
      <c r="C653" s="285" t="s">
        <v>230</v>
      </c>
      <c r="D653" s="285" t="s">
        <v>284</v>
      </c>
      <c r="E653" s="285"/>
      <c r="F653" s="325">
        <f>F654+F662+F666+F672+F676</f>
        <v>16643.63</v>
      </c>
      <c r="G653" s="325">
        <f>G654+G662+G666+G672+G676</f>
        <v>16643.63</v>
      </c>
    </row>
    <row r="654" spans="1:7" ht="63" x14ac:dyDescent="0.25">
      <c r="A654" s="34" t="s">
        <v>943</v>
      </c>
      <c r="B654" s="285" t="s">
        <v>279</v>
      </c>
      <c r="C654" s="285" t="s">
        <v>230</v>
      </c>
      <c r="D654" s="285" t="s">
        <v>944</v>
      </c>
      <c r="E654" s="285"/>
      <c r="F654" s="325">
        <f>F655</f>
        <v>15011</v>
      </c>
      <c r="G654" s="325">
        <f>G655</f>
        <v>15011</v>
      </c>
    </row>
    <row r="655" spans="1:7" ht="31.5" x14ac:dyDescent="0.25">
      <c r="A655" s="31" t="s">
        <v>832</v>
      </c>
      <c r="B655" s="32" t="s">
        <v>279</v>
      </c>
      <c r="C655" s="32" t="s">
        <v>230</v>
      </c>
      <c r="D655" s="32" t="s">
        <v>942</v>
      </c>
      <c r="E655" s="32"/>
      <c r="F655" s="326">
        <f>'Пр.5 Рд,пр, ЦС,ВР 20'!F659</f>
        <v>15011</v>
      </c>
      <c r="G655" s="326">
        <f t="shared" si="31"/>
        <v>15011</v>
      </c>
    </row>
    <row r="656" spans="1:7" ht="126" x14ac:dyDescent="0.25">
      <c r="A656" s="31" t="s">
        <v>142</v>
      </c>
      <c r="B656" s="32" t="s">
        <v>279</v>
      </c>
      <c r="C656" s="32" t="s">
        <v>230</v>
      </c>
      <c r="D656" s="32" t="s">
        <v>942</v>
      </c>
      <c r="E656" s="32" t="s">
        <v>143</v>
      </c>
      <c r="F656" s="326">
        <f>'Пр.5 Рд,пр, ЦС,ВР 20'!F660</f>
        <v>13393</v>
      </c>
      <c r="G656" s="326">
        <f t="shared" si="31"/>
        <v>13393</v>
      </c>
    </row>
    <row r="657" spans="1:7" ht="31.5" x14ac:dyDescent="0.25">
      <c r="A657" s="46" t="s">
        <v>357</v>
      </c>
      <c r="B657" s="32" t="s">
        <v>279</v>
      </c>
      <c r="C657" s="32" t="s">
        <v>230</v>
      </c>
      <c r="D657" s="32" t="s">
        <v>942</v>
      </c>
      <c r="E657" s="32" t="s">
        <v>224</v>
      </c>
      <c r="F657" s="326">
        <f>'Пр.5 Рд,пр, ЦС,ВР 20'!F661</f>
        <v>13393</v>
      </c>
      <c r="G657" s="326">
        <f t="shared" si="31"/>
        <v>13393</v>
      </c>
    </row>
    <row r="658" spans="1:7" ht="47.25" x14ac:dyDescent="0.25">
      <c r="A658" s="31" t="s">
        <v>146</v>
      </c>
      <c r="B658" s="32" t="s">
        <v>279</v>
      </c>
      <c r="C658" s="32" t="s">
        <v>230</v>
      </c>
      <c r="D658" s="32" t="s">
        <v>942</v>
      </c>
      <c r="E658" s="32" t="s">
        <v>147</v>
      </c>
      <c r="F658" s="326">
        <f>'Пр.5 Рд,пр, ЦС,ВР 20'!F662</f>
        <v>1540</v>
      </c>
      <c r="G658" s="326">
        <f t="shared" si="31"/>
        <v>1540</v>
      </c>
    </row>
    <row r="659" spans="1:7" ht="63" x14ac:dyDescent="0.25">
      <c r="A659" s="31" t="s">
        <v>148</v>
      </c>
      <c r="B659" s="32" t="s">
        <v>279</v>
      </c>
      <c r="C659" s="32" t="s">
        <v>230</v>
      </c>
      <c r="D659" s="32" t="s">
        <v>942</v>
      </c>
      <c r="E659" s="32" t="s">
        <v>149</v>
      </c>
      <c r="F659" s="326">
        <f>'Пр.5 Рд,пр, ЦС,ВР 20'!F663</f>
        <v>1540</v>
      </c>
      <c r="G659" s="326">
        <f t="shared" si="31"/>
        <v>1540</v>
      </c>
    </row>
    <row r="660" spans="1:7" ht="31.5" x14ac:dyDescent="0.25">
      <c r="A660" s="31" t="s">
        <v>150</v>
      </c>
      <c r="B660" s="32" t="s">
        <v>279</v>
      </c>
      <c r="C660" s="32" t="s">
        <v>230</v>
      </c>
      <c r="D660" s="32" t="s">
        <v>942</v>
      </c>
      <c r="E660" s="32" t="s">
        <v>160</v>
      </c>
      <c r="F660" s="326">
        <f>'Пр.5 Рд,пр, ЦС,ВР 20'!F664</f>
        <v>78</v>
      </c>
      <c r="G660" s="326">
        <f t="shared" si="31"/>
        <v>78</v>
      </c>
    </row>
    <row r="661" spans="1:7" ht="31.5" x14ac:dyDescent="0.25">
      <c r="A661" s="31" t="s">
        <v>726</v>
      </c>
      <c r="B661" s="32" t="s">
        <v>279</v>
      </c>
      <c r="C661" s="32" t="s">
        <v>230</v>
      </c>
      <c r="D661" s="32" t="s">
        <v>942</v>
      </c>
      <c r="E661" s="32" t="s">
        <v>153</v>
      </c>
      <c r="F661" s="326">
        <f>'Пр.5 Рд,пр, ЦС,ВР 20'!F665</f>
        <v>78</v>
      </c>
      <c r="G661" s="326">
        <f t="shared" si="31"/>
        <v>78</v>
      </c>
    </row>
    <row r="662" spans="1:7" ht="63" x14ac:dyDescent="0.25">
      <c r="A662" s="342" t="s">
        <v>1196</v>
      </c>
      <c r="B662" s="285" t="s">
        <v>279</v>
      </c>
      <c r="C662" s="285" t="s">
        <v>230</v>
      </c>
      <c r="D662" s="285" t="s">
        <v>946</v>
      </c>
      <c r="E662" s="285"/>
      <c r="F662" s="325">
        <f>F663</f>
        <v>45</v>
      </c>
      <c r="G662" s="325">
        <f>G663</f>
        <v>45</v>
      </c>
    </row>
    <row r="663" spans="1:7" ht="47.25" x14ac:dyDescent="0.25">
      <c r="A663" s="216" t="s">
        <v>831</v>
      </c>
      <c r="B663" s="32" t="s">
        <v>279</v>
      </c>
      <c r="C663" s="32" t="s">
        <v>230</v>
      </c>
      <c r="D663" s="32" t="s">
        <v>945</v>
      </c>
      <c r="E663" s="32"/>
      <c r="F663" s="326">
        <f>'Пр.5 Рд,пр, ЦС,ВР 20'!F667</f>
        <v>45</v>
      </c>
      <c r="G663" s="326">
        <f t="shared" si="31"/>
        <v>45</v>
      </c>
    </row>
    <row r="664" spans="1:7" ht="31.5" x14ac:dyDescent="0.25">
      <c r="A664" s="31" t="s">
        <v>263</v>
      </c>
      <c r="B664" s="32" t="s">
        <v>279</v>
      </c>
      <c r="C664" s="32" t="s">
        <v>230</v>
      </c>
      <c r="D664" s="32" t="s">
        <v>945</v>
      </c>
      <c r="E664" s="32" t="s">
        <v>264</v>
      </c>
      <c r="F664" s="326">
        <f>'Пр.5 Рд,пр, ЦС,ВР 20'!F668</f>
        <v>45</v>
      </c>
      <c r="G664" s="326">
        <f t="shared" si="31"/>
        <v>45</v>
      </c>
    </row>
    <row r="665" spans="1:7" ht="31.5" x14ac:dyDescent="0.25">
      <c r="A665" s="31" t="s">
        <v>866</v>
      </c>
      <c r="B665" s="32" t="s">
        <v>279</v>
      </c>
      <c r="C665" s="32" t="s">
        <v>230</v>
      </c>
      <c r="D665" s="32" t="s">
        <v>945</v>
      </c>
      <c r="E665" s="32" t="s">
        <v>865</v>
      </c>
      <c r="F665" s="326">
        <f>'Пр.5 Рд,пр, ЦС,ВР 20'!F669</f>
        <v>45</v>
      </c>
      <c r="G665" s="326">
        <f t="shared" si="31"/>
        <v>45</v>
      </c>
    </row>
    <row r="666" spans="1:7" ht="78.75" x14ac:dyDescent="0.25">
      <c r="A666" s="283" t="s">
        <v>1174</v>
      </c>
      <c r="B666" s="285" t="s">
        <v>279</v>
      </c>
      <c r="C666" s="285" t="s">
        <v>230</v>
      </c>
      <c r="D666" s="285" t="s">
        <v>947</v>
      </c>
      <c r="E666" s="285"/>
      <c r="F666" s="325">
        <f>F667</f>
        <v>250.00000000000003</v>
      </c>
      <c r="G666" s="325">
        <f>G667</f>
        <v>250.00000000000003</v>
      </c>
    </row>
    <row r="667" spans="1:7" ht="47.25" x14ac:dyDescent="0.25">
      <c r="A667" s="31" t="s">
        <v>861</v>
      </c>
      <c r="B667" s="32" t="s">
        <v>279</v>
      </c>
      <c r="C667" s="32" t="s">
        <v>230</v>
      </c>
      <c r="D667" s="32" t="s">
        <v>948</v>
      </c>
      <c r="E667" s="32"/>
      <c r="F667" s="326">
        <f>'Пр.5 Рд,пр, ЦС,ВР 20'!F671</f>
        <v>250.00000000000003</v>
      </c>
      <c r="G667" s="326">
        <f t="shared" si="31"/>
        <v>250.00000000000003</v>
      </c>
    </row>
    <row r="668" spans="1:7" ht="126" x14ac:dyDescent="0.25">
      <c r="A668" s="31" t="s">
        <v>142</v>
      </c>
      <c r="B668" s="32" t="s">
        <v>279</v>
      </c>
      <c r="C668" s="32" t="s">
        <v>230</v>
      </c>
      <c r="D668" s="32" t="s">
        <v>948</v>
      </c>
      <c r="E668" s="32" t="s">
        <v>143</v>
      </c>
      <c r="F668" s="326">
        <f>'Пр.5 Рд,пр, ЦС,ВР 20'!F672</f>
        <v>250.00000000000003</v>
      </c>
      <c r="G668" s="326">
        <f t="shared" si="31"/>
        <v>250.00000000000003</v>
      </c>
    </row>
    <row r="669" spans="1:7" ht="31.5" x14ac:dyDescent="0.25">
      <c r="A669" s="46" t="s">
        <v>357</v>
      </c>
      <c r="B669" s="32" t="s">
        <v>279</v>
      </c>
      <c r="C669" s="32" t="s">
        <v>230</v>
      </c>
      <c r="D669" s="32" t="s">
        <v>948</v>
      </c>
      <c r="E669" s="32" t="s">
        <v>224</v>
      </c>
      <c r="F669" s="326">
        <f>'Пр.5 Рд,пр, ЦС,ВР 20'!F673</f>
        <v>250.00000000000003</v>
      </c>
      <c r="G669" s="326">
        <f t="shared" si="31"/>
        <v>250.00000000000003</v>
      </c>
    </row>
    <row r="670" spans="1:7" ht="47.25" hidden="1" x14ac:dyDescent="0.25">
      <c r="A670" s="31" t="s">
        <v>146</v>
      </c>
      <c r="B670" s="32" t="s">
        <v>279</v>
      </c>
      <c r="C670" s="32" t="s">
        <v>230</v>
      </c>
      <c r="D670" s="32" t="s">
        <v>948</v>
      </c>
      <c r="E670" s="32" t="s">
        <v>147</v>
      </c>
      <c r="F670" s="326">
        <f>'Пр.5 Рд,пр, ЦС,ВР 20'!F674</f>
        <v>0</v>
      </c>
      <c r="G670" s="326">
        <f t="shared" si="31"/>
        <v>0</v>
      </c>
    </row>
    <row r="671" spans="1:7" ht="63" hidden="1" x14ac:dyDescent="0.25">
      <c r="A671" s="31" t="s">
        <v>148</v>
      </c>
      <c r="B671" s="32" t="s">
        <v>279</v>
      </c>
      <c r="C671" s="32" t="s">
        <v>230</v>
      </c>
      <c r="D671" s="32" t="s">
        <v>948</v>
      </c>
      <c r="E671" s="32" t="s">
        <v>149</v>
      </c>
      <c r="F671" s="326">
        <f>'Пр.5 Рд,пр, ЦС,ВР 20'!F675</f>
        <v>0</v>
      </c>
      <c r="G671" s="326">
        <f t="shared" si="31"/>
        <v>0</v>
      </c>
    </row>
    <row r="672" spans="1:7" ht="63" x14ac:dyDescent="0.25">
      <c r="A672" s="34" t="s">
        <v>1081</v>
      </c>
      <c r="B672" s="285" t="s">
        <v>279</v>
      </c>
      <c r="C672" s="285" t="s">
        <v>230</v>
      </c>
      <c r="D672" s="285" t="s">
        <v>953</v>
      </c>
      <c r="E672" s="285"/>
      <c r="F672" s="325">
        <f>F673</f>
        <v>336</v>
      </c>
      <c r="G672" s="325">
        <f>G673</f>
        <v>336</v>
      </c>
    </row>
    <row r="673" spans="1:7" ht="63" x14ac:dyDescent="0.25">
      <c r="A673" s="31" t="s">
        <v>886</v>
      </c>
      <c r="B673" s="32" t="s">
        <v>279</v>
      </c>
      <c r="C673" s="32" t="s">
        <v>230</v>
      </c>
      <c r="D673" s="32" t="s">
        <v>1274</v>
      </c>
      <c r="E673" s="32"/>
      <c r="F673" s="326">
        <f>'Пр.5 Рд,пр, ЦС,ВР 20'!F677</f>
        <v>336</v>
      </c>
      <c r="G673" s="326">
        <f t="shared" si="31"/>
        <v>336</v>
      </c>
    </row>
    <row r="674" spans="1:7" ht="126" x14ac:dyDescent="0.25">
      <c r="A674" s="31" t="s">
        <v>142</v>
      </c>
      <c r="B674" s="32" t="s">
        <v>279</v>
      </c>
      <c r="C674" s="32" t="s">
        <v>230</v>
      </c>
      <c r="D674" s="32" t="s">
        <v>1274</v>
      </c>
      <c r="E674" s="32" t="s">
        <v>143</v>
      </c>
      <c r="F674" s="326">
        <f>'Пр.5 Рд,пр, ЦС,ВР 20'!F678</f>
        <v>336</v>
      </c>
      <c r="G674" s="326">
        <f t="shared" si="31"/>
        <v>336</v>
      </c>
    </row>
    <row r="675" spans="1:7" ht="47.25" x14ac:dyDescent="0.25">
      <c r="A675" s="31" t="s">
        <v>144</v>
      </c>
      <c r="B675" s="32" t="s">
        <v>279</v>
      </c>
      <c r="C675" s="32" t="s">
        <v>230</v>
      </c>
      <c r="D675" s="32" t="s">
        <v>1274</v>
      </c>
      <c r="E675" s="32" t="s">
        <v>224</v>
      </c>
      <c r="F675" s="326">
        <f>'Пр.5 Рд,пр, ЦС,ВР 20'!F679</f>
        <v>336</v>
      </c>
      <c r="G675" s="326">
        <f t="shared" si="31"/>
        <v>336</v>
      </c>
    </row>
    <row r="676" spans="1:7" ht="56.25" customHeight="1" x14ac:dyDescent="0.25">
      <c r="A676" s="34" t="s">
        <v>973</v>
      </c>
      <c r="B676" s="285" t="s">
        <v>279</v>
      </c>
      <c r="C676" s="285" t="s">
        <v>230</v>
      </c>
      <c r="D676" s="285" t="s">
        <v>1275</v>
      </c>
      <c r="E676" s="285"/>
      <c r="F676" s="325">
        <f>F677+F680+F683</f>
        <v>1001.6300000000001</v>
      </c>
      <c r="G676" s="325">
        <f>G677+G680+G683</f>
        <v>1001.6300000000001</v>
      </c>
    </row>
    <row r="677" spans="1:7" ht="110.25" x14ac:dyDescent="0.25">
      <c r="A677" s="31" t="s">
        <v>304</v>
      </c>
      <c r="B677" s="32" t="s">
        <v>279</v>
      </c>
      <c r="C677" s="32" t="s">
        <v>230</v>
      </c>
      <c r="D677" s="32" t="s">
        <v>1276</v>
      </c>
      <c r="E677" s="32"/>
      <c r="F677" s="326">
        <f>'Пр.5 Рд,пр, ЦС,ВР 20'!F681</f>
        <v>100.8</v>
      </c>
      <c r="G677" s="326">
        <f t="shared" si="31"/>
        <v>100.8</v>
      </c>
    </row>
    <row r="678" spans="1:7" ht="126" x14ac:dyDescent="0.25">
      <c r="A678" s="31" t="s">
        <v>142</v>
      </c>
      <c r="B678" s="32" t="s">
        <v>279</v>
      </c>
      <c r="C678" s="32" t="s">
        <v>230</v>
      </c>
      <c r="D678" s="32" t="s">
        <v>1276</v>
      </c>
      <c r="E678" s="32" t="s">
        <v>143</v>
      </c>
      <c r="F678" s="326">
        <f>'Пр.5 Рд,пр, ЦС,ВР 20'!F682</f>
        <v>100.8</v>
      </c>
      <c r="G678" s="326">
        <f t="shared" si="31"/>
        <v>100.8</v>
      </c>
    </row>
    <row r="679" spans="1:7" ht="31.5" x14ac:dyDescent="0.25">
      <c r="A679" s="46" t="s">
        <v>357</v>
      </c>
      <c r="B679" s="32" t="s">
        <v>279</v>
      </c>
      <c r="C679" s="32" t="s">
        <v>230</v>
      </c>
      <c r="D679" s="32" t="s">
        <v>1276</v>
      </c>
      <c r="E679" s="32" t="s">
        <v>224</v>
      </c>
      <c r="F679" s="326">
        <f>'Пр.5 Рд,пр, ЦС,ВР 20'!F683</f>
        <v>100.8</v>
      </c>
      <c r="G679" s="326">
        <f t="shared" si="31"/>
        <v>100.8</v>
      </c>
    </row>
    <row r="680" spans="1:7" ht="94.5" x14ac:dyDescent="0.25">
      <c r="A680" s="31" t="s">
        <v>306</v>
      </c>
      <c r="B680" s="32" t="s">
        <v>279</v>
      </c>
      <c r="C680" s="32" t="s">
        <v>230</v>
      </c>
      <c r="D680" s="32" t="s">
        <v>1277</v>
      </c>
      <c r="E680" s="32"/>
      <c r="F680" s="326">
        <f>'Пр.5 Рд,пр, ЦС,ВР 20'!F684</f>
        <v>298.35000000000002</v>
      </c>
      <c r="G680" s="326">
        <f t="shared" si="31"/>
        <v>298.35000000000002</v>
      </c>
    </row>
    <row r="681" spans="1:7" ht="126" x14ac:dyDescent="0.25">
      <c r="A681" s="31" t="s">
        <v>142</v>
      </c>
      <c r="B681" s="32" t="s">
        <v>279</v>
      </c>
      <c r="C681" s="32" t="s">
        <v>230</v>
      </c>
      <c r="D681" s="32" t="s">
        <v>1277</v>
      </c>
      <c r="E681" s="32" t="s">
        <v>143</v>
      </c>
      <c r="F681" s="326">
        <f>'Пр.5 Рд,пр, ЦС,ВР 20'!F685</f>
        <v>298.35000000000002</v>
      </c>
      <c r="G681" s="326">
        <f t="shared" si="31"/>
        <v>298.35000000000002</v>
      </c>
    </row>
    <row r="682" spans="1:7" ht="31.5" x14ac:dyDescent="0.25">
      <c r="A682" s="46" t="s">
        <v>357</v>
      </c>
      <c r="B682" s="32" t="s">
        <v>279</v>
      </c>
      <c r="C682" s="32" t="s">
        <v>230</v>
      </c>
      <c r="D682" s="32" t="s">
        <v>1277</v>
      </c>
      <c r="E682" s="32" t="s">
        <v>224</v>
      </c>
      <c r="F682" s="326">
        <f>'Пр.5 Рд,пр, ЦС,ВР 20'!F686</f>
        <v>298.35000000000002</v>
      </c>
      <c r="G682" s="326">
        <f t="shared" ref="G682:G745" si="34">F682</f>
        <v>298.35000000000002</v>
      </c>
    </row>
    <row r="683" spans="1:7" ht="157.5" x14ac:dyDescent="0.25">
      <c r="A683" s="31" t="s">
        <v>308</v>
      </c>
      <c r="B683" s="32" t="s">
        <v>279</v>
      </c>
      <c r="C683" s="32" t="s">
        <v>230</v>
      </c>
      <c r="D683" s="32" t="s">
        <v>1278</v>
      </c>
      <c r="E683" s="32"/>
      <c r="F683" s="326">
        <f>'Пр.5 Рд,пр, ЦС,ВР 20'!F687</f>
        <v>602.48</v>
      </c>
      <c r="G683" s="326">
        <f t="shared" si="34"/>
        <v>602.48</v>
      </c>
    </row>
    <row r="684" spans="1:7" ht="126" x14ac:dyDescent="0.25">
      <c r="A684" s="31" t="s">
        <v>142</v>
      </c>
      <c r="B684" s="32" t="s">
        <v>279</v>
      </c>
      <c r="C684" s="32" t="s">
        <v>230</v>
      </c>
      <c r="D684" s="32" t="s">
        <v>1278</v>
      </c>
      <c r="E684" s="32" t="s">
        <v>143</v>
      </c>
      <c r="F684" s="326">
        <f>'Пр.5 Рд,пр, ЦС,ВР 20'!F688</f>
        <v>602.48</v>
      </c>
      <c r="G684" s="326">
        <f t="shared" si="34"/>
        <v>602.48</v>
      </c>
    </row>
    <row r="685" spans="1:7" ht="31.5" x14ac:dyDescent="0.25">
      <c r="A685" s="46" t="s">
        <v>357</v>
      </c>
      <c r="B685" s="32" t="s">
        <v>279</v>
      </c>
      <c r="C685" s="32" t="s">
        <v>230</v>
      </c>
      <c r="D685" s="32" t="s">
        <v>1278</v>
      </c>
      <c r="E685" s="32" t="s">
        <v>224</v>
      </c>
      <c r="F685" s="326">
        <f>'Пр.5 Рд,пр, ЦС,ВР 20'!F689</f>
        <v>602.48</v>
      </c>
      <c r="G685" s="326">
        <f t="shared" si="34"/>
        <v>602.48</v>
      </c>
    </row>
    <row r="686" spans="1:7" ht="78.75" x14ac:dyDescent="0.25">
      <c r="A686" s="58" t="s">
        <v>1452</v>
      </c>
      <c r="B686" s="285" t="s">
        <v>279</v>
      </c>
      <c r="C686" s="285" t="s">
        <v>230</v>
      </c>
      <c r="D686" s="285" t="s">
        <v>727</v>
      </c>
      <c r="E686" s="285"/>
      <c r="F686" s="325">
        <f>F687</f>
        <v>521.70000000000005</v>
      </c>
      <c r="G686" s="325">
        <f>G687</f>
        <v>521.70000000000005</v>
      </c>
    </row>
    <row r="687" spans="1:7" ht="78.75" x14ac:dyDescent="0.25">
      <c r="A687" s="58" t="s">
        <v>951</v>
      </c>
      <c r="B687" s="285" t="s">
        <v>279</v>
      </c>
      <c r="C687" s="285" t="s">
        <v>230</v>
      </c>
      <c r="D687" s="285" t="s">
        <v>949</v>
      </c>
      <c r="E687" s="285"/>
      <c r="F687" s="325">
        <f>F688+F691</f>
        <v>521.70000000000005</v>
      </c>
      <c r="G687" s="325">
        <f>G688+G691</f>
        <v>521.70000000000005</v>
      </c>
    </row>
    <row r="688" spans="1:7" ht="63" x14ac:dyDescent="0.25">
      <c r="A688" s="101" t="s">
        <v>1163</v>
      </c>
      <c r="B688" s="32" t="s">
        <v>279</v>
      </c>
      <c r="C688" s="32" t="s">
        <v>230</v>
      </c>
      <c r="D688" s="32" t="s">
        <v>950</v>
      </c>
      <c r="E688" s="32"/>
      <c r="F688" s="326">
        <f>'Пр.5 Рд,пр, ЦС,ВР 20'!F692</f>
        <v>221</v>
      </c>
      <c r="G688" s="326">
        <f t="shared" si="34"/>
        <v>221</v>
      </c>
    </row>
    <row r="689" spans="1:7" ht="47.25" x14ac:dyDescent="0.25">
      <c r="A689" s="31" t="s">
        <v>146</v>
      </c>
      <c r="B689" s="32" t="s">
        <v>279</v>
      </c>
      <c r="C689" s="32" t="s">
        <v>230</v>
      </c>
      <c r="D689" s="32" t="s">
        <v>950</v>
      </c>
      <c r="E689" s="32" t="s">
        <v>147</v>
      </c>
      <c r="F689" s="326">
        <f>'Пр.5 Рд,пр, ЦС,ВР 20'!F693</f>
        <v>221</v>
      </c>
      <c r="G689" s="326">
        <f t="shared" si="34"/>
        <v>221</v>
      </c>
    </row>
    <row r="690" spans="1:7" ht="63" x14ac:dyDescent="0.25">
      <c r="A690" s="31" t="s">
        <v>148</v>
      </c>
      <c r="B690" s="32" t="s">
        <v>279</v>
      </c>
      <c r="C690" s="32" t="s">
        <v>230</v>
      </c>
      <c r="D690" s="32" t="s">
        <v>950</v>
      </c>
      <c r="E690" s="32" t="s">
        <v>149</v>
      </c>
      <c r="F690" s="326">
        <f>'Пр.5 Рд,пр, ЦС,ВР 20'!F694</f>
        <v>221</v>
      </c>
      <c r="G690" s="326">
        <f t="shared" si="34"/>
        <v>221</v>
      </c>
    </row>
    <row r="691" spans="1:7" ht="78.75" x14ac:dyDescent="0.25">
      <c r="A691" s="101" t="s">
        <v>802</v>
      </c>
      <c r="B691" s="32" t="s">
        <v>279</v>
      </c>
      <c r="C691" s="32" t="s">
        <v>230</v>
      </c>
      <c r="D691" s="32" t="s">
        <v>1032</v>
      </c>
      <c r="E691" s="32"/>
      <c r="F691" s="326">
        <f>'Пр.5 Рд,пр, ЦС,ВР 20'!F695</f>
        <v>300.7</v>
      </c>
      <c r="G691" s="326">
        <f t="shared" si="34"/>
        <v>300.7</v>
      </c>
    </row>
    <row r="692" spans="1:7" ht="63" x14ac:dyDescent="0.25">
      <c r="A692" s="45" t="s">
        <v>287</v>
      </c>
      <c r="B692" s="32" t="s">
        <v>279</v>
      </c>
      <c r="C692" s="32" t="s">
        <v>230</v>
      </c>
      <c r="D692" s="32" t="s">
        <v>1032</v>
      </c>
      <c r="E692" s="32" t="s">
        <v>288</v>
      </c>
      <c r="F692" s="326">
        <f>'Пр.5 Рд,пр, ЦС,ВР 20'!F696</f>
        <v>300.7</v>
      </c>
      <c r="G692" s="326">
        <f t="shared" si="34"/>
        <v>300.7</v>
      </c>
    </row>
    <row r="693" spans="1:7" ht="31.5" x14ac:dyDescent="0.25">
      <c r="A693" s="439" t="s">
        <v>289</v>
      </c>
      <c r="B693" s="32" t="s">
        <v>279</v>
      </c>
      <c r="C693" s="32" t="s">
        <v>230</v>
      </c>
      <c r="D693" s="32" t="s">
        <v>1032</v>
      </c>
      <c r="E693" s="32" t="s">
        <v>290</v>
      </c>
      <c r="F693" s="326">
        <f>'Пр.5 Рд,пр, ЦС,ВР 20'!F697</f>
        <v>300.7</v>
      </c>
      <c r="G693" s="326">
        <f t="shared" si="34"/>
        <v>300.7</v>
      </c>
    </row>
    <row r="694" spans="1:7" ht="31.5" x14ac:dyDescent="0.25">
      <c r="A694" s="34" t="s">
        <v>481</v>
      </c>
      <c r="B694" s="285" t="s">
        <v>279</v>
      </c>
      <c r="C694" s="285" t="s">
        <v>279</v>
      </c>
      <c r="D694" s="285"/>
      <c r="E694" s="285"/>
      <c r="F694" s="325">
        <f>F695+F714</f>
        <v>6564.9</v>
      </c>
      <c r="G694" s="325">
        <f>G695+G714</f>
        <v>6564.9</v>
      </c>
    </row>
    <row r="695" spans="1:7" ht="78.75" x14ac:dyDescent="0.25">
      <c r="A695" s="34" t="s">
        <v>1450</v>
      </c>
      <c r="B695" s="285" t="s">
        <v>279</v>
      </c>
      <c r="C695" s="285" t="s">
        <v>279</v>
      </c>
      <c r="D695" s="285" t="s">
        <v>359</v>
      </c>
      <c r="E695" s="285"/>
      <c r="F695" s="325">
        <f>F696</f>
        <v>760</v>
      </c>
      <c r="G695" s="325">
        <f>G696</f>
        <v>760</v>
      </c>
    </row>
    <row r="696" spans="1:7" ht="47.25" x14ac:dyDescent="0.25">
      <c r="A696" s="34" t="s">
        <v>360</v>
      </c>
      <c r="B696" s="285" t="s">
        <v>279</v>
      </c>
      <c r="C696" s="285" t="s">
        <v>279</v>
      </c>
      <c r="D696" s="285" t="s">
        <v>361</v>
      </c>
      <c r="E696" s="285"/>
      <c r="F696" s="325">
        <f>F697+F704+F710</f>
        <v>760</v>
      </c>
      <c r="G696" s="325">
        <f>G697+G704+G710</f>
        <v>760</v>
      </c>
    </row>
    <row r="697" spans="1:7" ht="78.75" x14ac:dyDescent="0.25">
      <c r="A697" s="273" t="s">
        <v>1207</v>
      </c>
      <c r="B697" s="285" t="s">
        <v>279</v>
      </c>
      <c r="C697" s="285" t="s">
        <v>279</v>
      </c>
      <c r="D697" s="285" t="s">
        <v>954</v>
      </c>
      <c r="E697" s="285"/>
      <c r="F697" s="325">
        <f>F698+F701</f>
        <v>280</v>
      </c>
      <c r="G697" s="325">
        <f>G698+G701</f>
        <v>280</v>
      </c>
    </row>
    <row r="698" spans="1:7" ht="31.5" x14ac:dyDescent="0.25">
      <c r="A698" s="101" t="s">
        <v>1213</v>
      </c>
      <c r="B698" s="32" t="s">
        <v>279</v>
      </c>
      <c r="C698" s="32" t="s">
        <v>279</v>
      </c>
      <c r="D698" s="32" t="s">
        <v>955</v>
      </c>
      <c r="E698" s="32"/>
      <c r="F698" s="326">
        <f>'Пр.5 Рд,пр, ЦС,ВР 20'!F702</f>
        <v>280</v>
      </c>
      <c r="G698" s="326">
        <f t="shared" si="34"/>
        <v>280</v>
      </c>
    </row>
    <row r="699" spans="1:7" ht="126" x14ac:dyDescent="0.25">
      <c r="A699" s="31" t="s">
        <v>142</v>
      </c>
      <c r="B699" s="32" t="s">
        <v>279</v>
      </c>
      <c r="C699" s="32" t="s">
        <v>279</v>
      </c>
      <c r="D699" s="32" t="s">
        <v>955</v>
      </c>
      <c r="E699" s="32" t="s">
        <v>143</v>
      </c>
      <c r="F699" s="326">
        <f>'Пр.5 Рд,пр, ЦС,ВР 20'!F703</f>
        <v>280</v>
      </c>
      <c r="G699" s="326">
        <f t="shared" si="34"/>
        <v>280</v>
      </c>
    </row>
    <row r="700" spans="1:7" ht="31.5" x14ac:dyDescent="0.25">
      <c r="A700" s="31" t="s">
        <v>357</v>
      </c>
      <c r="B700" s="32" t="s">
        <v>279</v>
      </c>
      <c r="C700" s="32" t="s">
        <v>279</v>
      </c>
      <c r="D700" s="32" t="s">
        <v>955</v>
      </c>
      <c r="E700" s="32" t="s">
        <v>224</v>
      </c>
      <c r="F700" s="326">
        <f>'Пр.5 Рд,пр, ЦС,ВР 20'!F704</f>
        <v>280</v>
      </c>
      <c r="G700" s="326">
        <f t="shared" si="34"/>
        <v>280</v>
      </c>
    </row>
    <row r="701" spans="1:7" ht="31.5" hidden="1" x14ac:dyDescent="0.25">
      <c r="A701" s="31" t="s">
        <v>1208</v>
      </c>
      <c r="B701" s="32" t="s">
        <v>279</v>
      </c>
      <c r="C701" s="32" t="s">
        <v>279</v>
      </c>
      <c r="D701" s="32" t="s">
        <v>1232</v>
      </c>
      <c r="E701" s="32"/>
      <c r="F701" s="326">
        <f>'Пр.5 Рд,пр, ЦС,ВР 20'!F705</f>
        <v>0</v>
      </c>
      <c r="G701" s="326">
        <f t="shared" si="34"/>
        <v>0</v>
      </c>
    </row>
    <row r="702" spans="1:7" ht="47.25" hidden="1" x14ac:dyDescent="0.25">
      <c r="A702" s="31" t="s">
        <v>146</v>
      </c>
      <c r="B702" s="32" t="s">
        <v>279</v>
      </c>
      <c r="C702" s="32" t="s">
        <v>279</v>
      </c>
      <c r="D702" s="32" t="s">
        <v>1232</v>
      </c>
      <c r="E702" s="32" t="s">
        <v>147</v>
      </c>
      <c r="F702" s="326">
        <f>'Пр.5 Рд,пр, ЦС,ВР 20'!F706</f>
        <v>0</v>
      </c>
      <c r="G702" s="326">
        <f t="shared" si="34"/>
        <v>0</v>
      </c>
    </row>
    <row r="703" spans="1:7" ht="63" hidden="1" x14ac:dyDescent="0.25">
      <c r="A703" s="31" t="s">
        <v>148</v>
      </c>
      <c r="B703" s="32" t="s">
        <v>279</v>
      </c>
      <c r="C703" s="32" t="s">
        <v>279</v>
      </c>
      <c r="D703" s="32" t="s">
        <v>1232</v>
      </c>
      <c r="E703" s="32" t="s">
        <v>149</v>
      </c>
      <c r="F703" s="326">
        <f>'Пр.5 Рд,пр, ЦС,ВР 20'!F707</f>
        <v>0</v>
      </c>
      <c r="G703" s="326">
        <f t="shared" si="34"/>
        <v>0</v>
      </c>
    </row>
    <row r="704" spans="1:7" ht="110.25" x14ac:dyDescent="0.25">
      <c r="A704" s="34" t="s">
        <v>1209</v>
      </c>
      <c r="B704" s="285" t="s">
        <v>279</v>
      </c>
      <c r="C704" s="285" t="s">
        <v>279</v>
      </c>
      <c r="D704" s="285" t="s">
        <v>956</v>
      </c>
      <c r="E704" s="285"/>
      <c r="F704" s="325">
        <f>F705</f>
        <v>455</v>
      </c>
      <c r="G704" s="325">
        <f>G705</f>
        <v>455</v>
      </c>
    </row>
    <row r="705" spans="1:7" ht="31.5" x14ac:dyDescent="0.25">
      <c r="A705" s="31" t="s">
        <v>1210</v>
      </c>
      <c r="B705" s="32" t="s">
        <v>279</v>
      </c>
      <c r="C705" s="32" t="s">
        <v>279</v>
      </c>
      <c r="D705" s="32" t="s">
        <v>974</v>
      </c>
      <c r="E705" s="32"/>
      <c r="F705" s="326">
        <f>'Пр.5 Рд,пр, ЦС,ВР 20'!F709</f>
        <v>455</v>
      </c>
      <c r="G705" s="326">
        <f t="shared" si="34"/>
        <v>455</v>
      </c>
    </row>
    <row r="706" spans="1:7" ht="126" x14ac:dyDescent="0.25">
      <c r="A706" s="31" t="s">
        <v>142</v>
      </c>
      <c r="B706" s="32" t="s">
        <v>279</v>
      </c>
      <c r="C706" s="32" t="s">
        <v>279</v>
      </c>
      <c r="D706" s="32" t="s">
        <v>974</v>
      </c>
      <c r="E706" s="32" t="s">
        <v>143</v>
      </c>
      <c r="F706" s="326">
        <f>'Пр.5 Рд,пр, ЦС,ВР 20'!F710</f>
        <v>40</v>
      </c>
      <c r="G706" s="326">
        <f t="shared" si="34"/>
        <v>40</v>
      </c>
    </row>
    <row r="707" spans="1:7" ht="31.5" x14ac:dyDescent="0.25">
      <c r="A707" s="31" t="s">
        <v>357</v>
      </c>
      <c r="B707" s="32" t="s">
        <v>279</v>
      </c>
      <c r="C707" s="32" t="s">
        <v>279</v>
      </c>
      <c r="D707" s="32" t="s">
        <v>974</v>
      </c>
      <c r="E707" s="32" t="s">
        <v>224</v>
      </c>
      <c r="F707" s="326">
        <f>'Пр.5 Рд,пр, ЦС,ВР 20'!F711</f>
        <v>40</v>
      </c>
      <c r="G707" s="326">
        <f t="shared" si="34"/>
        <v>40</v>
      </c>
    </row>
    <row r="708" spans="1:7" ht="47.25" x14ac:dyDescent="0.25">
      <c r="A708" s="31" t="s">
        <v>146</v>
      </c>
      <c r="B708" s="32" t="s">
        <v>279</v>
      </c>
      <c r="C708" s="32" t="s">
        <v>279</v>
      </c>
      <c r="D708" s="32" t="s">
        <v>974</v>
      </c>
      <c r="E708" s="32" t="s">
        <v>147</v>
      </c>
      <c r="F708" s="326">
        <f>'Пр.5 Рд,пр, ЦС,ВР 20'!F712</f>
        <v>415</v>
      </c>
      <c r="G708" s="326">
        <f t="shared" si="34"/>
        <v>415</v>
      </c>
    </row>
    <row r="709" spans="1:7" ht="63" x14ac:dyDescent="0.25">
      <c r="A709" s="31" t="s">
        <v>148</v>
      </c>
      <c r="B709" s="32" t="s">
        <v>279</v>
      </c>
      <c r="C709" s="32" t="s">
        <v>279</v>
      </c>
      <c r="D709" s="32" t="s">
        <v>974</v>
      </c>
      <c r="E709" s="32" t="s">
        <v>149</v>
      </c>
      <c r="F709" s="326">
        <f>'Пр.5 Рд,пр, ЦС,ВР 20'!F713</f>
        <v>415</v>
      </c>
      <c r="G709" s="326">
        <f t="shared" si="34"/>
        <v>415</v>
      </c>
    </row>
    <row r="710" spans="1:7" ht="63" x14ac:dyDescent="0.25">
      <c r="A710" s="34" t="s">
        <v>1215</v>
      </c>
      <c r="B710" s="285" t="s">
        <v>279</v>
      </c>
      <c r="C710" s="285" t="s">
        <v>279</v>
      </c>
      <c r="D710" s="285" t="s">
        <v>1211</v>
      </c>
      <c r="E710" s="285"/>
      <c r="F710" s="325">
        <f>F711</f>
        <v>25</v>
      </c>
      <c r="G710" s="325">
        <f>G711</f>
        <v>25</v>
      </c>
    </row>
    <row r="711" spans="1:7" ht="63" x14ac:dyDescent="0.25">
      <c r="A711" s="440" t="s">
        <v>1212</v>
      </c>
      <c r="B711" s="32" t="s">
        <v>279</v>
      </c>
      <c r="C711" s="32" t="s">
        <v>279</v>
      </c>
      <c r="D711" s="32" t="s">
        <v>1233</v>
      </c>
      <c r="E711" s="32"/>
      <c r="F711" s="326">
        <f>'Пр.5 Рд,пр, ЦС,ВР 20'!F715</f>
        <v>25</v>
      </c>
      <c r="G711" s="326">
        <f t="shared" si="34"/>
        <v>25</v>
      </c>
    </row>
    <row r="712" spans="1:7" ht="31.5" x14ac:dyDescent="0.25">
      <c r="A712" s="31" t="s">
        <v>263</v>
      </c>
      <c r="B712" s="32" t="s">
        <v>279</v>
      </c>
      <c r="C712" s="32" t="s">
        <v>279</v>
      </c>
      <c r="D712" s="32" t="s">
        <v>1233</v>
      </c>
      <c r="E712" s="32" t="s">
        <v>264</v>
      </c>
      <c r="F712" s="326">
        <f>'Пр.5 Рд,пр, ЦС,ВР 20'!F716</f>
        <v>25</v>
      </c>
      <c r="G712" s="326">
        <f t="shared" si="34"/>
        <v>25</v>
      </c>
    </row>
    <row r="713" spans="1:7" ht="31.5" x14ac:dyDescent="0.25">
      <c r="A713" s="31" t="s">
        <v>363</v>
      </c>
      <c r="B713" s="32" t="s">
        <v>279</v>
      </c>
      <c r="C713" s="32" t="s">
        <v>279</v>
      </c>
      <c r="D713" s="32" t="s">
        <v>1233</v>
      </c>
      <c r="E713" s="32" t="s">
        <v>364</v>
      </c>
      <c r="F713" s="326">
        <f>'Пр.5 Рд,пр, ЦС,ВР 20'!F717</f>
        <v>25</v>
      </c>
      <c r="G713" s="326">
        <f t="shared" si="34"/>
        <v>25</v>
      </c>
    </row>
    <row r="714" spans="1:7" ht="78.75" x14ac:dyDescent="0.25">
      <c r="A714" s="34" t="s">
        <v>1458</v>
      </c>
      <c r="B714" s="285" t="s">
        <v>279</v>
      </c>
      <c r="C714" s="285" t="s">
        <v>279</v>
      </c>
      <c r="D714" s="285" t="s">
        <v>421</v>
      </c>
      <c r="E714" s="285"/>
      <c r="F714" s="325">
        <f>F715</f>
        <v>5804.9</v>
      </c>
      <c r="G714" s="325">
        <f>G715</f>
        <v>5804.9</v>
      </c>
    </row>
    <row r="715" spans="1:7" ht="63" x14ac:dyDescent="0.25">
      <c r="A715" s="34" t="s">
        <v>482</v>
      </c>
      <c r="B715" s="285" t="s">
        <v>279</v>
      </c>
      <c r="C715" s="285" t="s">
        <v>483</v>
      </c>
      <c r="D715" s="285" t="s">
        <v>484</v>
      </c>
      <c r="E715" s="285"/>
      <c r="F715" s="325">
        <f>F716</f>
        <v>5804.9</v>
      </c>
      <c r="G715" s="325">
        <f>G716</f>
        <v>5804.9</v>
      </c>
    </row>
    <row r="716" spans="1:7" ht="47.25" x14ac:dyDescent="0.25">
      <c r="A716" s="34" t="s">
        <v>1061</v>
      </c>
      <c r="B716" s="285" t="s">
        <v>279</v>
      </c>
      <c r="C716" s="285" t="s">
        <v>279</v>
      </c>
      <c r="D716" s="285" t="s">
        <v>1062</v>
      </c>
      <c r="E716" s="285"/>
      <c r="F716" s="325">
        <f>F717+F720</f>
        <v>5804.9</v>
      </c>
      <c r="G716" s="325">
        <f>G717+G720</f>
        <v>5804.9</v>
      </c>
    </row>
    <row r="717" spans="1:7" ht="47.25" x14ac:dyDescent="0.25">
      <c r="A717" s="31" t="s">
        <v>1246</v>
      </c>
      <c r="B717" s="32" t="s">
        <v>279</v>
      </c>
      <c r="C717" s="32" t="s">
        <v>279</v>
      </c>
      <c r="D717" s="32" t="s">
        <v>1063</v>
      </c>
      <c r="E717" s="32"/>
      <c r="F717" s="326">
        <f>F718</f>
        <v>3584</v>
      </c>
      <c r="G717" s="326">
        <f>G718</f>
        <v>3584</v>
      </c>
    </row>
    <row r="718" spans="1:7" ht="63" x14ac:dyDescent="0.25">
      <c r="A718" s="31" t="s">
        <v>287</v>
      </c>
      <c r="B718" s="32" t="s">
        <v>279</v>
      </c>
      <c r="C718" s="32" t="s">
        <v>279</v>
      </c>
      <c r="D718" s="32" t="s">
        <v>1063</v>
      </c>
      <c r="E718" s="32" t="s">
        <v>288</v>
      </c>
      <c r="F718" s="326">
        <f>F719</f>
        <v>3584</v>
      </c>
      <c r="G718" s="326">
        <f>G719</f>
        <v>3584</v>
      </c>
    </row>
    <row r="719" spans="1:7" ht="31.5" x14ac:dyDescent="0.25">
      <c r="A719" s="31" t="s">
        <v>289</v>
      </c>
      <c r="B719" s="32" t="s">
        <v>279</v>
      </c>
      <c r="C719" s="32" t="s">
        <v>279</v>
      </c>
      <c r="D719" s="32" t="s">
        <v>1063</v>
      </c>
      <c r="E719" s="32" t="s">
        <v>290</v>
      </c>
      <c r="F719" s="326">
        <f>'пр.6.1.ведом.21-22'!G724</f>
        <v>3584</v>
      </c>
      <c r="G719" s="326">
        <f>'пр.6.1.ведом.21-22'!H724</f>
        <v>3584</v>
      </c>
    </row>
    <row r="720" spans="1:7" ht="47.25" x14ac:dyDescent="0.25">
      <c r="A720" s="31" t="s">
        <v>489</v>
      </c>
      <c r="B720" s="32" t="s">
        <v>279</v>
      </c>
      <c r="C720" s="32" t="s">
        <v>279</v>
      </c>
      <c r="D720" s="32" t="s">
        <v>1064</v>
      </c>
      <c r="E720" s="32"/>
      <c r="F720" s="326">
        <f>F721</f>
        <v>2220.9</v>
      </c>
      <c r="G720" s="326">
        <f>G721</f>
        <v>2220.9</v>
      </c>
    </row>
    <row r="721" spans="1:7" ht="63" x14ac:dyDescent="0.25">
      <c r="A721" s="31" t="s">
        <v>287</v>
      </c>
      <c r="B721" s="32" t="s">
        <v>279</v>
      </c>
      <c r="C721" s="32" t="s">
        <v>279</v>
      </c>
      <c r="D721" s="32" t="s">
        <v>1064</v>
      </c>
      <c r="E721" s="32" t="s">
        <v>288</v>
      </c>
      <c r="F721" s="326">
        <f>F722</f>
        <v>2220.9</v>
      </c>
      <c r="G721" s="326">
        <f>G722</f>
        <v>2220.9</v>
      </c>
    </row>
    <row r="722" spans="1:7" ht="31.5" x14ac:dyDescent="0.25">
      <c r="A722" s="31" t="s">
        <v>289</v>
      </c>
      <c r="B722" s="32" t="s">
        <v>279</v>
      </c>
      <c r="C722" s="32" t="s">
        <v>279</v>
      </c>
      <c r="D722" s="32" t="s">
        <v>1064</v>
      </c>
      <c r="E722" s="32" t="s">
        <v>290</v>
      </c>
      <c r="F722" s="326">
        <f>'пр.6.1.ведом.21-22'!G727</f>
        <v>2220.9</v>
      </c>
      <c r="G722" s="326">
        <f>'пр.6.1.ведом.21-22'!H727</f>
        <v>2220.9</v>
      </c>
    </row>
    <row r="723" spans="1:7" ht="31.5" x14ac:dyDescent="0.25">
      <c r="A723" s="34" t="s">
        <v>310</v>
      </c>
      <c r="B723" s="285" t="s">
        <v>279</v>
      </c>
      <c r="C723" s="285" t="s">
        <v>234</v>
      </c>
      <c r="D723" s="285"/>
      <c r="E723" s="285"/>
      <c r="F723" s="325">
        <f>F724+F734</f>
        <v>19830</v>
      </c>
      <c r="G723" s="325">
        <f>G724+G734</f>
        <v>19830</v>
      </c>
    </row>
    <row r="724" spans="1:7" ht="47.25" x14ac:dyDescent="0.25">
      <c r="A724" s="34" t="s">
        <v>992</v>
      </c>
      <c r="B724" s="285" t="s">
        <v>279</v>
      </c>
      <c r="C724" s="285" t="s">
        <v>234</v>
      </c>
      <c r="D724" s="285" t="s">
        <v>906</v>
      </c>
      <c r="E724" s="285"/>
      <c r="F724" s="325">
        <f>F725</f>
        <v>5585</v>
      </c>
      <c r="G724" s="325">
        <f>G725</f>
        <v>5585</v>
      </c>
    </row>
    <row r="725" spans="1:7" ht="31.5" x14ac:dyDescent="0.25">
      <c r="A725" s="34" t="s">
        <v>993</v>
      </c>
      <c r="B725" s="285" t="s">
        <v>279</v>
      </c>
      <c r="C725" s="285" t="s">
        <v>234</v>
      </c>
      <c r="D725" s="285" t="s">
        <v>907</v>
      </c>
      <c r="E725" s="285"/>
      <c r="F725" s="325">
        <f>F726+F731</f>
        <v>5585</v>
      </c>
      <c r="G725" s="325">
        <f>G726+G731</f>
        <v>5585</v>
      </c>
    </row>
    <row r="726" spans="1:7" ht="47.25" x14ac:dyDescent="0.25">
      <c r="A726" s="31" t="s">
        <v>969</v>
      </c>
      <c r="B726" s="32" t="s">
        <v>279</v>
      </c>
      <c r="C726" s="32" t="s">
        <v>234</v>
      </c>
      <c r="D726" s="32" t="s">
        <v>908</v>
      </c>
      <c r="E726" s="32"/>
      <c r="F726" s="326">
        <f>'Пр.5 Рд,пр, ЦС,ВР 20'!F730</f>
        <v>5459</v>
      </c>
      <c r="G726" s="326">
        <f t="shared" si="34"/>
        <v>5459</v>
      </c>
    </row>
    <row r="727" spans="1:7" ht="126" x14ac:dyDescent="0.25">
      <c r="A727" s="31" t="s">
        <v>142</v>
      </c>
      <c r="B727" s="32" t="s">
        <v>279</v>
      </c>
      <c r="C727" s="32" t="s">
        <v>234</v>
      </c>
      <c r="D727" s="32" t="s">
        <v>908</v>
      </c>
      <c r="E727" s="32" t="s">
        <v>143</v>
      </c>
      <c r="F727" s="326">
        <f>'Пр.5 Рд,пр, ЦС,ВР 20'!F731</f>
        <v>5247</v>
      </c>
      <c r="G727" s="326">
        <f t="shared" si="34"/>
        <v>5247</v>
      </c>
    </row>
    <row r="728" spans="1:7" ht="47.25" x14ac:dyDescent="0.25">
      <c r="A728" s="31" t="s">
        <v>144</v>
      </c>
      <c r="B728" s="32" t="s">
        <v>279</v>
      </c>
      <c r="C728" s="32" t="s">
        <v>234</v>
      </c>
      <c r="D728" s="32" t="s">
        <v>908</v>
      </c>
      <c r="E728" s="32" t="s">
        <v>145</v>
      </c>
      <c r="F728" s="326">
        <f>'Пр.5 Рд,пр, ЦС,ВР 20'!F732</f>
        <v>5247</v>
      </c>
      <c r="G728" s="326">
        <f t="shared" si="34"/>
        <v>5247</v>
      </c>
    </row>
    <row r="729" spans="1:7" ht="47.25" x14ac:dyDescent="0.25">
      <c r="A729" s="31" t="s">
        <v>146</v>
      </c>
      <c r="B729" s="32" t="s">
        <v>279</v>
      </c>
      <c r="C729" s="32" t="s">
        <v>234</v>
      </c>
      <c r="D729" s="32" t="s">
        <v>908</v>
      </c>
      <c r="E729" s="32" t="s">
        <v>147</v>
      </c>
      <c r="F729" s="326">
        <f>'Пр.5 Рд,пр, ЦС,ВР 20'!F733</f>
        <v>212</v>
      </c>
      <c r="G729" s="326">
        <f t="shared" si="34"/>
        <v>212</v>
      </c>
    </row>
    <row r="730" spans="1:7" ht="63" x14ac:dyDescent="0.25">
      <c r="A730" s="31" t="s">
        <v>148</v>
      </c>
      <c r="B730" s="32" t="s">
        <v>279</v>
      </c>
      <c r="C730" s="32" t="s">
        <v>234</v>
      </c>
      <c r="D730" s="32" t="s">
        <v>908</v>
      </c>
      <c r="E730" s="32" t="s">
        <v>149</v>
      </c>
      <c r="F730" s="326">
        <f>'Пр.5 Рд,пр, ЦС,ВР 20'!F734</f>
        <v>212</v>
      </c>
      <c r="G730" s="326">
        <f t="shared" si="34"/>
        <v>212</v>
      </c>
    </row>
    <row r="731" spans="1:7" ht="63" x14ac:dyDescent="0.25">
      <c r="A731" s="31" t="s">
        <v>886</v>
      </c>
      <c r="B731" s="32" t="s">
        <v>279</v>
      </c>
      <c r="C731" s="32" t="s">
        <v>234</v>
      </c>
      <c r="D731" s="32" t="s">
        <v>910</v>
      </c>
      <c r="E731" s="32"/>
      <c r="F731" s="326">
        <f>'Пр.5 Рд,пр, ЦС,ВР 20'!F735</f>
        <v>126</v>
      </c>
      <c r="G731" s="326">
        <f t="shared" si="34"/>
        <v>126</v>
      </c>
    </row>
    <row r="732" spans="1:7" ht="126" x14ac:dyDescent="0.25">
      <c r="A732" s="31" t="s">
        <v>142</v>
      </c>
      <c r="B732" s="32" t="s">
        <v>279</v>
      </c>
      <c r="C732" s="32" t="s">
        <v>234</v>
      </c>
      <c r="D732" s="32" t="s">
        <v>910</v>
      </c>
      <c r="E732" s="32" t="s">
        <v>143</v>
      </c>
      <c r="F732" s="326">
        <f>'Пр.5 Рд,пр, ЦС,ВР 20'!F736</f>
        <v>126</v>
      </c>
      <c r="G732" s="326">
        <f t="shared" si="34"/>
        <v>126</v>
      </c>
    </row>
    <row r="733" spans="1:7" ht="47.25" x14ac:dyDescent="0.25">
      <c r="A733" s="31" t="s">
        <v>144</v>
      </c>
      <c r="B733" s="32" t="s">
        <v>279</v>
      </c>
      <c r="C733" s="32" t="s">
        <v>234</v>
      </c>
      <c r="D733" s="32" t="s">
        <v>910</v>
      </c>
      <c r="E733" s="32" t="s">
        <v>145</v>
      </c>
      <c r="F733" s="326">
        <f>'Пр.5 Рд,пр, ЦС,ВР 20'!F737</f>
        <v>126</v>
      </c>
      <c r="G733" s="326">
        <f t="shared" si="34"/>
        <v>126</v>
      </c>
    </row>
    <row r="734" spans="1:7" ht="31.5" x14ac:dyDescent="0.25">
      <c r="A734" s="34" t="s">
        <v>156</v>
      </c>
      <c r="B734" s="285" t="s">
        <v>279</v>
      </c>
      <c r="C734" s="285" t="s">
        <v>234</v>
      </c>
      <c r="D734" s="285" t="s">
        <v>914</v>
      </c>
      <c r="E734" s="285"/>
      <c r="F734" s="325">
        <f>F735+F739</f>
        <v>14245</v>
      </c>
      <c r="G734" s="325">
        <f>G735+G739</f>
        <v>14245</v>
      </c>
    </row>
    <row r="735" spans="1:7" ht="47.25" x14ac:dyDescent="0.25">
      <c r="A735" s="34" t="s">
        <v>918</v>
      </c>
      <c r="B735" s="285" t="s">
        <v>279</v>
      </c>
      <c r="C735" s="285" t="s">
        <v>234</v>
      </c>
      <c r="D735" s="285" t="s">
        <v>913</v>
      </c>
      <c r="E735" s="285"/>
      <c r="F735" s="325">
        <f>F736</f>
        <v>300</v>
      </c>
      <c r="G735" s="325">
        <f>G736</f>
        <v>300</v>
      </c>
    </row>
    <row r="736" spans="1:7" ht="31.5" x14ac:dyDescent="0.25">
      <c r="A736" s="31" t="s">
        <v>493</v>
      </c>
      <c r="B736" s="32" t="s">
        <v>279</v>
      </c>
      <c r="C736" s="32" t="s">
        <v>234</v>
      </c>
      <c r="D736" s="32" t="s">
        <v>1065</v>
      </c>
      <c r="E736" s="32"/>
      <c r="F736" s="326">
        <f>'Пр.5 Рд,пр, ЦС,ВР 20'!F740</f>
        <v>300</v>
      </c>
      <c r="G736" s="326">
        <f t="shared" si="34"/>
        <v>300</v>
      </c>
    </row>
    <row r="737" spans="1:7" ht="47.25" x14ac:dyDescent="0.25">
      <c r="A737" s="31" t="s">
        <v>146</v>
      </c>
      <c r="B737" s="32" t="s">
        <v>279</v>
      </c>
      <c r="C737" s="32" t="s">
        <v>234</v>
      </c>
      <c r="D737" s="32" t="s">
        <v>1065</v>
      </c>
      <c r="E737" s="32" t="s">
        <v>147</v>
      </c>
      <c r="F737" s="326">
        <f>'Пр.5 Рд,пр, ЦС,ВР 20'!F741</f>
        <v>300</v>
      </c>
      <c r="G737" s="326">
        <f t="shared" si="34"/>
        <v>300</v>
      </c>
    </row>
    <row r="738" spans="1:7" ht="63" x14ac:dyDescent="0.25">
      <c r="A738" s="31" t="s">
        <v>148</v>
      </c>
      <c r="B738" s="32" t="s">
        <v>279</v>
      </c>
      <c r="C738" s="32" t="s">
        <v>234</v>
      </c>
      <c r="D738" s="32" t="s">
        <v>1065</v>
      </c>
      <c r="E738" s="32" t="s">
        <v>149</v>
      </c>
      <c r="F738" s="326">
        <f>'Пр.5 Рд,пр, ЦС,ВР 20'!F742</f>
        <v>300</v>
      </c>
      <c r="G738" s="326">
        <f t="shared" si="34"/>
        <v>300</v>
      </c>
    </row>
    <row r="739" spans="1:7" ht="63" x14ac:dyDescent="0.25">
      <c r="A739" s="34" t="s">
        <v>1006</v>
      </c>
      <c r="B739" s="285" t="s">
        <v>279</v>
      </c>
      <c r="C739" s="285" t="s">
        <v>234</v>
      </c>
      <c r="D739" s="285" t="s">
        <v>989</v>
      </c>
      <c r="E739" s="285"/>
      <c r="F739" s="325">
        <f>F740+F747</f>
        <v>13945</v>
      </c>
      <c r="G739" s="325">
        <f>G740+G747</f>
        <v>13945</v>
      </c>
    </row>
    <row r="740" spans="1:7" ht="47.25" x14ac:dyDescent="0.25">
      <c r="A740" s="31" t="s">
        <v>976</v>
      </c>
      <c r="B740" s="32" t="s">
        <v>279</v>
      </c>
      <c r="C740" s="32" t="s">
        <v>234</v>
      </c>
      <c r="D740" s="32" t="s">
        <v>990</v>
      </c>
      <c r="E740" s="32"/>
      <c r="F740" s="326">
        <f>'Пр.5 Рд,пр, ЦС,ВР 20'!F744</f>
        <v>13609</v>
      </c>
      <c r="G740" s="326">
        <f t="shared" si="34"/>
        <v>13609</v>
      </c>
    </row>
    <row r="741" spans="1:7" ht="126" x14ac:dyDescent="0.25">
      <c r="A741" s="31" t="s">
        <v>142</v>
      </c>
      <c r="B741" s="32" t="s">
        <v>279</v>
      </c>
      <c r="C741" s="32" t="s">
        <v>234</v>
      </c>
      <c r="D741" s="32" t="s">
        <v>990</v>
      </c>
      <c r="E741" s="32" t="s">
        <v>143</v>
      </c>
      <c r="F741" s="326">
        <f>'Пр.5 Рд,пр, ЦС,ВР 20'!F745</f>
        <v>12517</v>
      </c>
      <c r="G741" s="326">
        <f t="shared" si="34"/>
        <v>12517</v>
      </c>
    </row>
    <row r="742" spans="1:7" ht="31.5" x14ac:dyDescent="0.25">
      <c r="A742" s="31" t="s">
        <v>357</v>
      </c>
      <c r="B742" s="32" t="s">
        <v>279</v>
      </c>
      <c r="C742" s="32" t="s">
        <v>234</v>
      </c>
      <c r="D742" s="32" t="s">
        <v>990</v>
      </c>
      <c r="E742" s="32" t="s">
        <v>224</v>
      </c>
      <c r="F742" s="326">
        <f>'Пр.5 Рд,пр, ЦС,ВР 20'!F746</f>
        <v>12517</v>
      </c>
      <c r="G742" s="326">
        <f t="shared" si="34"/>
        <v>12517</v>
      </c>
    </row>
    <row r="743" spans="1:7" ht="47.25" x14ac:dyDescent="0.25">
      <c r="A743" s="31" t="s">
        <v>146</v>
      </c>
      <c r="B743" s="32" t="s">
        <v>279</v>
      </c>
      <c r="C743" s="32" t="s">
        <v>234</v>
      </c>
      <c r="D743" s="32" t="s">
        <v>990</v>
      </c>
      <c r="E743" s="32" t="s">
        <v>147</v>
      </c>
      <c r="F743" s="326">
        <f>'Пр.5 Рд,пр, ЦС,ВР 20'!F747</f>
        <v>1077</v>
      </c>
      <c r="G743" s="326">
        <f t="shared" si="34"/>
        <v>1077</v>
      </c>
    </row>
    <row r="744" spans="1:7" ht="63" x14ac:dyDescent="0.25">
      <c r="A744" s="31" t="s">
        <v>148</v>
      </c>
      <c r="B744" s="32" t="s">
        <v>279</v>
      </c>
      <c r="C744" s="32" t="s">
        <v>234</v>
      </c>
      <c r="D744" s="32" t="s">
        <v>990</v>
      </c>
      <c r="E744" s="32" t="s">
        <v>149</v>
      </c>
      <c r="F744" s="326">
        <f>'Пр.5 Рд,пр, ЦС,ВР 20'!F748</f>
        <v>1077</v>
      </c>
      <c r="G744" s="326">
        <f t="shared" si="34"/>
        <v>1077</v>
      </c>
    </row>
    <row r="745" spans="1:7" ht="31.5" x14ac:dyDescent="0.25">
      <c r="A745" s="31" t="s">
        <v>150</v>
      </c>
      <c r="B745" s="32" t="s">
        <v>279</v>
      </c>
      <c r="C745" s="32" t="s">
        <v>234</v>
      </c>
      <c r="D745" s="32" t="s">
        <v>990</v>
      </c>
      <c r="E745" s="32" t="s">
        <v>160</v>
      </c>
      <c r="F745" s="326">
        <f>'Пр.5 Рд,пр, ЦС,ВР 20'!F749</f>
        <v>15</v>
      </c>
      <c r="G745" s="326">
        <f t="shared" si="34"/>
        <v>15</v>
      </c>
    </row>
    <row r="746" spans="1:7" ht="31.5" x14ac:dyDescent="0.25">
      <c r="A746" s="31" t="s">
        <v>583</v>
      </c>
      <c r="B746" s="32" t="s">
        <v>279</v>
      </c>
      <c r="C746" s="32" t="s">
        <v>234</v>
      </c>
      <c r="D746" s="32" t="s">
        <v>990</v>
      </c>
      <c r="E746" s="32" t="s">
        <v>153</v>
      </c>
      <c r="F746" s="326">
        <f>'Пр.5 Рд,пр, ЦС,ВР 20'!F750</f>
        <v>15</v>
      </c>
      <c r="G746" s="326">
        <f t="shared" ref="G746:G810" si="35">F746</f>
        <v>15</v>
      </c>
    </row>
    <row r="747" spans="1:7" ht="63" x14ac:dyDescent="0.25">
      <c r="A747" s="31" t="s">
        <v>886</v>
      </c>
      <c r="B747" s="32" t="s">
        <v>279</v>
      </c>
      <c r="C747" s="32" t="s">
        <v>234</v>
      </c>
      <c r="D747" s="32" t="s">
        <v>991</v>
      </c>
      <c r="E747" s="32"/>
      <c r="F747" s="326">
        <f>'Пр.5 Рд,пр, ЦС,ВР 20'!F751</f>
        <v>336</v>
      </c>
      <c r="G747" s="326">
        <f t="shared" si="35"/>
        <v>336</v>
      </c>
    </row>
    <row r="748" spans="1:7" ht="126" x14ac:dyDescent="0.25">
      <c r="A748" s="31" t="s">
        <v>142</v>
      </c>
      <c r="B748" s="32" t="s">
        <v>279</v>
      </c>
      <c r="C748" s="32" t="s">
        <v>234</v>
      </c>
      <c r="D748" s="32" t="s">
        <v>991</v>
      </c>
      <c r="E748" s="32" t="s">
        <v>143</v>
      </c>
      <c r="F748" s="326">
        <f>'Пр.5 Рд,пр, ЦС,ВР 20'!F752</f>
        <v>336</v>
      </c>
      <c r="G748" s="326">
        <f t="shared" si="35"/>
        <v>336</v>
      </c>
    </row>
    <row r="749" spans="1:7" ht="47.25" x14ac:dyDescent="0.25">
      <c r="A749" s="31" t="s">
        <v>144</v>
      </c>
      <c r="B749" s="32" t="s">
        <v>279</v>
      </c>
      <c r="C749" s="32" t="s">
        <v>234</v>
      </c>
      <c r="D749" s="32" t="s">
        <v>991</v>
      </c>
      <c r="E749" s="32" t="s">
        <v>145</v>
      </c>
      <c r="F749" s="326">
        <f>'Пр.5 Рд,пр, ЦС,ВР 20'!F753</f>
        <v>336</v>
      </c>
      <c r="G749" s="326">
        <f t="shared" si="35"/>
        <v>336</v>
      </c>
    </row>
    <row r="750" spans="1:7" ht="15.75" x14ac:dyDescent="0.25">
      <c r="A750" s="58" t="s">
        <v>313</v>
      </c>
      <c r="B750" s="8" t="s">
        <v>314</v>
      </c>
      <c r="C750" s="8"/>
      <c r="D750" s="8"/>
      <c r="E750" s="8"/>
      <c r="F750" s="325">
        <f>F751+F821</f>
        <v>70196.600000000006</v>
      </c>
      <c r="G750" s="325">
        <f>G751+G821</f>
        <v>67994.2</v>
      </c>
    </row>
    <row r="751" spans="1:7" ht="15.75" x14ac:dyDescent="0.25">
      <c r="A751" s="58" t="s">
        <v>315</v>
      </c>
      <c r="B751" s="8" t="s">
        <v>314</v>
      </c>
      <c r="C751" s="8" t="s">
        <v>133</v>
      </c>
      <c r="D751" s="8"/>
      <c r="E751" s="8"/>
      <c r="F751" s="325">
        <f>F752+F811+F816</f>
        <v>52857.599999999999</v>
      </c>
      <c r="G751" s="325">
        <f>G752+G811+G816</f>
        <v>50655.199999999997</v>
      </c>
    </row>
    <row r="752" spans="1:7" ht="63" x14ac:dyDescent="0.25">
      <c r="A752" s="34" t="s">
        <v>1453</v>
      </c>
      <c r="B752" s="285" t="s">
        <v>314</v>
      </c>
      <c r="C752" s="285" t="s">
        <v>133</v>
      </c>
      <c r="D752" s="285" t="s">
        <v>282</v>
      </c>
      <c r="E752" s="285"/>
      <c r="F752" s="325">
        <f>F753+F780</f>
        <v>52064.4</v>
      </c>
      <c r="G752" s="325">
        <f>G753+G780</f>
        <v>49862</v>
      </c>
    </row>
    <row r="753" spans="1:7" ht="78.75" x14ac:dyDescent="0.25">
      <c r="A753" s="34" t="s">
        <v>1473</v>
      </c>
      <c r="B753" s="285" t="s">
        <v>314</v>
      </c>
      <c r="C753" s="285" t="s">
        <v>133</v>
      </c>
      <c r="D753" s="285" t="s">
        <v>317</v>
      </c>
      <c r="E753" s="285"/>
      <c r="F753" s="325">
        <f>F754+F762+F768+F772+F776</f>
        <v>27648.690000000002</v>
      </c>
      <c r="G753" s="325">
        <f>G754+G762+G768+G772+G776</f>
        <v>25446.29</v>
      </c>
    </row>
    <row r="754" spans="1:7" ht="63" x14ac:dyDescent="0.25">
      <c r="A754" s="34" t="s">
        <v>958</v>
      </c>
      <c r="B754" s="285" t="s">
        <v>314</v>
      </c>
      <c r="C754" s="285" t="s">
        <v>133</v>
      </c>
      <c r="D754" s="285" t="s">
        <v>959</v>
      </c>
      <c r="E754" s="285"/>
      <c r="F754" s="325">
        <f>F755</f>
        <v>23784</v>
      </c>
      <c r="G754" s="325">
        <f>G755</f>
        <v>23784</v>
      </c>
    </row>
    <row r="755" spans="1:7" ht="31.5" x14ac:dyDescent="0.25">
      <c r="A755" s="31" t="s">
        <v>832</v>
      </c>
      <c r="B755" s="32" t="s">
        <v>314</v>
      </c>
      <c r="C755" s="32" t="s">
        <v>133</v>
      </c>
      <c r="D755" s="32" t="s">
        <v>957</v>
      </c>
      <c r="E755" s="32"/>
      <c r="F755" s="326">
        <f>'Пр.5 Рд,пр, ЦС,ВР 20'!F759</f>
        <v>23784</v>
      </c>
      <c r="G755" s="326">
        <f t="shared" si="35"/>
        <v>23784</v>
      </c>
    </row>
    <row r="756" spans="1:7" ht="126" x14ac:dyDescent="0.25">
      <c r="A756" s="31" t="s">
        <v>142</v>
      </c>
      <c r="B756" s="32" t="s">
        <v>314</v>
      </c>
      <c r="C756" s="32" t="s">
        <v>133</v>
      </c>
      <c r="D756" s="32" t="s">
        <v>957</v>
      </c>
      <c r="E756" s="32" t="s">
        <v>143</v>
      </c>
      <c r="F756" s="326">
        <f>'Пр.5 Рд,пр, ЦС,ВР 20'!F760</f>
        <v>20032</v>
      </c>
      <c r="G756" s="326">
        <f t="shared" si="35"/>
        <v>20032</v>
      </c>
    </row>
    <row r="757" spans="1:7" ht="31.5" x14ac:dyDescent="0.25">
      <c r="A757" s="31" t="s">
        <v>223</v>
      </c>
      <c r="B757" s="32" t="s">
        <v>314</v>
      </c>
      <c r="C757" s="32" t="s">
        <v>133</v>
      </c>
      <c r="D757" s="32" t="s">
        <v>957</v>
      </c>
      <c r="E757" s="32" t="s">
        <v>224</v>
      </c>
      <c r="F757" s="326">
        <f>'Пр.5 Рд,пр, ЦС,ВР 20'!F761</f>
        <v>20032</v>
      </c>
      <c r="G757" s="326">
        <f t="shared" si="35"/>
        <v>20032</v>
      </c>
    </row>
    <row r="758" spans="1:7" ht="47.25" x14ac:dyDescent="0.25">
      <c r="A758" s="31" t="s">
        <v>146</v>
      </c>
      <c r="B758" s="32" t="s">
        <v>314</v>
      </c>
      <c r="C758" s="32" t="s">
        <v>133</v>
      </c>
      <c r="D758" s="32" t="s">
        <v>957</v>
      </c>
      <c r="E758" s="32" t="s">
        <v>147</v>
      </c>
      <c r="F758" s="326">
        <f>'Пр.5 Рд,пр, ЦС,ВР 20'!F762</f>
        <v>3715</v>
      </c>
      <c r="G758" s="326">
        <f t="shared" si="35"/>
        <v>3715</v>
      </c>
    </row>
    <row r="759" spans="1:7" ht="63" x14ac:dyDescent="0.25">
      <c r="A759" s="31" t="s">
        <v>148</v>
      </c>
      <c r="B759" s="32" t="s">
        <v>314</v>
      </c>
      <c r="C759" s="32" t="s">
        <v>133</v>
      </c>
      <c r="D759" s="32" t="s">
        <v>957</v>
      </c>
      <c r="E759" s="32" t="s">
        <v>149</v>
      </c>
      <c r="F759" s="326">
        <f>'Пр.5 Рд,пр, ЦС,ВР 20'!F763</f>
        <v>3715</v>
      </c>
      <c r="G759" s="326">
        <f t="shared" si="35"/>
        <v>3715</v>
      </c>
    </row>
    <row r="760" spans="1:7" ht="31.5" x14ac:dyDescent="0.25">
      <c r="A760" s="31" t="s">
        <v>150</v>
      </c>
      <c r="B760" s="32" t="s">
        <v>314</v>
      </c>
      <c r="C760" s="32" t="s">
        <v>133</v>
      </c>
      <c r="D760" s="32" t="s">
        <v>957</v>
      </c>
      <c r="E760" s="32" t="s">
        <v>160</v>
      </c>
      <c r="F760" s="326">
        <f>'Пр.5 Рд,пр, ЦС,ВР 20'!F764</f>
        <v>37</v>
      </c>
      <c r="G760" s="326">
        <f t="shared" si="35"/>
        <v>37</v>
      </c>
    </row>
    <row r="761" spans="1:7" ht="31.5" x14ac:dyDescent="0.25">
      <c r="A761" s="31" t="s">
        <v>583</v>
      </c>
      <c r="B761" s="32" t="s">
        <v>314</v>
      </c>
      <c r="C761" s="32" t="s">
        <v>133</v>
      </c>
      <c r="D761" s="32" t="s">
        <v>957</v>
      </c>
      <c r="E761" s="32" t="s">
        <v>153</v>
      </c>
      <c r="F761" s="326">
        <f>'Пр.5 Рд,пр, ЦС,ВР 20'!F765</f>
        <v>37</v>
      </c>
      <c r="G761" s="326">
        <f t="shared" si="35"/>
        <v>37</v>
      </c>
    </row>
    <row r="762" spans="1:7" ht="63" x14ac:dyDescent="0.25">
      <c r="A762" s="438" t="s">
        <v>972</v>
      </c>
      <c r="B762" s="285" t="s">
        <v>314</v>
      </c>
      <c r="C762" s="285" t="s">
        <v>133</v>
      </c>
      <c r="D762" s="285" t="s">
        <v>960</v>
      </c>
      <c r="E762" s="285"/>
      <c r="F762" s="325">
        <f>F763</f>
        <v>250</v>
      </c>
      <c r="G762" s="325">
        <f>G763</f>
        <v>250</v>
      </c>
    </row>
    <row r="763" spans="1:7" ht="47.25" x14ac:dyDescent="0.25">
      <c r="A763" s="31" t="s">
        <v>861</v>
      </c>
      <c r="B763" s="32" t="s">
        <v>314</v>
      </c>
      <c r="C763" s="32" t="s">
        <v>133</v>
      </c>
      <c r="D763" s="32" t="s">
        <v>961</v>
      </c>
      <c r="E763" s="32"/>
      <c r="F763" s="326">
        <f>'Пр.5 Рд,пр, ЦС,ВР 20'!F767</f>
        <v>250</v>
      </c>
      <c r="G763" s="326">
        <f t="shared" si="35"/>
        <v>250</v>
      </c>
    </row>
    <row r="764" spans="1:7" ht="126" hidden="1" x14ac:dyDescent="0.25">
      <c r="A764" s="31" t="s">
        <v>142</v>
      </c>
      <c r="B764" s="32" t="s">
        <v>314</v>
      </c>
      <c r="C764" s="32" t="s">
        <v>133</v>
      </c>
      <c r="D764" s="32" t="s">
        <v>961</v>
      </c>
      <c r="E764" s="32" t="s">
        <v>143</v>
      </c>
      <c r="F764" s="326">
        <f>'Пр.5 Рд,пр, ЦС,ВР 20'!F768</f>
        <v>0</v>
      </c>
      <c r="G764" s="326">
        <f t="shared" si="35"/>
        <v>0</v>
      </c>
    </row>
    <row r="765" spans="1:7" ht="31.5" hidden="1" x14ac:dyDescent="0.25">
      <c r="A765" s="31" t="s">
        <v>223</v>
      </c>
      <c r="B765" s="32" t="s">
        <v>314</v>
      </c>
      <c r="C765" s="32" t="s">
        <v>133</v>
      </c>
      <c r="D765" s="32" t="s">
        <v>961</v>
      </c>
      <c r="E765" s="32" t="s">
        <v>224</v>
      </c>
      <c r="F765" s="326">
        <f>'Пр.5 Рд,пр, ЦС,ВР 20'!F769</f>
        <v>0</v>
      </c>
      <c r="G765" s="326">
        <f t="shared" si="35"/>
        <v>0</v>
      </c>
    </row>
    <row r="766" spans="1:7" ht="47.25" x14ac:dyDescent="0.25">
      <c r="A766" s="31" t="s">
        <v>146</v>
      </c>
      <c r="B766" s="32" t="s">
        <v>314</v>
      </c>
      <c r="C766" s="32" t="s">
        <v>133</v>
      </c>
      <c r="D766" s="32" t="s">
        <v>961</v>
      </c>
      <c r="E766" s="32" t="s">
        <v>147</v>
      </c>
      <c r="F766" s="326">
        <f>'Пр.5 Рд,пр, ЦС,ВР 20'!F770</f>
        <v>250</v>
      </c>
      <c r="G766" s="326">
        <f t="shared" si="35"/>
        <v>250</v>
      </c>
    </row>
    <row r="767" spans="1:7" ht="63" x14ac:dyDescent="0.25">
      <c r="A767" s="31" t="s">
        <v>148</v>
      </c>
      <c r="B767" s="32" t="s">
        <v>314</v>
      </c>
      <c r="C767" s="32" t="s">
        <v>133</v>
      </c>
      <c r="D767" s="32" t="s">
        <v>961</v>
      </c>
      <c r="E767" s="32" t="s">
        <v>149</v>
      </c>
      <c r="F767" s="326">
        <f>'Пр.5 Рд,пр, ЦС,ВР 20'!F771</f>
        <v>250</v>
      </c>
      <c r="G767" s="326">
        <f t="shared" si="35"/>
        <v>250</v>
      </c>
    </row>
    <row r="768" spans="1:7" ht="63" x14ac:dyDescent="0.25">
      <c r="A768" s="34" t="s">
        <v>1081</v>
      </c>
      <c r="B768" s="285" t="s">
        <v>314</v>
      </c>
      <c r="C768" s="285" t="s">
        <v>133</v>
      </c>
      <c r="D768" s="285" t="s">
        <v>1170</v>
      </c>
      <c r="E768" s="285"/>
      <c r="F768" s="325">
        <f>F769</f>
        <v>588</v>
      </c>
      <c r="G768" s="325">
        <f>G769</f>
        <v>588</v>
      </c>
    </row>
    <row r="769" spans="1:7" ht="63" x14ac:dyDescent="0.25">
      <c r="A769" s="31" t="s">
        <v>886</v>
      </c>
      <c r="B769" s="32" t="s">
        <v>314</v>
      </c>
      <c r="C769" s="32" t="s">
        <v>133</v>
      </c>
      <c r="D769" s="32" t="s">
        <v>1171</v>
      </c>
      <c r="E769" s="32"/>
      <c r="F769" s="326">
        <f>'Пр.5 Рд,пр, ЦС,ВР 20'!F773</f>
        <v>588</v>
      </c>
      <c r="G769" s="326">
        <f t="shared" si="35"/>
        <v>588</v>
      </c>
    </row>
    <row r="770" spans="1:7" ht="126" x14ac:dyDescent="0.25">
      <c r="A770" s="31" t="s">
        <v>142</v>
      </c>
      <c r="B770" s="32" t="s">
        <v>314</v>
      </c>
      <c r="C770" s="32" t="s">
        <v>133</v>
      </c>
      <c r="D770" s="32" t="s">
        <v>1171</v>
      </c>
      <c r="E770" s="32" t="s">
        <v>143</v>
      </c>
      <c r="F770" s="326">
        <f>'Пр.5 Рд,пр, ЦС,ВР 20'!F774</f>
        <v>588</v>
      </c>
      <c r="G770" s="326">
        <f t="shared" si="35"/>
        <v>588</v>
      </c>
    </row>
    <row r="771" spans="1:7" ht="47.25" x14ac:dyDescent="0.25">
      <c r="A771" s="31" t="s">
        <v>144</v>
      </c>
      <c r="B771" s="32" t="s">
        <v>314</v>
      </c>
      <c r="C771" s="32" t="s">
        <v>133</v>
      </c>
      <c r="D771" s="32" t="s">
        <v>1171</v>
      </c>
      <c r="E771" s="32" t="s">
        <v>224</v>
      </c>
      <c r="F771" s="326">
        <f>'Пр.5 Рд,пр, ЦС,ВР 20'!F775</f>
        <v>588</v>
      </c>
      <c r="G771" s="326">
        <f t="shared" si="35"/>
        <v>588</v>
      </c>
    </row>
    <row r="772" spans="1:7" ht="50.25" customHeight="1" x14ac:dyDescent="0.25">
      <c r="A772" s="444" t="s">
        <v>973</v>
      </c>
      <c r="B772" s="285" t="s">
        <v>314</v>
      </c>
      <c r="C772" s="285" t="s">
        <v>133</v>
      </c>
      <c r="D772" s="285" t="s">
        <v>1172</v>
      </c>
      <c r="E772" s="285"/>
      <c r="F772" s="325">
        <f>F773</f>
        <v>824.29</v>
      </c>
      <c r="G772" s="325">
        <f>G773</f>
        <v>824.29</v>
      </c>
    </row>
    <row r="773" spans="1:7" ht="157.5" x14ac:dyDescent="0.25">
      <c r="A773" s="31" t="s">
        <v>308</v>
      </c>
      <c r="B773" s="32" t="s">
        <v>314</v>
      </c>
      <c r="C773" s="32" t="s">
        <v>133</v>
      </c>
      <c r="D773" s="32" t="s">
        <v>1173</v>
      </c>
      <c r="E773" s="32"/>
      <c r="F773" s="326">
        <f>'Пр.5 Рд,пр, ЦС,ВР 20'!F777</f>
        <v>824.29</v>
      </c>
      <c r="G773" s="326">
        <f t="shared" si="35"/>
        <v>824.29</v>
      </c>
    </row>
    <row r="774" spans="1:7" ht="126" x14ac:dyDescent="0.25">
      <c r="A774" s="31" t="s">
        <v>142</v>
      </c>
      <c r="B774" s="32" t="s">
        <v>314</v>
      </c>
      <c r="C774" s="32" t="s">
        <v>133</v>
      </c>
      <c r="D774" s="32" t="s">
        <v>1173</v>
      </c>
      <c r="E774" s="32" t="s">
        <v>143</v>
      </c>
      <c r="F774" s="326">
        <f>'Пр.5 Рд,пр, ЦС,ВР 20'!F778</f>
        <v>824.29</v>
      </c>
      <c r="G774" s="326">
        <f t="shared" si="35"/>
        <v>824.29</v>
      </c>
    </row>
    <row r="775" spans="1:7" ht="31.5" x14ac:dyDescent="0.25">
      <c r="A775" s="31" t="s">
        <v>223</v>
      </c>
      <c r="B775" s="32" t="s">
        <v>314</v>
      </c>
      <c r="C775" s="32" t="s">
        <v>133</v>
      </c>
      <c r="D775" s="32" t="s">
        <v>1173</v>
      </c>
      <c r="E775" s="32" t="s">
        <v>224</v>
      </c>
      <c r="F775" s="326">
        <f>'Пр.5 Рд,пр, ЦС,ВР 20'!F779</f>
        <v>824.29</v>
      </c>
      <c r="G775" s="326">
        <f t="shared" si="35"/>
        <v>824.29</v>
      </c>
    </row>
    <row r="776" spans="1:7" ht="47.25" x14ac:dyDescent="0.25">
      <c r="A776" s="369" t="s">
        <v>1471</v>
      </c>
      <c r="B776" s="285" t="s">
        <v>314</v>
      </c>
      <c r="C776" s="285" t="s">
        <v>133</v>
      </c>
      <c r="D776" s="285" t="s">
        <v>1470</v>
      </c>
      <c r="E776" s="285"/>
      <c r="F776" s="416">
        <f t="shared" ref="F776:G778" si="36">F777</f>
        <v>2202.4</v>
      </c>
      <c r="G776" s="416">
        <f t="shared" si="36"/>
        <v>0</v>
      </c>
    </row>
    <row r="777" spans="1:7" ht="78.75" x14ac:dyDescent="0.25">
      <c r="A777" s="370" t="s">
        <v>1432</v>
      </c>
      <c r="B777" s="32" t="s">
        <v>314</v>
      </c>
      <c r="C777" s="32" t="s">
        <v>133</v>
      </c>
      <c r="D777" s="32" t="s">
        <v>1469</v>
      </c>
      <c r="E777" s="32"/>
      <c r="F777" s="415">
        <f t="shared" si="36"/>
        <v>2202.4</v>
      </c>
      <c r="G777" s="415">
        <f t="shared" si="36"/>
        <v>0</v>
      </c>
    </row>
    <row r="778" spans="1:7" ht="47.25" x14ac:dyDescent="0.25">
      <c r="A778" s="31" t="s">
        <v>146</v>
      </c>
      <c r="B778" s="32" t="s">
        <v>314</v>
      </c>
      <c r="C778" s="32" t="s">
        <v>133</v>
      </c>
      <c r="D778" s="32" t="s">
        <v>1469</v>
      </c>
      <c r="E778" s="32" t="s">
        <v>147</v>
      </c>
      <c r="F778" s="415">
        <f t="shared" si="36"/>
        <v>2202.4</v>
      </c>
      <c r="G778" s="415">
        <f t="shared" si="36"/>
        <v>0</v>
      </c>
    </row>
    <row r="779" spans="1:7" ht="63" x14ac:dyDescent="0.25">
      <c r="A779" s="31" t="s">
        <v>148</v>
      </c>
      <c r="B779" s="32" t="s">
        <v>314</v>
      </c>
      <c r="C779" s="32" t="s">
        <v>133</v>
      </c>
      <c r="D779" s="32" t="s">
        <v>1469</v>
      </c>
      <c r="E779" s="32" t="s">
        <v>149</v>
      </c>
      <c r="F779" s="415">
        <f>'пр.6.1.ведом.21-22'!G367</f>
        <v>2202.4</v>
      </c>
      <c r="G779" s="415">
        <f>'пр.6.1.ведом.21-22'!H367</f>
        <v>0</v>
      </c>
    </row>
    <row r="780" spans="1:7" ht="63" x14ac:dyDescent="0.25">
      <c r="A780" s="34" t="s">
        <v>1479</v>
      </c>
      <c r="B780" s="285" t="s">
        <v>314</v>
      </c>
      <c r="C780" s="285" t="s">
        <v>133</v>
      </c>
      <c r="D780" s="285" t="s">
        <v>328</v>
      </c>
      <c r="E780" s="285"/>
      <c r="F780" s="325">
        <f>F781+F789+F793+F797+F804</f>
        <v>24415.71</v>
      </c>
      <c r="G780" s="325">
        <f>G781+G789+G793+G797+G804</f>
        <v>24415.71</v>
      </c>
    </row>
    <row r="781" spans="1:7" ht="63" x14ac:dyDescent="0.25">
      <c r="A781" s="34" t="s">
        <v>958</v>
      </c>
      <c r="B781" s="285" t="s">
        <v>314</v>
      </c>
      <c r="C781" s="285" t="s">
        <v>133</v>
      </c>
      <c r="D781" s="285" t="s">
        <v>962</v>
      </c>
      <c r="E781" s="285"/>
      <c r="F781" s="325">
        <f>F782</f>
        <v>22194</v>
      </c>
      <c r="G781" s="325">
        <f>G782</f>
        <v>22194</v>
      </c>
    </row>
    <row r="782" spans="1:7" ht="31.5" x14ac:dyDescent="0.25">
      <c r="A782" s="31" t="s">
        <v>832</v>
      </c>
      <c r="B782" s="32" t="s">
        <v>314</v>
      </c>
      <c r="C782" s="32" t="s">
        <v>133</v>
      </c>
      <c r="D782" s="32" t="s">
        <v>963</v>
      </c>
      <c r="E782" s="32"/>
      <c r="F782" s="326">
        <f>'Пр.5 Рд,пр, ЦС,ВР 20'!F786</f>
        <v>22194</v>
      </c>
      <c r="G782" s="326">
        <f t="shared" si="35"/>
        <v>22194</v>
      </c>
    </row>
    <row r="783" spans="1:7" ht="126" x14ac:dyDescent="0.25">
      <c r="A783" s="31" t="s">
        <v>142</v>
      </c>
      <c r="B783" s="32" t="s">
        <v>314</v>
      </c>
      <c r="C783" s="32" t="s">
        <v>133</v>
      </c>
      <c r="D783" s="32" t="s">
        <v>963</v>
      </c>
      <c r="E783" s="32" t="s">
        <v>143</v>
      </c>
      <c r="F783" s="326">
        <f>'Пр.5 Рд,пр, ЦС,ВР 20'!F787</f>
        <v>19218</v>
      </c>
      <c r="G783" s="326">
        <f t="shared" si="35"/>
        <v>19218</v>
      </c>
    </row>
    <row r="784" spans="1:7" ht="31.5" x14ac:dyDescent="0.25">
      <c r="A784" s="31" t="s">
        <v>223</v>
      </c>
      <c r="B784" s="32" t="s">
        <v>314</v>
      </c>
      <c r="C784" s="32" t="s">
        <v>133</v>
      </c>
      <c r="D784" s="32" t="s">
        <v>963</v>
      </c>
      <c r="E784" s="32" t="s">
        <v>224</v>
      </c>
      <c r="F784" s="326">
        <f>'Пр.5 Рд,пр, ЦС,ВР 20'!F788</f>
        <v>19218</v>
      </c>
      <c r="G784" s="326">
        <f t="shared" si="35"/>
        <v>19218</v>
      </c>
    </row>
    <row r="785" spans="1:7" ht="47.25" x14ac:dyDescent="0.25">
      <c r="A785" s="31" t="s">
        <v>146</v>
      </c>
      <c r="B785" s="32" t="s">
        <v>314</v>
      </c>
      <c r="C785" s="32" t="s">
        <v>133</v>
      </c>
      <c r="D785" s="32" t="s">
        <v>963</v>
      </c>
      <c r="E785" s="32" t="s">
        <v>147</v>
      </c>
      <c r="F785" s="326">
        <f>'Пр.5 Рд,пр, ЦС,ВР 20'!F789</f>
        <v>2950</v>
      </c>
      <c r="G785" s="326">
        <f t="shared" si="35"/>
        <v>2950</v>
      </c>
    </row>
    <row r="786" spans="1:7" ht="63" x14ac:dyDescent="0.25">
      <c r="A786" s="31" t="s">
        <v>148</v>
      </c>
      <c r="B786" s="32" t="s">
        <v>314</v>
      </c>
      <c r="C786" s="32" t="s">
        <v>133</v>
      </c>
      <c r="D786" s="32" t="s">
        <v>963</v>
      </c>
      <c r="E786" s="32" t="s">
        <v>149</v>
      </c>
      <c r="F786" s="326">
        <f>'Пр.5 Рд,пр, ЦС,ВР 20'!F790</f>
        <v>2950</v>
      </c>
      <c r="G786" s="326">
        <f t="shared" si="35"/>
        <v>2950</v>
      </c>
    </row>
    <row r="787" spans="1:7" ht="31.5" x14ac:dyDescent="0.25">
      <c r="A787" s="31" t="s">
        <v>150</v>
      </c>
      <c r="B787" s="32" t="s">
        <v>314</v>
      </c>
      <c r="C787" s="32" t="s">
        <v>133</v>
      </c>
      <c r="D787" s="32" t="s">
        <v>963</v>
      </c>
      <c r="E787" s="32" t="s">
        <v>160</v>
      </c>
      <c r="F787" s="326">
        <f>'Пр.5 Рд,пр, ЦС,ВР 20'!F791</f>
        <v>26</v>
      </c>
      <c r="G787" s="326">
        <f t="shared" si="35"/>
        <v>26</v>
      </c>
    </row>
    <row r="788" spans="1:7" ht="31.5" x14ac:dyDescent="0.25">
      <c r="A788" s="31" t="s">
        <v>583</v>
      </c>
      <c r="B788" s="32" t="s">
        <v>314</v>
      </c>
      <c r="C788" s="32" t="s">
        <v>133</v>
      </c>
      <c r="D788" s="32" t="s">
        <v>963</v>
      </c>
      <c r="E788" s="32" t="s">
        <v>153</v>
      </c>
      <c r="F788" s="326">
        <f>'Пр.5 Рд,пр, ЦС,ВР 20'!F792</f>
        <v>26</v>
      </c>
      <c r="G788" s="326">
        <f t="shared" si="35"/>
        <v>26</v>
      </c>
    </row>
    <row r="789" spans="1:7" ht="47.25" x14ac:dyDescent="0.25">
      <c r="A789" s="34" t="s">
        <v>975</v>
      </c>
      <c r="B789" s="285" t="s">
        <v>314</v>
      </c>
      <c r="C789" s="285" t="s">
        <v>133</v>
      </c>
      <c r="D789" s="285" t="s">
        <v>964</v>
      </c>
      <c r="E789" s="285"/>
      <c r="F789" s="325">
        <f>F790</f>
        <v>50</v>
      </c>
      <c r="G789" s="325">
        <f>G790</f>
        <v>50</v>
      </c>
    </row>
    <row r="790" spans="1:7" ht="47.25" x14ac:dyDescent="0.25">
      <c r="A790" s="31" t="s">
        <v>867</v>
      </c>
      <c r="B790" s="32" t="s">
        <v>314</v>
      </c>
      <c r="C790" s="32" t="s">
        <v>133</v>
      </c>
      <c r="D790" s="32" t="s">
        <v>965</v>
      </c>
      <c r="E790" s="32"/>
      <c r="F790" s="326">
        <f>'Пр.5 Рд,пр, ЦС,ВР 20'!F794</f>
        <v>50</v>
      </c>
      <c r="G790" s="326">
        <f t="shared" si="35"/>
        <v>50</v>
      </c>
    </row>
    <row r="791" spans="1:7" ht="47.25" x14ac:dyDescent="0.25">
      <c r="A791" s="31" t="s">
        <v>146</v>
      </c>
      <c r="B791" s="32" t="s">
        <v>314</v>
      </c>
      <c r="C791" s="32" t="s">
        <v>133</v>
      </c>
      <c r="D791" s="32" t="s">
        <v>965</v>
      </c>
      <c r="E791" s="32" t="s">
        <v>147</v>
      </c>
      <c r="F791" s="326">
        <f>'Пр.5 Рд,пр, ЦС,ВР 20'!F795</f>
        <v>50</v>
      </c>
      <c r="G791" s="326">
        <f t="shared" si="35"/>
        <v>50</v>
      </c>
    </row>
    <row r="792" spans="1:7" ht="63" x14ac:dyDescent="0.25">
      <c r="A792" s="31" t="s">
        <v>148</v>
      </c>
      <c r="B792" s="32" t="s">
        <v>314</v>
      </c>
      <c r="C792" s="32" t="s">
        <v>133</v>
      </c>
      <c r="D792" s="32" t="s">
        <v>965</v>
      </c>
      <c r="E792" s="32" t="s">
        <v>149</v>
      </c>
      <c r="F792" s="326">
        <f>'Пр.5 Рд,пр, ЦС,ВР 20'!F796</f>
        <v>50</v>
      </c>
      <c r="G792" s="326">
        <f t="shared" si="35"/>
        <v>50</v>
      </c>
    </row>
    <row r="793" spans="1:7" ht="63" x14ac:dyDescent="0.25">
      <c r="A793" s="34" t="s">
        <v>1081</v>
      </c>
      <c r="B793" s="285" t="s">
        <v>314</v>
      </c>
      <c r="C793" s="285" t="s">
        <v>133</v>
      </c>
      <c r="D793" s="285" t="s">
        <v>966</v>
      </c>
      <c r="E793" s="285"/>
      <c r="F793" s="325">
        <f>F794</f>
        <v>507</v>
      </c>
      <c r="G793" s="325">
        <f>G794</f>
        <v>507</v>
      </c>
    </row>
    <row r="794" spans="1:7" ht="63" x14ac:dyDescent="0.25">
      <c r="A794" s="31" t="s">
        <v>886</v>
      </c>
      <c r="B794" s="32" t="s">
        <v>314</v>
      </c>
      <c r="C794" s="32" t="s">
        <v>133</v>
      </c>
      <c r="D794" s="32" t="s">
        <v>1263</v>
      </c>
      <c r="E794" s="32"/>
      <c r="F794" s="326">
        <f>'Пр.5 Рд,пр, ЦС,ВР 20'!F798</f>
        <v>507</v>
      </c>
      <c r="G794" s="326">
        <f t="shared" si="35"/>
        <v>507</v>
      </c>
    </row>
    <row r="795" spans="1:7" ht="126" x14ac:dyDescent="0.25">
      <c r="A795" s="31" t="s">
        <v>142</v>
      </c>
      <c r="B795" s="32" t="s">
        <v>314</v>
      </c>
      <c r="C795" s="32" t="s">
        <v>133</v>
      </c>
      <c r="D795" s="32" t="s">
        <v>1263</v>
      </c>
      <c r="E795" s="32" t="s">
        <v>143</v>
      </c>
      <c r="F795" s="326">
        <f>'Пр.5 Рд,пр, ЦС,ВР 20'!F799</f>
        <v>507</v>
      </c>
      <c r="G795" s="326">
        <f t="shared" si="35"/>
        <v>507</v>
      </c>
    </row>
    <row r="796" spans="1:7" ht="47.25" x14ac:dyDescent="0.25">
      <c r="A796" s="31" t="s">
        <v>144</v>
      </c>
      <c r="B796" s="32" t="s">
        <v>314</v>
      </c>
      <c r="C796" s="32" t="s">
        <v>133</v>
      </c>
      <c r="D796" s="32" t="s">
        <v>1263</v>
      </c>
      <c r="E796" s="32" t="s">
        <v>224</v>
      </c>
      <c r="F796" s="326">
        <f>'Пр.5 Рд,пр, ЦС,ВР 20'!F800</f>
        <v>507</v>
      </c>
      <c r="G796" s="326">
        <f t="shared" si="35"/>
        <v>507</v>
      </c>
    </row>
    <row r="797" spans="1:7" ht="47.25" x14ac:dyDescent="0.25">
      <c r="A797" s="34" t="s">
        <v>1169</v>
      </c>
      <c r="B797" s="285" t="s">
        <v>314</v>
      </c>
      <c r="C797" s="285" t="s">
        <v>133</v>
      </c>
      <c r="D797" s="285" t="s">
        <v>967</v>
      </c>
      <c r="E797" s="285"/>
      <c r="F797" s="325">
        <f>F798+F801</f>
        <v>68.7</v>
      </c>
      <c r="G797" s="325">
        <f>G798+G801</f>
        <v>68.7</v>
      </c>
    </row>
    <row r="798" spans="1:7" ht="31.5" x14ac:dyDescent="0.25">
      <c r="A798" s="31" t="s">
        <v>344</v>
      </c>
      <c r="B798" s="32" t="s">
        <v>314</v>
      </c>
      <c r="C798" s="32" t="s">
        <v>133</v>
      </c>
      <c r="D798" s="32" t="s">
        <v>1264</v>
      </c>
      <c r="E798" s="32"/>
      <c r="F798" s="326">
        <f>'Пр.5 Рд,пр, ЦС,ВР 20'!F802</f>
        <v>3.5</v>
      </c>
      <c r="G798" s="326">
        <f t="shared" si="35"/>
        <v>3.5</v>
      </c>
    </row>
    <row r="799" spans="1:7" ht="47.25" x14ac:dyDescent="0.25">
      <c r="A799" s="31" t="s">
        <v>146</v>
      </c>
      <c r="B799" s="32" t="s">
        <v>314</v>
      </c>
      <c r="C799" s="32" t="s">
        <v>133</v>
      </c>
      <c r="D799" s="32" t="s">
        <v>1264</v>
      </c>
      <c r="E799" s="32" t="s">
        <v>147</v>
      </c>
      <c r="F799" s="326">
        <f>'Пр.5 Рд,пр, ЦС,ВР 20'!F803</f>
        <v>3.5</v>
      </c>
      <c r="G799" s="326">
        <f t="shared" si="35"/>
        <v>3.5</v>
      </c>
    </row>
    <row r="800" spans="1:7" ht="63" x14ac:dyDescent="0.25">
      <c r="A800" s="31" t="s">
        <v>148</v>
      </c>
      <c r="B800" s="32" t="s">
        <v>314</v>
      </c>
      <c r="C800" s="32" t="s">
        <v>133</v>
      </c>
      <c r="D800" s="32" t="s">
        <v>1264</v>
      </c>
      <c r="E800" s="32" t="s">
        <v>149</v>
      </c>
      <c r="F800" s="326">
        <f>'Пр.5 Рд,пр, ЦС,ВР 20'!F804</f>
        <v>3.5</v>
      </c>
      <c r="G800" s="326">
        <f t="shared" si="35"/>
        <v>3.5</v>
      </c>
    </row>
    <row r="801" spans="1:7" ht="31.5" x14ac:dyDescent="0.25">
      <c r="A801" s="31" t="s">
        <v>344</v>
      </c>
      <c r="B801" s="32" t="s">
        <v>314</v>
      </c>
      <c r="C801" s="32" t="s">
        <v>133</v>
      </c>
      <c r="D801" s="32" t="s">
        <v>1265</v>
      </c>
      <c r="E801" s="32"/>
      <c r="F801" s="326">
        <f>'Пр.5 Рд,пр, ЦС,ВР 20'!F805</f>
        <v>65.2</v>
      </c>
      <c r="G801" s="326">
        <f t="shared" si="35"/>
        <v>65.2</v>
      </c>
    </row>
    <row r="802" spans="1:7" ht="47.25" x14ac:dyDescent="0.25">
      <c r="A802" s="31" t="s">
        <v>146</v>
      </c>
      <c r="B802" s="32" t="s">
        <v>314</v>
      </c>
      <c r="C802" s="32" t="s">
        <v>133</v>
      </c>
      <c r="D802" s="32" t="s">
        <v>1265</v>
      </c>
      <c r="E802" s="32" t="s">
        <v>147</v>
      </c>
      <c r="F802" s="326">
        <f>'Пр.5 Рд,пр, ЦС,ВР 20'!F806</f>
        <v>65.2</v>
      </c>
      <c r="G802" s="326">
        <f t="shared" si="35"/>
        <v>65.2</v>
      </c>
    </row>
    <row r="803" spans="1:7" ht="63" x14ac:dyDescent="0.25">
      <c r="A803" s="31" t="s">
        <v>148</v>
      </c>
      <c r="B803" s="32" t="s">
        <v>314</v>
      </c>
      <c r="C803" s="32" t="s">
        <v>133</v>
      </c>
      <c r="D803" s="32" t="s">
        <v>1265</v>
      </c>
      <c r="E803" s="431">
        <v>240</v>
      </c>
      <c r="F803" s="326">
        <f>'Пр.5 Рд,пр, ЦС,ВР 20'!F807</f>
        <v>65.2</v>
      </c>
      <c r="G803" s="326">
        <f t="shared" si="35"/>
        <v>65.2</v>
      </c>
    </row>
    <row r="804" spans="1:7" ht="78.75" x14ac:dyDescent="0.25">
      <c r="A804" s="444" t="s">
        <v>973</v>
      </c>
      <c r="B804" s="285" t="s">
        <v>314</v>
      </c>
      <c r="C804" s="285" t="s">
        <v>133</v>
      </c>
      <c r="D804" s="285" t="s">
        <v>1266</v>
      </c>
      <c r="E804" s="285"/>
      <c r="F804" s="430">
        <f>F805+F808</f>
        <v>1596.01</v>
      </c>
      <c r="G804" s="430">
        <f>G805+G808</f>
        <v>1596.01</v>
      </c>
    </row>
    <row r="805" spans="1:7" ht="126" x14ac:dyDescent="0.25">
      <c r="A805" s="31" t="s">
        <v>346</v>
      </c>
      <c r="B805" s="32" t="s">
        <v>314</v>
      </c>
      <c r="C805" s="32" t="s">
        <v>133</v>
      </c>
      <c r="D805" s="32" t="s">
        <v>1267</v>
      </c>
      <c r="E805" s="32"/>
      <c r="F805" s="326">
        <f>'Пр.5 Рд,пр, ЦС,ВР 20'!F809</f>
        <v>319.7</v>
      </c>
      <c r="G805" s="326">
        <f t="shared" si="35"/>
        <v>319.7</v>
      </c>
    </row>
    <row r="806" spans="1:7" ht="126" x14ac:dyDescent="0.25">
      <c r="A806" s="31" t="s">
        <v>142</v>
      </c>
      <c r="B806" s="32" t="s">
        <v>314</v>
      </c>
      <c r="C806" s="32" t="s">
        <v>133</v>
      </c>
      <c r="D806" s="32" t="s">
        <v>1267</v>
      </c>
      <c r="E806" s="32" t="s">
        <v>143</v>
      </c>
      <c r="F806" s="326">
        <f>'Пр.5 Рд,пр, ЦС,ВР 20'!F810</f>
        <v>319.7</v>
      </c>
      <c r="G806" s="326">
        <f t="shared" si="35"/>
        <v>319.7</v>
      </c>
    </row>
    <row r="807" spans="1:7" ht="31.5" x14ac:dyDescent="0.25">
      <c r="A807" s="31" t="s">
        <v>223</v>
      </c>
      <c r="B807" s="32" t="s">
        <v>314</v>
      </c>
      <c r="C807" s="32" t="s">
        <v>133</v>
      </c>
      <c r="D807" s="32" t="s">
        <v>1267</v>
      </c>
      <c r="E807" s="32" t="s">
        <v>224</v>
      </c>
      <c r="F807" s="326">
        <f>'Пр.5 Рд,пр, ЦС,ВР 20'!F811</f>
        <v>319.7</v>
      </c>
      <c r="G807" s="326">
        <f t="shared" si="35"/>
        <v>319.7</v>
      </c>
    </row>
    <row r="808" spans="1:7" ht="157.5" x14ac:dyDescent="0.25">
      <c r="A808" s="31" t="s">
        <v>308</v>
      </c>
      <c r="B808" s="32" t="s">
        <v>314</v>
      </c>
      <c r="C808" s="32" t="s">
        <v>133</v>
      </c>
      <c r="D808" s="32" t="s">
        <v>1268</v>
      </c>
      <c r="E808" s="32"/>
      <c r="F808" s="326">
        <f>'Пр.5 Рд,пр, ЦС,ВР 20'!F812</f>
        <v>1276.31</v>
      </c>
      <c r="G808" s="326">
        <f t="shared" si="35"/>
        <v>1276.31</v>
      </c>
    </row>
    <row r="809" spans="1:7" ht="126" x14ac:dyDescent="0.25">
      <c r="A809" s="31" t="s">
        <v>142</v>
      </c>
      <c r="B809" s="32" t="s">
        <v>314</v>
      </c>
      <c r="C809" s="32" t="s">
        <v>133</v>
      </c>
      <c r="D809" s="32" t="s">
        <v>1268</v>
      </c>
      <c r="E809" s="32" t="s">
        <v>143</v>
      </c>
      <c r="F809" s="326">
        <f>'Пр.5 Рд,пр, ЦС,ВР 20'!F813</f>
        <v>1276.31</v>
      </c>
      <c r="G809" s="326">
        <f t="shared" si="35"/>
        <v>1276.31</v>
      </c>
    </row>
    <row r="810" spans="1:7" ht="31.5" x14ac:dyDescent="0.25">
      <c r="A810" s="31" t="s">
        <v>223</v>
      </c>
      <c r="B810" s="32" t="s">
        <v>314</v>
      </c>
      <c r="C810" s="32" t="s">
        <v>133</v>
      </c>
      <c r="D810" s="32" t="s">
        <v>1268</v>
      </c>
      <c r="E810" s="32" t="s">
        <v>224</v>
      </c>
      <c r="F810" s="326">
        <f>'Пр.5 Рд,пр, ЦС,ВР 20'!F814</f>
        <v>1276.31</v>
      </c>
      <c r="G810" s="326">
        <f t="shared" si="35"/>
        <v>1276.31</v>
      </c>
    </row>
    <row r="811" spans="1:7" ht="94.5" hidden="1" x14ac:dyDescent="0.25">
      <c r="A811" s="34" t="s">
        <v>804</v>
      </c>
      <c r="B811" s="285" t="s">
        <v>314</v>
      </c>
      <c r="C811" s="285" t="s">
        <v>133</v>
      </c>
      <c r="D811" s="285" t="s">
        <v>339</v>
      </c>
      <c r="E811" s="285"/>
      <c r="F811" s="430">
        <f t="shared" ref="F811:G814" si="37">F812</f>
        <v>0</v>
      </c>
      <c r="G811" s="430">
        <f t="shared" si="37"/>
        <v>0</v>
      </c>
    </row>
    <row r="812" spans="1:7" ht="94.5" hidden="1" x14ac:dyDescent="0.25">
      <c r="A812" s="34" t="s">
        <v>1198</v>
      </c>
      <c r="B812" s="285" t="s">
        <v>314</v>
      </c>
      <c r="C812" s="285" t="s">
        <v>133</v>
      </c>
      <c r="D812" s="285" t="s">
        <v>1030</v>
      </c>
      <c r="E812" s="285"/>
      <c r="F812" s="325">
        <f t="shared" si="37"/>
        <v>0</v>
      </c>
      <c r="G812" s="325">
        <f t="shared" si="37"/>
        <v>0</v>
      </c>
    </row>
    <row r="813" spans="1:7" ht="78.75" hidden="1" x14ac:dyDescent="0.25">
      <c r="A813" s="31" t="s">
        <v>1283</v>
      </c>
      <c r="B813" s="32" t="s">
        <v>314</v>
      </c>
      <c r="C813" s="32" t="s">
        <v>133</v>
      </c>
      <c r="D813" s="32" t="s">
        <v>1200</v>
      </c>
      <c r="E813" s="32"/>
      <c r="F813" s="326">
        <f t="shared" si="37"/>
        <v>0</v>
      </c>
      <c r="G813" s="326">
        <f t="shared" si="37"/>
        <v>0</v>
      </c>
    </row>
    <row r="814" spans="1:7" ht="47.25" hidden="1" x14ac:dyDescent="0.25">
      <c r="A814" s="31" t="s">
        <v>146</v>
      </c>
      <c r="B814" s="32" t="s">
        <v>314</v>
      </c>
      <c r="C814" s="32" t="s">
        <v>133</v>
      </c>
      <c r="D814" s="32" t="s">
        <v>1200</v>
      </c>
      <c r="E814" s="32" t="s">
        <v>147</v>
      </c>
      <c r="F814" s="326">
        <f t="shared" si="37"/>
        <v>0</v>
      </c>
      <c r="G814" s="326">
        <f t="shared" si="37"/>
        <v>0</v>
      </c>
    </row>
    <row r="815" spans="1:7" ht="63" hidden="1" x14ac:dyDescent="0.25">
      <c r="A815" s="31" t="s">
        <v>148</v>
      </c>
      <c r="B815" s="32" t="s">
        <v>314</v>
      </c>
      <c r="C815" s="32" t="s">
        <v>133</v>
      </c>
      <c r="D815" s="32" t="s">
        <v>1200</v>
      </c>
      <c r="E815" s="32" t="s">
        <v>149</v>
      </c>
      <c r="F815" s="326">
        <f>'пр.6.1.ведом.21-22'!G403</f>
        <v>0</v>
      </c>
      <c r="G815" s="326">
        <f>'пр.6.1.ведом.21-22'!H403</f>
        <v>0</v>
      </c>
    </row>
    <row r="816" spans="1:7" ht="78.75" x14ac:dyDescent="0.25">
      <c r="A816" s="58" t="s">
        <v>1452</v>
      </c>
      <c r="B816" s="285" t="s">
        <v>314</v>
      </c>
      <c r="C816" s="285" t="s">
        <v>133</v>
      </c>
      <c r="D816" s="285" t="s">
        <v>727</v>
      </c>
      <c r="E816" s="285"/>
      <c r="F816" s="325">
        <f t="shared" ref="F816:G816" si="38">F817</f>
        <v>793.2</v>
      </c>
      <c r="G816" s="325">
        <f t="shared" si="38"/>
        <v>793.2</v>
      </c>
    </row>
    <row r="817" spans="1:7" ht="78.75" x14ac:dyDescent="0.25">
      <c r="A817" s="58" t="s">
        <v>951</v>
      </c>
      <c r="B817" s="285" t="s">
        <v>314</v>
      </c>
      <c r="C817" s="285" t="s">
        <v>133</v>
      </c>
      <c r="D817" s="285" t="s">
        <v>949</v>
      </c>
      <c r="E817" s="285"/>
      <c r="F817" s="325">
        <f>F818</f>
        <v>793.2</v>
      </c>
      <c r="G817" s="325">
        <f>G818</f>
        <v>793.2</v>
      </c>
    </row>
    <row r="818" spans="1:7" ht="63" x14ac:dyDescent="0.25">
      <c r="A818" s="101" t="s">
        <v>1194</v>
      </c>
      <c r="B818" s="32" t="s">
        <v>314</v>
      </c>
      <c r="C818" s="32" t="s">
        <v>133</v>
      </c>
      <c r="D818" s="32" t="s">
        <v>950</v>
      </c>
      <c r="E818" s="32"/>
      <c r="F818" s="326">
        <f>'Пр.5 Рд,пр, ЦС,ВР 20'!F822</f>
        <v>793.2</v>
      </c>
      <c r="G818" s="326">
        <f t="shared" ref="G818:G873" si="39">F818</f>
        <v>793.2</v>
      </c>
    </row>
    <row r="819" spans="1:7" ht="47.25" x14ac:dyDescent="0.25">
      <c r="A819" s="31" t="s">
        <v>146</v>
      </c>
      <c r="B819" s="32" t="s">
        <v>314</v>
      </c>
      <c r="C819" s="32" t="s">
        <v>133</v>
      </c>
      <c r="D819" s="32" t="s">
        <v>950</v>
      </c>
      <c r="E819" s="32" t="s">
        <v>147</v>
      </c>
      <c r="F819" s="326">
        <f>'Пр.5 Рд,пр, ЦС,ВР 20'!F823</f>
        <v>793.2</v>
      </c>
      <c r="G819" s="326">
        <f t="shared" si="39"/>
        <v>793.2</v>
      </c>
    </row>
    <row r="820" spans="1:7" ht="63" x14ac:dyDescent="0.25">
      <c r="A820" s="31" t="s">
        <v>148</v>
      </c>
      <c r="B820" s="32" t="s">
        <v>314</v>
      </c>
      <c r="C820" s="32" t="s">
        <v>133</v>
      </c>
      <c r="D820" s="32" t="s">
        <v>950</v>
      </c>
      <c r="E820" s="32" t="s">
        <v>149</v>
      </c>
      <c r="F820" s="326">
        <f>'Пр.5 Рд,пр, ЦС,ВР 20'!F824</f>
        <v>793.2</v>
      </c>
      <c r="G820" s="326">
        <f t="shared" si="39"/>
        <v>793.2</v>
      </c>
    </row>
    <row r="821" spans="1:7" ht="31.5" x14ac:dyDescent="0.25">
      <c r="A821" s="34" t="s">
        <v>348</v>
      </c>
      <c r="B821" s="285" t="s">
        <v>314</v>
      </c>
      <c r="C821" s="285" t="s">
        <v>165</v>
      </c>
      <c r="D821" s="285"/>
      <c r="E821" s="32"/>
      <c r="F821" s="325">
        <f>F822+F832+F844</f>
        <v>17339</v>
      </c>
      <c r="G821" s="325">
        <f>G822+G832+G844</f>
        <v>17339</v>
      </c>
    </row>
    <row r="822" spans="1:7" ht="47.25" x14ac:dyDescent="0.25">
      <c r="A822" s="34" t="s">
        <v>992</v>
      </c>
      <c r="B822" s="285" t="s">
        <v>314</v>
      </c>
      <c r="C822" s="285" t="s">
        <v>165</v>
      </c>
      <c r="D822" s="285" t="s">
        <v>906</v>
      </c>
      <c r="E822" s="32"/>
      <c r="F822" s="325">
        <f>F823</f>
        <v>6870</v>
      </c>
      <c r="G822" s="325">
        <f>G823</f>
        <v>6870</v>
      </c>
    </row>
    <row r="823" spans="1:7" ht="31.5" x14ac:dyDescent="0.25">
      <c r="A823" s="34" t="s">
        <v>993</v>
      </c>
      <c r="B823" s="285" t="s">
        <v>314</v>
      </c>
      <c r="C823" s="285" t="s">
        <v>165</v>
      </c>
      <c r="D823" s="285" t="s">
        <v>907</v>
      </c>
      <c r="E823" s="32"/>
      <c r="F823" s="325">
        <f>F824+F829</f>
        <v>6870</v>
      </c>
      <c r="G823" s="325">
        <f>G824+G829</f>
        <v>6870</v>
      </c>
    </row>
    <row r="824" spans="1:7" ht="47.25" x14ac:dyDescent="0.25">
      <c r="A824" s="31" t="s">
        <v>969</v>
      </c>
      <c r="B824" s="32" t="s">
        <v>314</v>
      </c>
      <c r="C824" s="32" t="s">
        <v>165</v>
      </c>
      <c r="D824" s="32" t="s">
        <v>908</v>
      </c>
      <c r="E824" s="32"/>
      <c r="F824" s="326">
        <f>'Пр.5 Рд,пр, ЦС,ВР 20'!F828</f>
        <v>6744</v>
      </c>
      <c r="G824" s="326">
        <f t="shared" si="39"/>
        <v>6744</v>
      </c>
    </row>
    <row r="825" spans="1:7" ht="126" x14ac:dyDescent="0.25">
      <c r="A825" s="31" t="s">
        <v>142</v>
      </c>
      <c r="B825" s="32" t="s">
        <v>314</v>
      </c>
      <c r="C825" s="32" t="s">
        <v>165</v>
      </c>
      <c r="D825" s="32" t="s">
        <v>908</v>
      </c>
      <c r="E825" s="32" t="s">
        <v>143</v>
      </c>
      <c r="F825" s="326">
        <f>'Пр.5 Рд,пр, ЦС,ВР 20'!F829</f>
        <v>6744</v>
      </c>
      <c r="G825" s="326">
        <f t="shared" si="39"/>
        <v>6744</v>
      </c>
    </row>
    <row r="826" spans="1:7" ht="47.25" x14ac:dyDescent="0.25">
      <c r="A826" s="31" t="s">
        <v>144</v>
      </c>
      <c r="B826" s="32" t="s">
        <v>314</v>
      </c>
      <c r="C826" s="32" t="s">
        <v>165</v>
      </c>
      <c r="D826" s="32" t="s">
        <v>908</v>
      </c>
      <c r="E826" s="9" t="s">
        <v>145</v>
      </c>
      <c r="F826" s="326">
        <f>'Пр.5 Рд,пр, ЦС,ВР 20'!F830</f>
        <v>6744</v>
      </c>
      <c r="G826" s="326">
        <f t="shared" si="39"/>
        <v>6744</v>
      </c>
    </row>
    <row r="827" spans="1:7" ht="47.25" hidden="1" x14ac:dyDescent="0.25">
      <c r="A827" s="31" t="s">
        <v>146</v>
      </c>
      <c r="B827" s="32" t="s">
        <v>314</v>
      </c>
      <c r="C827" s="32" t="s">
        <v>165</v>
      </c>
      <c r="D827" s="32" t="s">
        <v>908</v>
      </c>
      <c r="E827" s="9" t="s">
        <v>147</v>
      </c>
      <c r="F827" s="326">
        <f>'Пр.5 Рд,пр, ЦС,ВР 20'!F831</f>
        <v>0</v>
      </c>
      <c r="G827" s="326">
        <f t="shared" si="39"/>
        <v>0</v>
      </c>
    </row>
    <row r="828" spans="1:7" ht="63" hidden="1" x14ac:dyDescent="0.25">
      <c r="A828" s="31" t="s">
        <v>148</v>
      </c>
      <c r="B828" s="32" t="s">
        <v>314</v>
      </c>
      <c r="C828" s="32" t="s">
        <v>165</v>
      </c>
      <c r="D828" s="32" t="s">
        <v>908</v>
      </c>
      <c r="E828" s="9" t="s">
        <v>149</v>
      </c>
      <c r="F828" s="326">
        <f>'Пр.5 Рд,пр, ЦС,ВР 20'!F832</f>
        <v>0</v>
      </c>
      <c r="G828" s="326">
        <f t="shared" si="39"/>
        <v>0</v>
      </c>
    </row>
    <row r="829" spans="1:7" ht="63" x14ac:dyDescent="0.25">
      <c r="A829" s="31" t="s">
        <v>886</v>
      </c>
      <c r="B829" s="32" t="s">
        <v>314</v>
      </c>
      <c r="C829" s="32" t="s">
        <v>165</v>
      </c>
      <c r="D829" s="32" t="s">
        <v>910</v>
      </c>
      <c r="E829" s="9"/>
      <c r="F829" s="326">
        <f>'Пр.5 Рд,пр, ЦС,ВР 20'!F833</f>
        <v>126</v>
      </c>
      <c r="G829" s="326">
        <f t="shared" si="39"/>
        <v>126</v>
      </c>
    </row>
    <row r="830" spans="1:7" ht="126" x14ac:dyDescent="0.25">
      <c r="A830" s="31" t="s">
        <v>142</v>
      </c>
      <c r="B830" s="32" t="s">
        <v>314</v>
      </c>
      <c r="C830" s="32" t="s">
        <v>165</v>
      </c>
      <c r="D830" s="32" t="s">
        <v>910</v>
      </c>
      <c r="E830" s="9" t="s">
        <v>143</v>
      </c>
      <c r="F830" s="326">
        <f>'Пр.5 Рд,пр, ЦС,ВР 20'!F834</f>
        <v>126</v>
      </c>
      <c r="G830" s="326">
        <f t="shared" si="39"/>
        <v>126</v>
      </c>
    </row>
    <row r="831" spans="1:7" ht="47.25" x14ac:dyDescent="0.25">
      <c r="A831" s="31" t="s">
        <v>144</v>
      </c>
      <c r="B831" s="32" t="s">
        <v>314</v>
      </c>
      <c r="C831" s="32" t="s">
        <v>165</v>
      </c>
      <c r="D831" s="32" t="s">
        <v>910</v>
      </c>
      <c r="E831" s="9" t="s">
        <v>145</v>
      </c>
      <c r="F831" s="326">
        <f>'Пр.5 Рд,пр, ЦС,ВР 20'!F835</f>
        <v>126</v>
      </c>
      <c r="G831" s="326">
        <f t="shared" si="39"/>
        <v>126</v>
      </c>
    </row>
    <row r="832" spans="1:7" ht="31.5" x14ac:dyDescent="0.25">
      <c r="A832" s="34" t="s">
        <v>1003</v>
      </c>
      <c r="B832" s="285" t="s">
        <v>314</v>
      </c>
      <c r="C832" s="285" t="s">
        <v>165</v>
      </c>
      <c r="D832" s="285" t="s">
        <v>914</v>
      </c>
      <c r="E832" s="9"/>
      <c r="F832" s="325">
        <f t="shared" ref="F832:G832" si="40">F833</f>
        <v>10209</v>
      </c>
      <c r="G832" s="325">
        <f t="shared" si="40"/>
        <v>10209</v>
      </c>
    </row>
    <row r="833" spans="1:7" ht="63" x14ac:dyDescent="0.25">
      <c r="A833" s="34" t="s">
        <v>1006</v>
      </c>
      <c r="B833" s="285" t="s">
        <v>314</v>
      </c>
      <c r="C833" s="285" t="s">
        <v>165</v>
      </c>
      <c r="D833" s="285" t="s">
        <v>989</v>
      </c>
      <c r="E833" s="9"/>
      <c r="F833" s="325">
        <f>F834+F841</f>
        <v>10209</v>
      </c>
      <c r="G833" s="325">
        <f>G834+G841</f>
        <v>10209</v>
      </c>
    </row>
    <row r="834" spans="1:7" ht="47.25" x14ac:dyDescent="0.25">
      <c r="A834" s="31" t="s">
        <v>976</v>
      </c>
      <c r="B834" s="32" t="s">
        <v>314</v>
      </c>
      <c r="C834" s="32" t="s">
        <v>165</v>
      </c>
      <c r="D834" s="32" t="s">
        <v>990</v>
      </c>
      <c r="E834" s="9"/>
      <c r="F834" s="326">
        <f>'Пр.5 Рд,пр, ЦС,ВР 20'!F838</f>
        <v>9999</v>
      </c>
      <c r="G834" s="326">
        <f t="shared" si="39"/>
        <v>9999</v>
      </c>
    </row>
    <row r="835" spans="1:7" ht="126" x14ac:dyDescent="0.25">
      <c r="A835" s="31" t="s">
        <v>142</v>
      </c>
      <c r="B835" s="32" t="s">
        <v>314</v>
      </c>
      <c r="C835" s="32" t="s">
        <v>165</v>
      </c>
      <c r="D835" s="32" t="s">
        <v>990</v>
      </c>
      <c r="E835" s="9" t="s">
        <v>143</v>
      </c>
      <c r="F835" s="326">
        <f>'Пр.5 Рд,пр, ЦС,ВР 20'!F839</f>
        <v>8048</v>
      </c>
      <c r="G835" s="326">
        <f t="shared" si="39"/>
        <v>8048</v>
      </c>
    </row>
    <row r="836" spans="1:7" ht="31.5" x14ac:dyDescent="0.25">
      <c r="A836" s="31" t="s">
        <v>357</v>
      </c>
      <c r="B836" s="32" t="s">
        <v>314</v>
      </c>
      <c r="C836" s="32" t="s">
        <v>165</v>
      </c>
      <c r="D836" s="32" t="s">
        <v>990</v>
      </c>
      <c r="E836" s="9" t="s">
        <v>224</v>
      </c>
      <c r="F836" s="326">
        <f>'Пр.5 Рд,пр, ЦС,ВР 20'!F840</f>
        <v>8048</v>
      </c>
      <c r="G836" s="326">
        <f t="shared" si="39"/>
        <v>8048</v>
      </c>
    </row>
    <row r="837" spans="1:7" ht="47.25" x14ac:dyDescent="0.25">
      <c r="A837" s="31" t="s">
        <v>146</v>
      </c>
      <c r="B837" s="32" t="s">
        <v>314</v>
      </c>
      <c r="C837" s="32" t="s">
        <v>165</v>
      </c>
      <c r="D837" s="32" t="s">
        <v>990</v>
      </c>
      <c r="E837" s="9" t="s">
        <v>147</v>
      </c>
      <c r="F837" s="326">
        <f>'Пр.5 Рд,пр, ЦС,ВР 20'!F841</f>
        <v>1937</v>
      </c>
      <c r="G837" s="326">
        <f t="shared" si="39"/>
        <v>1937</v>
      </c>
    </row>
    <row r="838" spans="1:7" ht="63" x14ac:dyDescent="0.25">
      <c r="A838" s="31" t="s">
        <v>148</v>
      </c>
      <c r="B838" s="32" t="s">
        <v>314</v>
      </c>
      <c r="C838" s="32" t="s">
        <v>165</v>
      </c>
      <c r="D838" s="32" t="s">
        <v>990</v>
      </c>
      <c r="E838" s="9" t="s">
        <v>149</v>
      </c>
      <c r="F838" s="326">
        <f>'Пр.5 Рд,пр, ЦС,ВР 20'!F842</f>
        <v>1937</v>
      </c>
      <c r="G838" s="326">
        <f t="shared" si="39"/>
        <v>1937</v>
      </c>
    </row>
    <row r="839" spans="1:7" ht="31.5" x14ac:dyDescent="0.25">
      <c r="A839" s="31" t="s">
        <v>150</v>
      </c>
      <c r="B839" s="32" t="s">
        <v>314</v>
      </c>
      <c r="C839" s="32" t="s">
        <v>165</v>
      </c>
      <c r="D839" s="32" t="s">
        <v>990</v>
      </c>
      <c r="E839" s="9" t="s">
        <v>160</v>
      </c>
      <c r="F839" s="326">
        <f>'Пр.5 Рд,пр, ЦС,ВР 20'!F843</f>
        <v>14</v>
      </c>
      <c r="G839" s="326">
        <f t="shared" si="39"/>
        <v>14</v>
      </c>
    </row>
    <row r="840" spans="1:7" ht="31.5" x14ac:dyDescent="0.25">
      <c r="A840" s="31" t="s">
        <v>583</v>
      </c>
      <c r="B840" s="32" t="s">
        <v>314</v>
      </c>
      <c r="C840" s="32" t="s">
        <v>165</v>
      </c>
      <c r="D840" s="32" t="s">
        <v>990</v>
      </c>
      <c r="E840" s="9" t="s">
        <v>153</v>
      </c>
      <c r="F840" s="326">
        <f>'Пр.5 Рд,пр, ЦС,ВР 20'!F844</f>
        <v>14</v>
      </c>
      <c r="G840" s="326">
        <f t="shared" si="39"/>
        <v>14</v>
      </c>
    </row>
    <row r="841" spans="1:7" ht="63" x14ac:dyDescent="0.25">
      <c r="A841" s="31" t="s">
        <v>886</v>
      </c>
      <c r="B841" s="32" t="s">
        <v>314</v>
      </c>
      <c r="C841" s="32" t="s">
        <v>165</v>
      </c>
      <c r="D841" s="32" t="s">
        <v>991</v>
      </c>
      <c r="E841" s="9"/>
      <c r="F841" s="326">
        <f>'Пр.5 Рд,пр, ЦС,ВР 20'!F845</f>
        <v>210</v>
      </c>
      <c r="G841" s="326">
        <f t="shared" si="39"/>
        <v>210</v>
      </c>
    </row>
    <row r="842" spans="1:7" ht="126" x14ac:dyDescent="0.25">
      <c r="A842" s="31" t="s">
        <v>142</v>
      </c>
      <c r="B842" s="32" t="s">
        <v>314</v>
      </c>
      <c r="C842" s="32" t="s">
        <v>165</v>
      </c>
      <c r="D842" s="32" t="s">
        <v>991</v>
      </c>
      <c r="E842" s="9" t="s">
        <v>143</v>
      </c>
      <c r="F842" s="326">
        <f>'Пр.5 Рд,пр, ЦС,ВР 20'!F846</f>
        <v>210</v>
      </c>
      <c r="G842" s="326">
        <f t="shared" si="39"/>
        <v>210</v>
      </c>
    </row>
    <row r="843" spans="1:7" ht="47.25" x14ac:dyDescent="0.25">
      <c r="A843" s="31" t="s">
        <v>144</v>
      </c>
      <c r="B843" s="32" t="s">
        <v>314</v>
      </c>
      <c r="C843" s="32" t="s">
        <v>165</v>
      </c>
      <c r="D843" s="32" t="s">
        <v>991</v>
      </c>
      <c r="E843" s="9" t="s">
        <v>224</v>
      </c>
      <c r="F843" s="326">
        <f>'Пр.5 Рд,пр, ЦС,ВР 20'!F847</f>
        <v>210</v>
      </c>
      <c r="G843" s="326">
        <f t="shared" si="39"/>
        <v>210</v>
      </c>
    </row>
    <row r="844" spans="1:7" ht="50.25" customHeight="1" x14ac:dyDescent="0.25">
      <c r="A844" s="34" t="s">
        <v>1450</v>
      </c>
      <c r="B844" s="285" t="s">
        <v>314</v>
      </c>
      <c r="C844" s="285" t="s">
        <v>165</v>
      </c>
      <c r="D844" s="285" t="s">
        <v>359</v>
      </c>
      <c r="E844" s="9"/>
      <c r="F844" s="325">
        <f t="shared" ref="F844:G846" si="41">F845</f>
        <v>260</v>
      </c>
      <c r="G844" s="325">
        <f t="shared" si="41"/>
        <v>260</v>
      </c>
    </row>
    <row r="845" spans="1:7" ht="94.5" x14ac:dyDescent="0.25">
      <c r="A845" s="34" t="s">
        <v>379</v>
      </c>
      <c r="B845" s="285" t="s">
        <v>314</v>
      </c>
      <c r="C845" s="285" t="s">
        <v>165</v>
      </c>
      <c r="D845" s="285" t="s">
        <v>380</v>
      </c>
      <c r="E845" s="9"/>
      <c r="F845" s="325">
        <f t="shared" si="41"/>
        <v>260</v>
      </c>
      <c r="G845" s="325">
        <f t="shared" si="41"/>
        <v>260</v>
      </c>
    </row>
    <row r="846" spans="1:7" ht="47.25" x14ac:dyDescent="0.25">
      <c r="A846" s="34" t="s">
        <v>1152</v>
      </c>
      <c r="B846" s="285" t="s">
        <v>314</v>
      </c>
      <c r="C846" s="285" t="s">
        <v>165</v>
      </c>
      <c r="D846" s="285" t="s">
        <v>968</v>
      </c>
      <c r="E846" s="9"/>
      <c r="F846" s="325">
        <f t="shared" si="41"/>
        <v>260</v>
      </c>
      <c r="G846" s="325">
        <f t="shared" si="41"/>
        <v>260</v>
      </c>
    </row>
    <row r="847" spans="1:7" ht="31.5" x14ac:dyDescent="0.25">
      <c r="A847" s="31" t="s">
        <v>1151</v>
      </c>
      <c r="B847" s="32" t="s">
        <v>314</v>
      </c>
      <c r="C847" s="32" t="s">
        <v>165</v>
      </c>
      <c r="D847" s="32" t="s">
        <v>1234</v>
      </c>
      <c r="E847" s="9"/>
      <c r="F847" s="326">
        <f>'Пр.5 Рд,пр, ЦС,ВР 20'!F851</f>
        <v>260</v>
      </c>
      <c r="G847" s="326">
        <f t="shared" si="39"/>
        <v>260</v>
      </c>
    </row>
    <row r="848" spans="1:7" ht="47.25" x14ac:dyDescent="0.25">
      <c r="A848" s="31" t="s">
        <v>146</v>
      </c>
      <c r="B848" s="32" t="s">
        <v>314</v>
      </c>
      <c r="C848" s="32" t="s">
        <v>165</v>
      </c>
      <c r="D848" s="32" t="s">
        <v>1234</v>
      </c>
      <c r="E848" s="9"/>
      <c r="F848" s="326">
        <f>'Пр.5 Рд,пр, ЦС,ВР 20'!F852</f>
        <v>260</v>
      </c>
      <c r="G848" s="326">
        <f t="shared" si="39"/>
        <v>260</v>
      </c>
    </row>
    <row r="849" spans="1:10" ht="63" x14ac:dyDescent="0.25">
      <c r="A849" s="31" t="s">
        <v>148</v>
      </c>
      <c r="B849" s="32" t="s">
        <v>314</v>
      </c>
      <c r="C849" s="32" t="s">
        <v>165</v>
      </c>
      <c r="D849" s="32" t="s">
        <v>1234</v>
      </c>
      <c r="E849" s="9"/>
      <c r="F849" s="326">
        <f>'Пр.5 Рд,пр, ЦС,ВР 20'!F853</f>
        <v>260</v>
      </c>
      <c r="G849" s="326">
        <f t="shared" si="39"/>
        <v>260</v>
      </c>
    </row>
    <row r="850" spans="1:10" ht="15.75" x14ac:dyDescent="0.25">
      <c r="A850" s="34" t="s">
        <v>258</v>
      </c>
      <c r="B850" s="285" t="s">
        <v>259</v>
      </c>
      <c r="C850" s="285"/>
      <c r="D850" s="285"/>
      <c r="E850" s="285"/>
      <c r="F850" s="325">
        <f>F851+F857+F893</f>
        <v>19998.400000000001</v>
      </c>
      <c r="G850" s="325">
        <f>G851+G857+G893</f>
        <v>15008.4</v>
      </c>
      <c r="H850" s="425">
        <v>14606.9</v>
      </c>
      <c r="I850" s="425">
        <v>14606.9</v>
      </c>
      <c r="J850" s="432">
        <f>H850-F850</f>
        <v>-5391.5000000000018</v>
      </c>
    </row>
    <row r="851" spans="1:10" ht="15.75" x14ac:dyDescent="0.25">
      <c r="A851" s="34" t="s">
        <v>260</v>
      </c>
      <c r="B851" s="285" t="s">
        <v>259</v>
      </c>
      <c r="C851" s="285" t="s">
        <v>133</v>
      </c>
      <c r="D851" s="285"/>
      <c r="E851" s="285"/>
      <c r="F851" s="325">
        <f t="shared" ref="F851:G853" si="42">F852</f>
        <v>9456</v>
      </c>
      <c r="G851" s="325">
        <f t="shared" si="42"/>
        <v>9456</v>
      </c>
    </row>
    <row r="852" spans="1:10" ht="31.5" x14ac:dyDescent="0.25">
      <c r="A852" s="34" t="s">
        <v>156</v>
      </c>
      <c r="B852" s="285" t="s">
        <v>259</v>
      </c>
      <c r="C852" s="285" t="s">
        <v>133</v>
      </c>
      <c r="D852" s="285" t="s">
        <v>914</v>
      </c>
      <c r="E852" s="285"/>
      <c r="F852" s="325">
        <f t="shared" si="42"/>
        <v>9456</v>
      </c>
      <c r="G852" s="325">
        <f t="shared" si="42"/>
        <v>9456</v>
      </c>
    </row>
    <row r="853" spans="1:10" ht="47.25" x14ac:dyDescent="0.25">
      <c r="A853" s="34" t="s">
        <v>918</v>
      </c>
      <c r="B853" s="285" t="s">
        <v>259</v>
      </c>
      <c r="C853" s="285" t="s">
        <v>133</v>
      </c>
      <c r="D853" s="285" t="s">
        <v>913</v>
      </c>
      <c r="E853" s="285"/>
      <c r="F853" s="325">
        <f t="shared" si="42"/>
        <v>9456</v>
      </c>
      <c r="G853" s="325">
        <f t="shared" si="42"/>
        <v>9456</v>
      </c>
    </row>
    <row r="854" spans="1:10" ht="31.5" x14ac:dyDescent="0.25">
      <c r="A854" s="31" t="s">
        <v>261</v>
      </c>
      <c r="B854" s="32" t="s">
        <v>259</v>
      </c>
      <c r="C854" s="32" t="s">
        <v>133</v>
      </c>
      <c r="D854" s="32" t="s">
        <v>930</v>
      </c>
      <c r="E854" s="32"/>
      <c r="F854" s="326">
        <f>'Пр.5 Рд,пр, ЦС,ВР 20'!F858</f>
        <v>9456</v>
      </c>
      <c r="G854" s="326">
        <f t="shared" si="39"/>
        <v>9456</v>
      </c>
    </row>
    <row r="855" spans="1:10" ht="31.5" x14ac:dyDescent="0.25">
      <c r="A855" s="31" t="s">
        <v>263</v>
      </c>
      <c r="B855" s="32" t="s">
        <v>259</v>
      </c>
      <c r="C855" s="32" t="s">
        <v>133</v>
      </c>
      <c r="D855" s="32" t="s">
        <v>930</v>
      </c>
      <c r="E855" s="32" t="s">
        <v>264</v>
      </c>
      <c r="F855" s="326">
        <f>'Пр.5 Рд,пр, ЦС,ВР 20'!F859</f>
        <v>9456</v>
      </c>
      <c r="G855" s="326">
        <f t="shared" si="39"/>
        <v>9456</v>
      </c>
    </row>
    <row r="856" spans="1:10" ht="63" x14ac:dyDescent="0.25">
      <c r="A856" s="31" t="s">
        <v>265</v>
      </c>
      <c r="B856" s="32" t="s">
        <v>259</v>
      </c>
      <c r="C856" s="32" t="s">
        <v>133</v>
      </c>
      <c r="D856" s="32" t="s">
        <v>930</v>
      </c>
      <c r="E856" s="32" t="s">
        <v>266</v>
      </c>
      <c r="F856" s="326">
        <f>'Пр.5 Рд,пр, ЦС,ВР 20'!F860</f>
        <v>9456</v>
      </c>
      <c r="G856" s="326">
        <f t="shared" si="39"/>
        <v>9456</v>
      </c>
    </row>
    <row r="857" spans="1:10" ht="31.5" x14ac:dyDescent="0.25">
      <c r="A857" s="34" t="s">
        <v>267</v>
      </c>
      <c r="B857" s="285" t="s">
        <v>259</v>
      </c>
      <c r="C857" s="285" t="s">
        <v>230</v>
      </c>
      <c r="D857" s="285"/>
      <c r="E857" s="285"/>
      <c r="F857" s="325">
        <f>F858+F885</f>
        <v>6834</v>
      </c>
      <c r="G857" s="325">
        <f>G858+G885</f>
        <v>1844</v>
      </c>
    </row>
    <row r="858" spans="1:10" ht="78.75" x14ac:dyDescent="0.25">
      <c r="A858" s="34" t="s">
        <v>1450</v>
      </c>
      <c r="B858" s="285" t="s">
        <v>259</v>
      </c>
      <c r="C858" s="285" t="s">
        <v>230</v>
      </c>
      <c r="D858" s="285" t="s">
        <v>359</v>
      </c>
      <c r="E858" s="285"/>
      <c r="F858" s="325">
        <f>F859+F864+F869+F880</f>
        <v>1824</v>
      </c>
      <c r="G858" s="325">
        <f>G859+G864+G869+G880</f>
        <v>1834</v>
      </c>
    </row>
    <row r="859" spans="1:10" ht="31.5" x14ac:dyDescent="0.25">
      <c r="A859" s="34" t="s">
        <v>367</v>
      </c>
      <c r="B859" s="285" t="s">
        <v>259</v>
      </c>
      <c r="C859" s="285" t="s">
        <v>230</v>
      </c>
      <c r="D859" s="285" t="s">
        <v>368</v>
      </c>
      <c r="E859" s="285"/>
      <c r="F859" s="325">
        <f t="shared" ref="F859:G859" si="43">F860</f>
        <v>44</v>
      </c>
      <c r="G859" s="325">
        <f t="shared" si="43"/>
        <v>54</v>
      </c>
    </row>
    <row r="860" spans="1:10" ht="47.25" x14ac:dyDescent="0.25">
      <c r="A860" s="34" t="s">
        <v>978</v>
      </c>
      <c r="B860" s="285" t="s">
        <v>259</v>
      </c>
      <c r="C860" s="285" t="s">
        <v>230</v>
      </c>
      <c r="D860" s="285" t="s">
        <v>977</v>
      </c>
      <c r="E860" s="285"/>
      <c r="F860" s="325">
        <f t="shared" ref="F860:G862" si="44">F861</f>
        <v>44</v>
      </c>
      <c r="G860" s="325">
        <f t="shared" si="44"/>
        <v>54</v>
      </c>
    </row>
    <row r="861" spans="1:10" ht="47.25" x14ac:dyDescent="0.25">
      <c r="A861" s="31" t="s">
        <v>870</v>
      </c>
      <c r="B861" s="32" t="s">
        <v>259</v>
      </c>
      <c r="C861" s="32" t="s">
        <v>230</v>
      </c>
      <c r="D861" s="32" t="s">
        <v>979</v>
      </c>
      <c r="E861" s="32"/>
      <c r="F861" s="326">
        <f t="shared" si="44"/>
        <v>44</v>
      </c>
      <c r="G861" s="326">
        <f t="shared" si="44"/>
        <v>54</v>
      </c>
    </row>
    <row r="862" spans="1:10" ht="31.5" x14ac:dyDescent="0.25">
      <c r="A862" s="31" t="s">
        <v>263</v>
      </c>
      <c r="B862" s="32" t="s">
        <v>259</v>
      </c>
      <c r="C862" s="32" t="s">
        <v>230</v>
      </c>
      <c r="D862" s="32" t="s">
        <v>979</v>
      </c>
      <c r="E862" s="32" t="s">
        <v>264</v>
      </c>
      <c r="F862" s="326">
        <f t="shared" si="44"/>
        <v>44</v>
      </c>
      <c r="G862" s="326">
        <f t="shared" si="44"/>
        <v>54</v>
      </c>
    </row>
    <row r="863" spans="1:10" ht="63" x14ac:dyDescent="0.25">
      <c r="A863" s="31" t="s">
        <v>265</v>
      </c>
      <c r="B863" s="32" t="s">
        <v>259</v>
      </c>
      <c r="C863" s="32" t="s">
        <v>230</v>
      </c>
      <c r="D863" s="32" t="s">
        <v>979</v>
      </c>
      <c r="E863" s="32" t="s">
        <v>266</v>
      </c>
      <c r="F863" s="326">
        <f>'пр.6.1.ведом.21-22'!G445</f>
        <v>44</v>
      </c>
      <c r="G863" s="326">
        <f>'пр.6.1.ведом.21-22'!H445</f>
        <v>54</v>
      </c>
    </row>
    <row r="864" spans="1:10" ht="63" x14ac:dyDescent="0.25">
      <c r="A864" s="34" t="s">
        <v>370</v>
      </c>
      <c r="B864" s="19">
        <v>10</v>
      </c>
      <c r="C864" s="285" t="s">
        <v>230</v>
      </c>
      <c r="D864" s="285" t="s">
        <v>371</v>
      </c>
      <c r="E864" s="285"/>
      <c r="F864" s="325">
        <f t="shared" ref="F864:G864" si="45">F865</f>
        <v>420</v>
      </c>
      <c r="G864" s="325">
        <f t="shared" si="45"/>
        <v>420</v>
      </c>
    </row>
    <row r="865" spans="1:7" ht="63" x14ac:dyDescent="0.25">
      <c r="A865" s="34" t="s">
        <v>1153</v>
      </c>
      <c r="B865" s="19">
        <v>10</v>
      </c>
      <c r="C865" s="285" t="s">
        <v>230</v>
      </c>
      <c r="D865" s="285" t="s">
        <v>980</v>
      </c>
      <c r="E865" s="285"/>
      <c r="F865" s="325">
        <f>F866</f>
        <v>420</v>
      </c>
      <c r="G865" s="325">
        <f>G866</f>
        <v>420</v>
      </c>
    </row>
    <row r="866" spans="1:7" ht="31.5" x14ac:dyDescent="0.25">
      <c r="A866" s="31" t="s">
        <v>1214</v>
      </c>
      <c r="B866" s="32" t="s">
        <v>259</v>
      </c>
      <c r="C866" s="32" t="s">
        <v>230</v>
      </c>
      <c r="D866" s="32" t="s">
        <v>981</v>
      </c>
      <c r="E866" s="32"/>
      <c r="F866" s="326">
        <f>'Пр.5 Рд,пр, ЦС,ВР 20'!F874</f>
        <v>420</v>
      </c>
      <c r="G866" s="326">
        <f t="shared" si="39"/>
        <v>420</v>
      </c>
    </row>
    <row r="867" spans="1:7" ht="31.5" x14ac:dyDescent="0.25">
      <c r="A867" s="31" t="s">
        <v>263</v>
      </c>
      <c r="B867" s="32" t="s">
        <v>259</v>
      </c>
      <c r="C867" s="32" t="s">
        <v>230</v>
      </c>
      <c r="D867" s="32" t="s">
        <v>981</v>
      </c>
      <c r="E867" s="32" t="s">
        <v>264</v>
      </c>
      <c r="F867" s="326">
        <f>'Пр.5 Рд,пр, ЦС,ВР 20'!F875</f>
        <v>420</v>
      </c>
      <c r="G867" s="326">
        <f t="shared" si="39"/>
        <v>420</v>
      </c>
    </row>
    <row r="868" spans="1:7" ht="31.5" x14ac:dyDescent="0.25">
      <c r="A868" s="31" t="s">
        <v>363</v>
      </c>
      <c r="B868" s="32" t="s">
        <v>259</v>
      </c>
      <c r="C868" s="32" t="s">
        <v>230</v>
      </c>
      <c r="D868" s="32" t="s">
        <v>981</v>
      </c>
      <c r="E868" s="32" t="s">
        <v>364</v>
      </c>
      <c r="F868" s="326">
        <f>'Пр.5 Рд,пр, ЦС,ВР 20'!F876</f>
        <v>420</v>
      </c>
      <c r="G868" s="326">
        <f t="shared" si="39"/>
        <v>420</v>
      </c>
    </row>
    <row r="869" spans="1:7" ht="31.5" x14ac:dyDescent="0.25">
      <c r="A869" s="34" t="s">
        <v>373</v>
      </c>
      <c r="B869" s="19">
        <v>10</v>
      </c>
      <c r="C869" s="285" t="s">
        <v>230</v>
      </c>
      <c r="D869" s="285" t="s">
        <v>374</v>
      </c>
      <c r="E869" s="285"/>
      <c r="F869" s="325">
        <f>F870+F874</f>
        <v>1110</v>
      </c>
      <c r="G869" s="325">
        <f>G870+G874</f>
        <v>1110</v>
      </c>
    </row>
    <row r="870" spans="1:7" ht="36" customHeight="1" x14ac:dyDescent="0.25">
      <c r="A870" s="34" t="s">
        <v>1216</v>
      </c>
      <c r="B870" s="285" t="s">
        <v>259</v>
      </c>
      <c r="C870" s="285" t="s">
        <v>230</v>
      </c>
      <c r="D870" s="285" t="s">
        <v>983</v>
      </c>
      <c r="E870" s="285"/>
      <c r="F870" s="325">
        <f>F871</f>
        <v>630</v>
      </c>
      <c r="G870" s="325">
        <f>G871</f>
        <v>630</v>
      </c>
    </row>
    <row r="871" spans="1:7" ht="78.75" x14ac:dyDescent="0.25">
      <c r="A871" s="101" t="s">
        <v>1217</v>
      </c>
      <c r="B871" s="32" t="s">
        <v>259</v>
      </c>
      <c r="C871" s="32" t="s">
        <v>230</v>
      </c>
      <c r="D871" s="32" t="s">
        <v>984</v>
      </c>
      <c r="E871" s="32"/>
      <c r="F871" s="326">
        <f>'Пр.5 Рд,пр, ЦС,ВР 20'!F879</f>
        <v>630</v>
      </c>
      <c r="G871" s="326">
        <f t="shared" si="39"/>
        <v>630</v>
      </c>
    </row>
    <row r="872" spans="1:7" ht="31.5" x14ac:dyDescent="0.25">
      <c r="A872" s="31" t="s">
        <v>263</v>
      </c>
      <c r="B872" s="32" t="s">
        <v>259</v>
      </c>
      <c r="C872" s="32" t="s">
        <v>230</v>
      </c>
      <c r="D872" s="32" t="s">
        <v>984</v>
      </c>
      <c r="E872" s="32" t="s">
        <v>264</v>
      </c>
      <c r="F872" s="326">
        <f>'Пр.5 Рд,пр, ЦС,ВР 20'!F880</f>
        <v>630</v>
      </c>
      <c r="G872" s="326">
        <f t="shared" si="39"/>
        <v>630</v>
      </c>
    </row>
    <row r="873" spans="1:7" ht="31.5" x14ac:dyDescent="0.25">
      <c r="A873" s="31" t="s">
        <v>363</v>
      </c>
      <c r="B873" s="32" t="s">
        <v>259</v>
      </c>
      <c r="C873" s="32" t="s">
        <v>230</v>
      </c>
      <c r="D873" s="32" t="s">
        <v>984</v>
      </c>
      <c r="E873" s="32" t="s">
        <v>364</v>
      </c>
      <c r="F873" s="326">
        <f>'Пр.5 Рд,пр, ЦС,ВР 20'!F881</f>
        <v>630</v>
      </c>
      <c r="G873" s="326">
        <f t="shared" si="39"/>
        <v>630</v>
      </c>
    </row>
    <row r="874" spans="1:7" ht="47.25" x14ac:dyDescent="0.25">
      <c r="A874" s="34" t="s">
        <v>982</v>
      </c>
      <c r="B874" s="19">
        <v>10</v>
      </c>
      <c r="C874" s="285" t="s">
        <v>230</v>
      </c>
      <c r="D874" s="285" t="s">
        <v>985</v>
      </c>
      <c r="E874" s="285"/>
      <c r="F874" s="325">
        <f>F875+F878</f>
        <v>480</v>
      </c>
      <c r="G874" s="325">
        <f>G875+G878</f>
        <v>480</v>
      </c>
    </row>
    <row r="875" spans="1:7" ht="31.5" x14ac:dyDescent="0.25">
      <c r="A875" s="31" t="s">
        <v>1154</v>
      </c>
      <c r="B875" s="32" t="s">
        <v>259</v>
      </c>
      <c r="C875" s="32" t="s">
        <v>230</v>
      </c>
      <c r="D875" s="32" t="s">
        <v>986</v>
      </c>
      <c r="E875" s="32"/>
      <c r="F875" s="326">
        <f>'Пр.5 Рд,пр, ЦС,ВР 20'!F883</f>
        <v>270</v>
      </c>
      <c r="G875" s="326">
        <f t="shared" ref="G875:G943" si="46">F875</f>
        <v>270</v>
      </c>
    </row>
    <row r="876" spans="1:7" ht="47.25" x14ac:dyDescent="0.25">
      <c r="A876" s="31" t="s">
        <v>146</v>
      </c>
      <c r="B876" s="32" t="s">
        <v>259</v>
      </c>
      <c r="C876" s="32" t="s">
        <v>230</v>
      </c>
      <c r="D876" s="32" t="s">
        <v>986</v>
      </c>
      <c r="E876" s="32" t="s">
        <v>147</v>
      </c>
      <c r="F876" s="326">
        <f>'Пр.5 Рд,пр, ЦС,ВР 20'!F884</f>
        <v>270</v>
      </c>
      <c r="G876" s="326">
        <f t="shared" si="46"/>
        <v>270</v>
      </c>
    </row>
    <row r="877" spans="1:7" ht="63" x14ac:dyDescent="0.25">
      <c r="A877" s="31" t="s">
        <v>148</v>
      </c>
      <c r="B877" s="32" t="s">
        <v>259</v>
      </c>
      <c r="C877" s="32" t="s">
        <v>230</v>
      </c>
      <c r="D877" s="32" t="s">
        <v>986</v>
      </c>
      <c r="E877" s="32" t="s">
        <v>149</v>
      </c>
      <c r="F877" s="326">
        <f>'Пр.5 Рд,пр, ЦС,ВР 20'!F885</f>
        <v>270</v>
      </c>
      <c r="G877" s="326">
        <f t="shared" si="46"/>
        <v>270</v>
      </c>
    </row>
    <row r="878" spans="1:7" ht="31.5" x14ac:dyDescent="0.25">
      <c r="A878" s="31" t="s">
        <v>263</v>
      </c>
      <c r="B878" s="32" t="s">
        <v>259</v>
      </c>
      <c r="C878" s="32" t="s">
        <v>230</v>
      </c>
      <c r="D878" s="32" t="s">
        <v>986</v>
      </c>
      <c r="E878" s="32" t="s">
        <v>264</v>
      </c>
      <c r="F878" s="326">
        <f>'Пр.5 Рд,пр, ЦС,ВР 20'!F886</f>
        <v>210</v>
      </c>
      <c r="G878" s="326">
        <f t="shared" ref="G878:G879" si="47">F878</f>
        <v>210</v>
      </c>
    </row>
    <row r="879" spans="1:7" ht="31.5" x14ac:dyDescent="0.25">
      <c r="A879" s="31" t="s">
        <v>363</v>
      </c>
      <c r="B879" s="32" t="s">
        <v>259</v>
      </c>
      <c r="C879" s="32" t="s">
        <v>230</v>
      </c>
      <c r="D879" s="32" t="s">
        <v>986</v>
      </c>
      <c r="E879" s="32" t="s">
        <v>364</v>
      </c>
      <c r="F879" s="326">
        <f>'Пр.5 Рд,пр, ЦС,ВР 20'!F887</f>
        <v>210</v>
      </c>
      <c r="G879" s="326">
        <f t="shared" si="47"/>
        <v>210</v>
      </c>
    </row>
    <row r="880" spans="1:7" ht="63" x14ac:dyDescent="0.25">
      <c r="A880" s="34" t="s">
        <v>376</v>
      </c>
      <c r="B880" s="285" t="s">
        <v>259</v>
      </c>
      <c r="C880" s="285" t="s">
        <v>230</v>
      </c>
      <c r="D880" s="285" t="s">
        <v>377</v>
      </c>
      <c r="E880" s="285"/>
      <c r="F880" s="325">
        <f t="shared" ref="F880:G881" si="48">F881</f>
        <v>250</v>
      </c>
      <c r="G880" s="325">
        <f t="shared" si="48"/>
        <v>250</v>
      </c>
    </row>
    <row r="881" spans="1:7" ht="78.75" x14ac:dyDescent="0.25">
      <c r="A881" s="34" t="s">
        <v>1219</v>
      </c>
      <c r="B881" s="285" t="s">
        <v>259</v>
      </c>
      <c r="C881" s="285" t="s">
        <v>230</v>
      </c>
      <c r="D881" s="285" t="s">
        <v>988</v>
      </c>
      <c r="E881" s="285"/>
      <c r="F881" s="325">
        <f t="shared" si="48"/>
        <v>250</v>
      </c>
      <c r="G881" s="325">
        <f t="shared" si="48"/>
        <v>250</v>
      </c>
    </row>
    <row r="882" spans="1:7" ht="63" x14ac:dyDescent="0.25">
      <c r="A882" s="31" t="s">
        <v>1218</v>
      </c>
      <c r="B882" s="32" t="s">
        <v>259</v>
      </c>
      <c r="C882" s="32" t="s">
        <v>230</v>
      </c>
      <c r="D882" s="32" t="s">
        <v>987</v>
      </c>
      <c r="E882" s="32"/>
      <c r="F882" s="326">
        <f>'Пр.5 Рд,пр, ЦС,ВР 20'!F890</f>
        <v>250</v>
      </c>
      <c r="G882" s="326">
        <f t="shared" si="46"/>
        <v>250</v>
      </c>
    </row>
    <row r="883" spans="1:7" ht="31.5" x14ac:dyDescent="0.25">
      <c r="A883" s="31" t="s">
        <v>263</v>
      </c>
      <c r="B883" s="32" t="s">
        <v>259</v>
      </c>
      <c r="C883" s="32" t="s">
        <v>230</v>
      </c>
      <c r="D883" s="32" t="s">
        <v>987</v>
      </c>
      <c r="E883" s="32" t="s">
        <v>264</v>
      </c>
      <c r="F883" s="326">
        <f>'Пр.5 Рд,пр, ЦС,ВР 20'!F891</f>
        <v>250</v>
      </c>
      <c r="G883" s="326">
        <f t="shared" si="46"/>
        <v>250</v>
      </c>
    </row>
    <row r="884" spans="1:7" ht="31.5" x14ac:dyDescent="0.25">
      <c r="A884" s="31" t="s">
        <v>363</v>
      </c>
      <c r="B884" s="32" t="s">
        <v>259</v>
      </c>
      <c r="C884" s="32" t="s">
        <v>230</v>
      </c>
      <c r="D884" s="32" t="s">
        <v>987</v>
      </c>
      <c r="E884" s="32" t="s">
        <v>364</v>
      </c>
      <c r="F884" s="326">
        <f>'Пр.5 Рд,пр, ЦС,ВР 20'!F892</f>
        <v>250</v>
      </c>
      <c r="G884" s="326">
        <f t="shared" si="46"/>
        <v>250</v>
      </c>
    </row>
    <row r="885" spans="1:7" ht="110.25" x14ac:dyDescent="0.25">
      <c r="A885" s="34" t="s">
        <v>1474</v>
      </c>
      <c r="B885" s="285" t="s">
        <v>259</v>
      </c>
      <c r="C885" s="285" t="s">
        <v>230</v>
      </c>
      <c r="D885" s="285" t="s">
        <v>269</v>
      </c>
      <c r="E885" s="285"/>
      <c r="F885" s="325">
        <f t="shared" ref="F885:G885" si="49">F886</f>
        <v>5010</v>
      </c>
      <c r="G885" s="325">
        <f t="shared" si="49"/>
        <v>10</v>
      </c>
    </row>
    <row r="886" spans="1:7" ht="63" x14ac:dyDescent="0.25">
      <c r="A886" s="34" t="s">
        <v>933</v>
      </c>
      <c r="B886" s="285" t="s">
        <v>259</v>
      </c>
      <c r="C886" s="285" t="s">
        <v>230</v>
      </c>
      <c r="D886" s="285" t="s">
        <v>931</v>
      </c>
      <c r="E886" s="285"/>
      <c r="F886" s="325">
        <f>F887+F890</f>
        <v>5010</v>
      </c>
      <c r="G886" s="325">
        <f>G887+G890</f>
        <v>10</v>
      </c>
    </row>
    <row r="887" spans="1:7" ht="47.25" x14ac:dyDescent="0.25">
      <c r="A887" s="31" t="s">
        <v>932</v>
      </c>
      <c r="B887" s="32" t="s">
        <v>259</v>
      </c>
      <c r="C887" s="32" t="s">
        <v>230</v>
      </c>
      <c r="D887" s="32" t="s">
        <v>1155</v>
      </c>
      <c r="E887" s="32"/>
      <c r="F887" s="326">
        <f>'Пр.5 Рд,пр, ЦС,ВР 20'!F895</f>
        <v>10</v>
      </c>
      <c r="G887" s="326">
        <f t="shared" si="46"/>
        <v>10</v>
      </c>
    </row>
    <row r="888" spans="1:7" ht="31.5" x14ac:dyDescent="0.25">
      <c r="A888" s="31" t="s">
        <v>263</v>
      </c>
      <c r="B888" s="32" t="s">
        <v>259</v>
      </c>
      <c r="C888" s="32" t="s">
        <v>230</v>
      </c>
      <c r="D888" s="32" t="s">
        <v>1155</v>
      </c>
      <c r="E888" s="32" t="s">
        <v>264</v>
      </c>
      <c r="F888" s="326">
        <f>'Пр.5 Рд,пр, ЦС,ВР 20'!F896</f>
        <v>10</v>
      </c>
      <c r="G888" s="326">
        <f t="shared" si="46"/>
        <v>10</v>
      </c>
    </row>
    <row r="889" spans="1:7" ht="63" x14ac:dyDescent="0.25">
      <c r="A889" s="31" t="s">
        <v>265</v>
      </c>
      <c r="B889" s="32" t="s">
        <v>259</v>
      </c>
      <c r="C889" s="32" t="s">
        <v>230</v>
      </c>
      <c r="D889" s="32" t="s">
        <v>1155</v>
      </c>
      <c r="E889" s="32" t="s">
        <v>266</v>
      </c>
      <c r="F889" s="326">
        <f>'Пр.5 Рд,пр, ЦС,ВР 20'!F897</f>
        <v>10</v>
      </c>
      <c r="G889" s="326">
        <f t="shared" si="46"/>
        <v>10</v>
      </c>
    </row>
    <row r="890" spans="1:7" ht="110.25" x14ac:dyDescent="0.25">
      <c r="A890" s="31" t="s">
        <v>1445</v>
      </c>
      <c r="B890" s="32" t="s">
        <v>259</v>
      </c>
      <c r="C890" s="32" t="s">
        <v>230</v>
      </c>
      <c r="D890" s="32" t="s">
        <v>1444</v>
      </c>
      <c r="E890" s="32"/>
      <c r="F890" s="415">
        <f>F891</f>
        <v>5000</v>
      </c>
      <c r="G890" s="415">
        <f>G891</f>
        <v>0</v>
      </c>
    </row>
    <row r="891" spans="1:7" ht="31.5" x14ac:dyDescent="0.25">
      <c r="A891" s="31" t="s">
        <v>263</v>
      </c>
      <c r="B891" s="32" t="s">
        <v>259</v>
      </c>
      <c r="C891" s="32" t="s">
        <v>230</v>
      </c>
      <c r="D891" s="32" t="s">
        <v>1444</v>
      </c>
      <c r="E891" s="32" t="s">
        <v>264</v>
      </c>
      <c r="F891" s="415">
        <f>F892</f>
        <v>5000</v>
      </c>
      <c r="G891" s="415">
        <f>G892</f>
        <v>0</v>
      </c>
    </row>
    <row r="892" spans="1:7" ht="63" x14ac:dyDescent="0.25">
      <c r="A892" s="31" t="s">
        <v>265</v>
      </c>
      <c r="B892" s="32" t="s">
        <v>259</v>
      </c>
      <c r="C892" s="32" t="s">
        <v>230</v>
      </c>
      <c r="D892" s="32" t="s">
        <v>1444</v>
      </c>
      <c r="E892" s="32" t="s">
        <v>266</v>
      </c>
      <c r="F892" s="415">
        <f>'пр.6.1.ведом.21-22'!G205</f>
        <v>5000</v>
      </c>
      <c r="G892" s="415">
        <f>'пр.6.1.ведом.21-22'!H205</f>
        <v>0</v>
      </c>
    </row>
    <row r="893" spans="1:7" ht="31.5" x14ac:dyDescent="0.25">
      <c r="A893" s="34" t="s">
        <v>273</v>
      </c>
      <c r="B893" s="285" t="s">
        <v>259</v>
      </c>
      <c r="C893" s="285" t="s">
        <v>135</v>
      </c>
      <c r="D893" s="285"/>
      <c r="E893" s="285"/>
      <c r="F893" s="325">
        <f>F894+F901</f>
        <v>3708.4</v>
      </c>
      <c r="G893" s="325">
        <f>G894+G901</f>
        <v>3708.4</v>
      </c>
    </row>
    <row r="894" spans="1:7" ht="47.25" x14ac:dyDescent="0.25">
      <c r="A894" s="34" t="s">
        <v>992</v>
      </c>
      <c r="B894" s="285" t="s">
        <v>259</v>
      </c>
      <c r="C894" s="285" t="s">
        <v>135</v>
      </c>
      <c r="D894" s="285" t="s">
        <v>906</v>
      </c>
      <c r="E894" s="285"/>
      <c r="F894" s="325">
        <f>F895</f>
        <v>3621.4</v>
      </c>
      <c r="G894" s="325">
        <f>G895</f>
        <v>3621.4</v>
      </c>
    </row>
    <row r="895" spans="1:7" ht="63" x14ac:dyDescent="0.25">
      <c r="A895" s="34" t="s">
        <v>934</v>
      </c>
      <c r="B895" s="285" t="s">
        <v>259</v>
      </c>
      <c r="C895" s="285" t="s">
        <v>135</v>
      </c>
      <c r="D895" s="285" t="s">
        <v>911</v>
      </c>
      <c r="E895" s="285"/>
      <c r="F895" s="325">
        <f>F896</f>
        <v>3621.4</v>
      </c>
      <c r="G895" s="325">
        <f>G896</f>
        <v>3621.4</v>
      </c>
    </row>
    <row r="896" spans="1:7" ht="63" x14ac:dyDescent="0.25">
      <c r="A896" s="31" t="s">
        <v>274</v>
      </c>
      <c r="B896" s="32" t="s">
        <v>259</v>
      </c>
      <c r="C896" s="32" t="s">
        <v>135</v>
      </c>
      <c r="D896" s="32" t="s">
        <v>1002</v>
      </c>
      <c r="E896" s="32"/>
      <c r="F896" s="326">
        <f>'Пр.5 Рд,пр, ЦС,ВР 20'!F901</f>
        <v>3621.4</v>
      </c>
      <c r="G896" s="326">
        <f t="shared" si="46"/>
        <v>3621.4</v>
      </c>
    </row>
    <row r="897" spans="1:7" ht="126" x14ac:dyDescent="0.25">
      <c r="A897" s="31" t="s">
        <v>142</v>
      </c>
      <c r="B897" s="32" t="s">
        <v>259</v>
      </c>
      <c r="C897" s="32" t="s">
        <v>135</v>
      </c>
      <c r="D897" s="32" t="s">
        <v>1002</v>
      </c>
      <c r="E897" s="32" t="s">
        <v>143</v>
      </c>
      <c r="F897" s="326">
        <f>'Пр.5 Рд,пр, ЦС,ВР 20'!F902</f>
        <v>3353.3</v>
      </c>
      <c r="G897" s="326">
        <f t="shared" si="46"/>
        <v>3353.3</v>
      </c>
    </row>
    <row r="898" spans="1:7" ht="47.25" x14ac:dyDescent="0.25">
      <c r="A898" s="31" t="s">
        <v>144</v>
      </c>
      <c r="B898" s="32" t="s">
        <v>259</v>
      </c>
      <c r="C898" s="32" t="s">
        <v>135</v>
      </c>
      <c r="D898" s="32" t="s">
        <v>1002</v>
      </c>
      <c r="E898" s="32" t="s">
        <v>145</v>
      </c>
      <c r="F898" s="326">
        <f>'Пр.5 Рд,пр, ЦС,ВР 20'!F903</f>
        <v>3353.3</v>
      </c>
      <c r="G898" s="326">
        <f t="shared" si="46"/>
        <v>3353.3</v>
      </c>
    </row>
    <row r="899" spans="1:7" ht="47.25" x14ac:dyDescent="0.25">
      <c r="A899" s="31" t="s">
        <v>146</v>
      </c>
      <c r="B899" s="32" t="s">
        <v>259</v>
      </c>
      <c r="C899" s="32" t="s">
        <v>135</v>
      </c>
      <c r="D899" s="32" t="s">
        <v>1002</v>
      </c>
      <c r="E899" s="32" t="s">
        <v>147</v>
      </c>
      <c r="F899" s="326">
        <f>'Пр.5 Рд,пр, ЦС,ВР 20'!F904</f>
        <v>268.09999999999997</v>
      </c>
      <c r="G899" s="326">
        <f t="shared" si="46"/>
        <v>268.09999999999997</v>
      </c>
    </row>
    <row r="900" spans="1:7" ht="63" x14ac:dyDescent="0.25">
      <c r="A900" s="31" t="s">
        <v>148</v>
      </c>
      <c r="B900" s="32" t="s">
        <v>259</v>
      </c>
      <c r="C900" s="32" t="s">
        <v>135</v>
      </c>
      <c r="D900" s="32" t="s">
        <v>1002</v>
      </c>
      <c r="E900" s="32" t="s">
        <v>149</v>
      </c>
      <c r="F900" s="326">
        <f>'Пр.5 Рд,пр, ЦС,ВР 20'!F905</f>
        <v>268.09999999999997</v>
      </c>
      <c r="G900" s="326">
        <f t="shared" si="46"/>
        <v>268.09999999999997</v>
      </c>
    </row>
    <row r="901" spans="1:7" ht="31.5" x14ac:dyDescent="0.25">
      <c r="A901" s="34" t="s">
        <v>156</v>
      </c>
      <c r="B901" s="285" t="s">
        <v>259</v>
      </c>
      <c r="C901" s="285" t="s">
        <v>135</v>
      </c>
      <c r="D901" s="285" t="s">
        <v>914</v>
      </c>
      <c r="E901" s="285"/>
      <c r="F901" s="325">
        <f>F902</f>
        <v>87</v>
      </c>
      <c r="G901" s="325">
        <f>G902</f>
        <v>87</v>
      </c>
    </row>
    <row r="902" spans="1:7" ht="47.25" x14ac:dyDescent="0.25">
      <c r="A902" s="34" t="s">
        <v>918</v>
      </c>
      <c r="B902" s="285" t="s">
        <v>259</v>
      </c>
      <c r="C902" s="285" t="s">
        <v>135</v>
      </c>
      <c r="D902" s="285" t="s">
        <v>913</v>
      </c>
      <c r="E902" s="285"/>
      <c r="F902" s="325">
        <f>F903</f>
        <v>87</v>
      </c>
      <c r="G902" s="325">
        <f>G903</f>
        <v>87</v>
      </c>
    </row>
    <row r="903" spans="1:7" ht="31.5" x14ac:dyDescent="0.25">
      <c r="A903" s="31" t="s">
        <v>587</v>
      </c>
      <c r="B903" s="32" t="s">
        <v>259</v>
      </c>
      <c r="C903" s="32" t="s">
        <v>135</v>
      </c>
      <c r="D903" s="32" t="s">
        <v>1138</v>
      </c>
      <c r="E903" s="32"/>
      <c r="F903" s="326">
        <f>'Пр.5 Рд,пр, ЦС,ВР 20'!F908</f>
        <v>87</v>
      </c>
      <c r="G903" s="326">
        <f t="shared" si="46"/>
        <v>87</v>
      </c>
    </row>
    <row r="904" spans="1:7" ht="47.25" x14ac:dyDescent="0.25">
      <c r="A904" s="31" t="s">
        <v>146</v>
      </c>
      <c r="B904" s="32" t="s">
        <v>259</v>
      </c>
      <c r="C904" s="32" t="s">
        <v>135</v>
      </c>
      <c r="D904" s="32" t="s">
        <v>1138</v>
      </c>
      <c r="E904" s="32" t="s">
        <v>147</v>
      </c>
      <c r="F904" s="326">
        <f>'Пр.5 Рд,пр, ЦС,ВР 20'!F909</f>
        <v>87</v>
      </c>
      <c r="G904" s="326">
        <f t="shared" si="46"/>
        <v>87</v>
      </c>
    </row>
    <row r="905" spans="1:7" ht="63" x14ac:dyDescent="0.25">
      <c r="A905" s="31" t="s">
        <v>148</v>
      </c>
      <c r="B905" s="32" t="s">
        <v>259</v>
      </c>
      <c r="C905" s="32" t="s">
        <v>135</v>
      </c>
      <c r="D905" s="32" t="s">
        <v>1138</v>
      </c>
      <c r="E905" s="32" t="s">
        <v>149</v>
      </c>
      <c r="F905" s="326">
        <f>'Пр.5 Рд,пр, ЦС,ВР 20'!F910</f>
        <v>87</v>
      </c>
      <c r="G905" s="326">
        <f t="shared" si="46"/>
        <v>87</v>
      </c>
    </row>
    <row r="906" spans="1:7" ht="15.75" x14ac:dyDescent="0.25">
      <c r="A906" s="58" t="s">
        <v>505</v>
      </c>
      <c r="B906" s="8" t="s">
        <v>506</v>
      </c>
      <c r="C906" s="9"/>
      <c r="D906" s="9"/>
      <c r="E906" s="9"/>
      <c r="F906" s="325">
        <f>F907+F946</f>
        <v>58483.6</v>
      </c>
      <c r="G906" s="325">
        <f>G907+G946</f>
        <v>58483.6</v>
      </c>
    </row>
    <row r="907" spans="1:7" ht="15.75" x14ac:dyDescent="0.25">
      <c r="A907" s="34" t="s">
        <v>507</v>
      </c>
      <c r="B907" s="285" t="s">
        <v>506</v>
      </c>
      <c r="C907" s="285" t="s">
        <v>133</v>
      </c>
      <c r="D907" s="32"/>
      <c r="E907" s="32"/>
      <c r="F907" s="325">
        <f>F908+F941</f>
        <v>46727.6</v>
      </c>
      <c r="G907" s="325">
        <f>G908+G941</f>
        <v>46727.6</v>
      </c>
    </row>
    <row r="908" spans="1:7" ht="78.75" x14ac:dyDescent="0.25">
      <c r="A908" s="34" t="s">
        <v>1460</v>
      </c>
      <c r="B908" s="285" t="s">
        <v>506</v>
      </c>
      <c r="C908" s="285" t="s">
        <v>133</v>
      </c>
      <c r="D908" s="285" t="s">
        <v>497</v>
      </c>
      <c r="E908" s="285"/>
      <c r="F908" s="325">
        <f t="shared" ref="F908:G908" si="50">F909</f>
        <v>46187.5</v>
      </c>
      <c r="G908" s="325">
        <f t="shared" si="50"/>
        <v>46187.5</v>
      </c>
    </row>
    <row r="909" spans="1:7" ht="78.75" x14ac:dyDescent="0.25">
      <c r="A909" s="34" t="s">
        <v>1475</v>
      </c>
      <c r="B909" s="285" t="s">
        <v>506</v>
      </c>
      <c r="C909" s="285" t="s">
        <v>133</v>
      </c>
      <c r="D909" s="285" t="s">
        <v>509</v>
      </c>
      <c r="E909" s="285"/>
      <c r="F909" s="325">
        <f>F910+F920+F930+F937</f>
        <v>46187.5</v>
      </c>
      <c r="G909" s="325">
        <f>G910+G920+G930+G937</f>
        <v>46187.5</v>
      </c>
    </row>
    <row r="910" spans="1:7" ht="63" x14ac:dyDescent="0.25">
      <c r="A910" s="34" t="s">
        <v>1033</v>
      </c>
      <c r="B910" s="285" t="s">
        <v>506</v>
      </c>
      <c r="C910" s="285" t="s">
        <v>133</v>
      </c>
      <c r="D910" s="285" t="s">
        <v>1066</v>
      </c>
      <c r="E910" s="285"/>
      <c r="F910" s="325">
        <f>F911+F914+F917</f>
        <v>44582</v>
      </c>
      <c r="G910" s="325">
        <f>G911+G914+G917</f>
        <v>44582</v>
      </c>
    </row>
    <row r="911" spans="1:7" ht="78.75" x14ac:dyDescent="0.25">
      <c r="A911" s="31" t="s">
        <v>838</v>
      </c>
      <c r="B911" s="32" t="s">
        <v>506</v>
      </c>
      <c r="C911" s="32" t="s">
        <v>133</v>
      </c>
      <c r="D911" s="32" t="s">
        <v>1076</v>
      </c>
      <c r="E911" s="32"/>
      <c r="F911" s="326">
        <f>'Пр.5 Рд,пр, ЦС,ВР 20'!F916</f>
        <v>13108</v>
      </c>
      <c r="G911" s="326">
        <f t="shared" si="46"/>
        <v>13108</v>
      </c>
    </row>
    <row r="912" spans="1:7" ht="63" x14ac:dyDescent="0.25">
      <c r="A912" s="31" t="s">
        <v>287</v>
      </c>
      <c r="B912" s="32" t="s">
        <v>506</v>
      </c>
      <c r="C912" s="32" t="s">
        <v>133</v>
      </c>
      <c r="D912" s="32" t="s">
        <v>1076</v>
      </c>
      <c r="E912" s="32" t="s">
        <v>288</v>
      </c>
      <c r="F912" s="326">
        <f>'Пр.5 Рд,пр, ЦС,ВР 20'!F917</f>
        <v>13108</v>
      </c>
      <c r="G912" s="326">
        <f t="shared" si="46"/>
        <v>13108</v>
      </c>
    </row>
    <row r="913" spans="1:7" ht="31.5" x14ac:dyDescent="0.25">
      <c r="A913" s="31" t="s">
        <v>289</v>
      </c>
      <c r="B913" s="32" t="s">
        <v>506</v>
      </c>
      <c r="C913" s="32" t="s">
        <v>133</v>
      </c>
      <c r="D913" s="32" t="s">
        <v>1076</v>
      </c>
      <c r="E913" s="32" t="s">
        <v>290</v>
      </c>
      <c r="F913" s="326">
        <f>'Пр.5 Рд,пр, ЦС,ВР 20'!F918</f>
        <v>13108</v>
      </c>
      <c r="G913" s="326">
        <f t="shared" si="46"/>
        <v>13108</v>
      </c>
    </row>
    <row r="914" spans="1:7" ht="78.75" x14ac:dyDescent="0.25">
      <c r="A914" s="31" t="s">
        <v>859</v>
      </c>
      <c r="B914" s="32" t="s">
        <v>506</v>
      </c>
      <c r="C914" s="32" t="s">
        <v>133</v>
      </c>
      <c r="D914" s="32" t="s">
        <v>1077</v>
      </c>
      <c r="E914" s="32"/>
      <c r="F914" s="326">
        <f>'Пр.5 Рд,пр, ЦС,ВР 20'!F919</f>
        <v>12897</v>
      </c>
      <c r="G914" s="326">
        <f t="shared" si="46"/>
        <v>12897</v>
      </c>
    </row>
    <row r="915" spans="1:7" ht="63" x14ac:dyDescent="0.25">
      <c r="A915" s="31" t="s">
        <v>287</v>
      </c>
      <c r="B915" s="32" t="s">
        <v>506</v>
      </c>
      <c r="C915" s="32" t="s">
        <v>133</v>
      </c>
      <c r="D915" s="32" t="s">
        <v>1077</v>
      </c>
      <c r="E915" s="32" t="s">
        <v>288</v>
      </c>
      <c r="F915" s="326">
        <f>'Пр.5 Рд,пр, ЦС,ВР 20'!F920</f>
        <v>12897</v>
      </c>
      <c r="G915" s="326">
        <f t="shared" si="46"/>
        <v>12897</v>
      </c>
    </row>
    <row r="916" spans="1:7" ht="31.5" x14ac:dyDescent="0.25">
      <c r="A916" s="31" t="s">
        <v>289</v>
      </c>
      <c r="B916" s="32" t="s">
        <v>506</v>
      </c>
      <c r="C916" s="32" t="s">
        <v>133</v>
      </c>
      <c r="D916" s="32" t="s">
        <v>1077</v>
      </c>
      <c r="E916" s="32" t="s">
        <v>290</v>
      </c>
      <c r="F916" s="326">
        <f>'Пр.5 Рд,пр, ЦС,ВР 20'!F921</f>
        <v>12897</v>
      </c>
      <c r="G916" s="326">
        <f t="shared" si="46"/>
        <v>12897</v>
      </c>
    </row>
    <row r="917" spans="1:7" ht="78.75" x14ac:dyDescent="0.25">
      <c r="A917" s="31" t="s">
        <v>860</v>
      </c>
      <c r="B917" s="32" t="s">
        <v>506</v>
      </c>
      <c r="C917" s="32" t="s">
        <v>133</v>
      </c>
      <c r="D917" s="32" t="s">
        <v>1078</v>
      </c>
      <c r="E917" s="32"/>
      <c r="F917" s="326">
        <f>'Пр.5 Рд,пр, ЦС,ВР 20'!F922</f>
        <v>18577</v>
      </c>
      <c r="G917" s="326">
        <f t="shared" si="46"/>
        <v>18577</v>
      </c>
    </row>
    <row r="918" spans="1:7" ht="63" x14ac:dyDescent="0.25">
      <c r="A918" s="31" t="s">
        <v>287</v>
      </c>
      <c r="B918" s="32" t="s">
        <v>506</v>
      </c>
      <c r="C918" s="32" t="s">
        <v>133</v>
      </c>
      <c r="D918" s="32" t="s">
        <v>1078</v>
      </c>
      <c r="E918" s="32" t="s">
        <v>288</v>
      </c>
      <c r="F918" s="326">
        <f>'Пр.5 Рд,пр, ЦС,ВР 20'!F923</f>
        <v>18577</v>
      </c>
      <c r="G918" s="326">
        <f t="shared" si="46"/>
        <v>18577</v>
      </c>
    </row>
    <row r="919" spans="1:7" ht="31.5" x14ac:dyDescent="0.25">
      <c r="A919" s="31" t="s">
        <v>289</v>
      </c>
      <c r="B919" s="32" t="s">
        <v>506</v>
      </c>
      <c r="C919" s="32" t="s">
        <v>133</v>
      </c>
      <c r="D919" s="32" t="s">
        <v>1078</v>
      </c>
      <c r="E919" s="32" t="s">
        <v>290</v>
      </c>
      <c r="F919" s="326">
        <f>'Пр.5 Рд,пр, ЦС,ВР 20'!F924</f>
        <v>18577</v>
      </c>
      <c r="G919" s="326">
        <f t="shared" si="46"/>
        <v>18577</v>
      </c>
    </row>
    <row r="920" spans="1:7" ht="31.5" x14ac:dyDescent="0.25">
      <c r="A920" s="34" t="s">
        <v>1079</v>
      </c>
      <c r="B920" s="285" t="s">
        <v>506</v>
      </c>
      <c r="C920" s="285" t="s">
        <v>133</v>
      </c>
      <c r="D920" s="285" t="s">
        <v>1080</v>
      </c>
      <c r="E920" s="285"/>
      <c r="F920" s="325">
        <f>F921+F924+F927</f>
        <v>36</v>
      </c>
      <c r="G920" s="325">
        <f>G921+G924+G927</f>
        <v>36</v>
      </c>
    </row>
    <row r="921" spans="1:7" ht="63" hidden="1" x14ac:dyDescent="0.25">
      <c r="A921" s="31" t="s">
        <v>293</v>
      </c>
      <c r="B921" s="32" t="s">
        <v>506</v>
      </c>
      <c r="C921" s="32" t="s">
        <v>133</v>
      </c>
      <c r="D921" s="32" t="s">
        <v>1084</v>
      </c>
      <c r="E921" s="32"/>
      <c r="F921" s="326">
        <f>'Пр.5 Рд,пр, ЦС,ВР 20'!F926</f>
        <v>0</v>
      </c>
      <c r="G921" s="326">
        <f t="shared" si="46"/>
        <v>0</v>
      </c>
    </row>
    <row r="922" spans="1:7" ht="63" hidden="1" x14ac:dyDescent="0.25">
      <c r="A922" s="31" t="s">
        <v>287</v>
      </c>
      <c r="B922" s="32" t="s">
        <v>506</v>
      </c>
      <c r="C922" s="32" t="s">
        <v>133</v>
      </c>
      <c r="D922" s="32" t="s">
        <v>1084</v>
      </c>
      <c r="E922" s="32" t="s">
        <v>288</v>
      </c>
      <c r="F922" s="326">
        <f>'Пр.5 Рд,пр, ЦС,ВР 20'!F927</f>
        <v>0</v>
      </c>
      <c r="G922" s="326">
        <f t="shared" si="46"/>
        <v>0</v>
      </c>
    </row>
    <row r="923" spans="1:7" ht="31.5" hidden="1" x14ac:dyDescent="0.25">
      <c r="A923" s="31" t="s">
        <v>289</v>
      </c>
      <c r="B923" s="32" t="s">
        <v>506</v>
      </c>
      <c r="C923" s="32" t="s">
        <v>133</v>
      </c>
      <c r="D923" s="32" t="s">
        <v>1084</v>
      </c>
      <c r="E923" s="32" t="s">
        <v>290</v>
      </c>
      <c r="F923" s="326">
        <f>'Пр.5 Рд,пр, ЦС,ВР 20'!F928</f>
        <v>0</v>
      </c>
      <c r="G923" s="326">
        <f t="shared" si="46"/>
        <v>0</v>
      </c>
    </row>
    <row r="924" spans="1:7" ht="47.25" hidden="1" x14ac:dyDescent="0.25">
      <c r="A924" s="31" t="s">
        <v>295</v>
      </c>
      <c r="B924" s="32" t="s">
        <v>506</v>
      </c>
      <c r="C924" s="32" t="s">
        <v>133</v>
      </c>
      <c r="D924" s="32" t="s">
        <v>1085</v>
      </c>
      <c r="E924" s="32"/>
      <c r="F924" s="326">
        <f>'Пр.5 Рд,пр, ЦС,ВР 20'!F929</f>
        <v>0</v>
      </c>
      <c r="G924" s="326">
        <f t="shared" si="46"/>
        <v>0</v>
      </c>
    </row>
    <row r="925" spans="1:7" ht="63" hidden="1" x14ac:dyDescent="0.25">
      <c r="A925" s="31" t="s">
        <v>287</v>
      </c>
      <c r="B925" s="32" t="s">
        <v>506</v>
      </c>
      <c r="C925" s="32" t="s">
        <v>133</v>
      </c>
      <c r="D925" s="32" t="s">
        <v>1085</v>
      </c>
      <c r="E925" s="32" t="s">
        <v>288</v>
      </c>
      <c r="F925" s="326">
        <f>'Пр.5 Рд,пр, ЦС,ВР 20'!F930</f>
        <v>0</v>
      </c>
      <c r="G925" s="326">
        <f t="shared" si="46"/>
        <v>0</v>
      </c>
    </row>
    <row r="926" spans="1:7" ht="31.5" hidden="1" x14ac:dyDescent="0.25">
      <c r="A926" s="31" t="s">
        <v>289</v>
      </c>
      <c r="B926" s="32" t="s">
        <v>506</v>
      </c>
      <c r="C926" s="32" t="s">
        <v>133</v>
      </c>
      <c r="D926" s="32" t="s">
        <v>1085</v>
      </c>
      <c r="E926" s="32" t="s">
        <v>290</v>
      </c>
      <c r="F926" s="326">
        <f>'Пр.5 Рд,пр, ЦС,ВР 20'!F931</f>
        <v>0</v>
      </c>
      <c r="G926" s="326">
        <f t="shared" si="46"/>
        <v>0</v>
      </c>
    </row>
    <row r="927" spans="1:7" ht="31.5" x14ac:dyDescent="0.25">
      <c r="A927" s="31" t="s">
        <v>877</v>
      </c>
      <c r="B927" s="32" t="s">
        <v>506</v>
      </c>
      <c r="C927" s="32" t="s">
        <v>133</v>
      </c>
      <c r="D927" s="32" t="s">
        <v>1086</v>
      </c>
      <c r="E927" s="32"/>
      <c r="F927" s="326">
        <f>'Пр.5 Рд,пр, ЦС,ВР 20'!F932</f>
        <v>36</v>
      </c>
      <c r="G927" s="326">
        <f t="shared" si="46"/>
        <v>36</v>
      </c>
    </row>
    <row r="928" spans="1:7" ht="63" x14ac:dyDescent="0.25">
      <c r="A928" s="31" t="s">
        <v>287</v>
      </c>
      <c r="B928" s="32" t="s">
        <v>506</v>
      </c>
      <c r="C928" s="32" t="s">
        <v>133</v>
      </c>
      <c r="D928" s="32" t="s">
        <v>1086</v>
      </c>
      <c r="E928" s="32" t="s">
        <v>288</v>
      </c>
      <c r="F928" s="326">
        <f>'Пр.5 Рд,пр, ЦС,ВР 20'!F933</f>
        <v>36</v>
      </c>
      <c r="G928" s="326">
        <f t="shared" si="46"/>
        <v>36</v>
      </c>
    </row>
    <row r="929" spans="1:7" ht="31.5" x14ac:dyDescent="0.25">
      <c r="A929" s="31" t="s">
        <v>289</v>
      </c>
      <c r="B929" s="32" t="s">
        <v>506</v>
      </c>
      <c r="C929" s="32" t="s">
        <v>133</v>
      </c>
      <c r="D929" s="32" t="s">
        <v>1086</v>
      </c>
      <c r="E929" s="32" t="s">
        <v>290</v>
      </c>
      <c r="F929" s="326">
        <f>'Пр.5 Рд,пр, ЦС,ВР 20'!F934</f>
        <v>36</v>
      </c>
      <c r="G929" s="326">
        <f t="shared" si="46"/>
        <v>36</v>
      </c>
    </row>
    <row r="930" spans="1:7" ht="63" x14ac:dyDescent="0.25">
      <c r="A930" s="34" t="s">
        <v>1081</v>
      </c>
      <c r="B930" s="285" t="s">
        <v>506</v>
      </c>
      <c r="C930" s="285" t="s">
        <v>133</v>
      </c>
      <c r="D930" s="285" t="s">
        <v>1083</v>
      </c>
      <c r="E930" s="285"/>
      <c r="F930" s="325">
        <f>F931+F934</f>
        <v>756</v>
      </c>
      <c r="G930" s="325">
        <f>G931+G934</f>
        <v>756</v>
      </c>
    </row>
    <row r="931" spans="1:7" ht="47.25" hidden="1" x14ac:dyDescent="0.25">
      <c r="A931" s="31" t="s">
        <v>816</v>
      </c>
      <c r="B931" s="32" t="s">
        <v>506</v>
      </c>
      <c r="C931" s="32" t="s">
        <v>133</v>
      </c>
      <c r="D931" s="32" t="s">
        <v>1087</v>
      </c>
      <c r="E931" s="32"/>
      <c r="F931" s="326">
        <f>'Пр.5 Рд,пр, ЦС,ВР 20'!F936</f>
        <v>0</v>
      </c>
      <c r="G931" s="326">
        <f t="shared" si="46"/>
        <v>0</v>
      </c>
    </row>
    <row r="932" spans="1:7" ht="63" hidden="1" x14ac:dyDescent="0.25">
      <c r="A932" s="31" t="s">
        <v>287</v>
      </c>
      <c r="B932" s="32" t="s">
        <v>506</v>
      </c>
      <c r="C932" s="32" t="s">
        <v>133</v>
      </c>
      <c r="D932" s="32" t="s">
        <v>1087</v>
      </c>
      <c r="E932" s="32" t="s">
        <v>288</v>
      </c>
      <c r="F932" s="326">
        <f>'Пр.5 Рд,пр, ЦС,ВР 20'!F937</f>
        <v>0</v>
      </c>
      <c r="G932" s="326">
        <f t="shared" si="46"/>
        <v>0</v>
      </c>
    </row>
    <row r="933" spans="1:7" ht="31.5" hidden="1" x14ac:dyDescent="0.25">
      <c r="A933" s="31" t="s">
        <v>289</v>
      </c>
      <c r="B933" s="32" t="s">
        <v>506</v>
      </c>
      <c r="C933" s="32" t="s">
        <v>133</v>
      </c>
      <c r="D933" s="32" t="s">
        <v>1087</v>
      </c>
      <c r="E933" s="32" t="s">
        <v>290</v>
      </c>
      <c r="F933" s="326">
        <f>'Пр.5 Рд,пр, ЦС,ВР 20'!F938</f>
        <v>0</v>
      </c>
      <c r="G933" s="326">
        <f t="shared" si="46"/>
        <v>0</v>
      </c>
    </row>
    <row r="934" spans="1:7" ht="63" x14ac:dyDescent="0.25">
      <c r="A934" s="45" t="s">
        <v>786</v>
      </c>
      <c r="B934" s="32" t="s">
        <v>506</v>
      </c>
      <c r="C934" s="32" t="s">
        <v>133</v>
      </c>
      <c r="D934" s="32" t="s">
        <v>1088</v>
      </c>
      <c r="E934" s="32"/>
      <c r="F934" s="326">
        <f>'Пр.5 Рд,пр, ЦС,ВР 20'!F939</f>
        <v>756</v>
      </c>
      <c r="G934" s="326">
        <f t="shared" si="46"/>
        <v>756</v>
      </c>
    </row>
    <row r="935" spans="1:7" ht="63" x14ac:dyDescent="0.25">
      <c r="A935" s="31" t="s">
        <v>287</v>
      </c>
      <c r="B935" s="32" t="s">
        <v>506</v>
      </c>
      <c r="C935" s="32" t="s">
        <v>133</v>
      </c>
      <c r="D935" s="32" t="s">
        <v>1088</v>
      </c>
      <c r="E935" s="32" t="s">
        <v>288</v>
      </c>
      <c r="F935" s="326">
        <f>'Пр.5 Рд,пр, ЦС,ВР 20'!F940</f>
        <v>756</v>
      </c>
      <c r="G935" s="326">
        <f t="shared" si="46"/>
        <v>756</v>
      </c>
    </row>
    <row r="936" spans="1:7" ht="31.5" x14ac:dyDescent="0.25">
      <c r="A936" s="31" t="s">
        <v>289</v>
      </c>
      <c r="B936" s="32" t="s">
        <v>506</v>
      </c>
      <c r="C936" s="32" t="s">
        <v>133</v>
      </c>
      <c r="D936" s="32" t="s">
        <v>1088</v>
      </c>
      <c r="E936" s="32" t="s">
        <v>290</v>
      </c>
      <c r="F936" s="326">
        <f>'Пр.5 Рд,пр, ЦС,ВР 20'!F941</f>
        <v>756</v>
      </c>
      <c r="G936" s="326">
        <f t="shared" si="46"/>
        <v>756</v>
      </c>
    </row>
    <row r="937" spans="1:7" ht="78.75" x14ac:dyDescent="0.25">
      <c r="A937" s="34" t="s">
        <v>973</v>
      </c>
      <c r="B937" s="285" t="s">
        <v>506</v>
      </c>
      <c r="C937" s="285" t="s">
        <v>133</v>
      </c>
      <c r="D937" s="285" t="s">
        <v>1089</v>
      </c>
      <c r="E937" s="285"/>
      <c r="F937" s="325">
        <f>F938</f>
        <v>813.5</v>
      </c>
      <c r="G937" s="325">
        <f>G938</f>
        <v>813.5</v>
      </c>
    </row>
    <row r="938" spans="1:7" ht="157.5" x14ac:dyDescent="0.25">
      <c r="A938" s="31" t="s">
        <v>479</v>
      </c>
      <c r="B938" s="32" t="s">
        <v>506</v>
      </c>
      <c r="C938" s="32" t="s">
        <v>133</v>
      </c>
      <c r="D938" s="32" t="s">
        <v>1090</v>
      </c>
      <c r="E938" s="32"/>
      <c r="F938" s="326">
        <f>'Пр.5 Рд,пр, ЦС,ВР 20'!F943</f>
        <v>813.5</v>
      </c>
      <c r="G938" s="326">
        <f t="shared" si="46"/>
        <v>813.5</v>
      </c>
    </row>
    <row r="939" spans="1:7" ht="63" x14ac:dyDescent="0.25">
      <c r="A939" s="31" t="s">
        <v>287</v>
      </c>
      <c r="B939" s="32" t="s">
        <v>506</v>
      </c>
      <c r="C939" s="32" t="s">
        <v>133</v>
      </c>
      <c r="D939" s="32" t="s">
        <v>1090</v>
      </c>
      <c r="E939" s="32" t="s">
        <v>288</v>
      </c>
      <c r="F939" s="326">
        <f>'Пр.5 Рд,пр, ЦС,ВР 20'!F944</f>
        <v>813.5</v>
      </c>
      <c r="G939" s="326">
        <f t="shared" si="46"/>
        <v>813.5</v>
      </c>
    </row>
    <row r="940" spans="1:7" ht="31.5" x14ac:dyDescent="0.25">
      <c r="A940" s="31" t="s">
        <v>289</v>
      </c>
      <c r="B940" s="32" t="s">
        <v>506</v>
      </c>
      <c r="C940" s="32" t="s">
        <v>133</v>
      </c>
      <c r="D940" s="32" t="s">
        <v>1090</v>
      </c>
      <c r="E940" s="32" t="s">
        <v>290</v>
      </c>
      <c r="F940" s="326">
        <f>'Пр.5 Рд,пр, ЦС,ВР 20'!F945</f>
        <v>813.5</v>
      </c>
      <c r="G940" s="326">
        <f t="shared" si="46"/>
        <v>813.5</v>
      </c>
    </row>
    <row r="941" spans="1:7" ht="78.75" x14ac:dyDescent="0.25">
      <c r="A941" s="58" t="s">
        <v>1452</v>
      </c>
      <c r="B941" s="285" t="s">
        <v>506</v>
      </c>
      <c r="C941" s="285" t="s">
        <v>133</v>
      </c>
      <c r="D941" s="285" t="s">
        <v>727</v>
      </c>
      <c r="E941" s="285"/>
      <c r="F941" s="325">
        <f t="shared" ref="F941:G941" si="51">F942</f>
        <v>540.1</v>
      </c>
      <c r="G941" s="325">
        <f t="shared" si="51"/>
        <v>540.1</v>
      </c>
    </row>
    <row r="942" spans="1:7" ht="78.75" x14ac:dyDescent="0.25">
      <c r="A942" s="58" t="s">
        <v>951</v>
      </c>
      <c r="B942" s="285" t="s">
        <v>506</v>
      </c>
      <c r="C942" s="285" t="s">
        <v>133</v>
      </c>
      <c r="D942" s="285" t="s">
        <v>949</v>
      </c>
      <c r="E942" s="285"/>
      <c r="F942" s="325">
        <f>F943</f>
        <v>540.1</v>
      </c>
      <c r="G942" s="325">
        <f>G943</f>
        <v>540.1</v>
      </c>
    </row>
    <row r="943" spans="1:7" ht="78.75" x14ac:dyDescent="0.25">
      <c r="A943" s="101" t="s">
        <v>802</v>
      </c>
      <c r="B943" s="32" t="s">
        <v>506</v>
      </c>
      <c r="C943" s="32" t="s">
        <v>133</v>
      </c>
      <c r="D943" s="32" t="s">
        <v>1032</v>
      </c>
      <c r="E943" s="32"/>
      <c r="F943" s="326">
        <f>'Пр.5 Рд,пр, ЦС,ВР 20'!F948</f>
        <v>540.1</v>
      </c>
      <c r="G943" s="326">
        <f t="shared" si="46"/>
        <v>540.1</v>
      </c>
    </row>
    <row r="944" spans="1:7" ht="63" x14ac:dyDescent="0.25">
      <c r="A944" s="45" t="s">
        <v>287</v>
      </c>
      <c r="B944" s="32" t="s">
        <v>506</v>
      </c>
      <c r="C944" s="32" t="s">
        <v>133</v>
      </c>
      <c r="D944" s="32" t="s">
        <v>1032</v>
      </c>
      <c r="E944" s="32" t="s">
        <v>288</v>
      </c>
      <c r="F944" s="326">
        <f>'Пр.5 Рд,пр, ЦС,ВР 20'!F949</f>
        <v>540.1</v>
      </c>
      <c r="G944" s="326">
        <f t="shared" ref="G944:G996" si="52">F944</f>
        <v>540.1</v>
      </c>
    </row>
    <row r="945" spans="1:7" ht="31.5" x14ac:dyDescent="0.25">
      <c r="A945" s="439" t="s">
        <v>289</v>
      </c>
      <c r="B945" s="32" t="s">
        <v>506</v>
      </c>
      <c r="C945" s="32" t="s">
        <v>133</v>
      </c>
      <c r="D945" s="32" t="s">
        <v>1032</v>
      </c>
      <c r="E945" s="32" t="s">
        <v>290</v>
      </c>
      <c r="F945" s="326">
        <f>'Пр.5 Рд,пр, ЦС,ВР 20'!F950</f>
        <v>540.1</v>
      </c>
      <c r="G945" s="326">
        <f t="shared" si="52"/>
        <v>540.1</v>
      </c>
    </row>
    <row r="946" spans="1:7" ht="31.5" x14ac:dyDescent="0.25">
      <c r="A946" s="34" t="s">
        <v>515</v>
      </c>
      <c r="B946" s="285" t="s">
        <v>506</v>
      </c>
      <c r="C946" s="285" t="s">
        <v>249</v>
      </c>
      <c r="D946" s="285"/>
      <c r="E946" s="285"/>
      <c r="F946" s="325">
        <f>F947+F955+F967</f>
        <v>11756</v>
      </c>
      <c r="G946" s="325">
        <f>G947+G955+G967</f>
        <v>11756</v>
      </c>
    </row>
    <row r="947" spans="1:7" ht="47.25" x14ac:dyDescent="0.25">
      <c r="A947" s="34" t="s">
        <v>992</v>
      </c>
      <c r="B947" s="285" t="s">
        <v>506</v>
      </c>
      <c r="C947" s="285" t="s">
        <v>249</v>
      </c>
      <c r="D947" s="285" t="s">
        <v>906</v>
      </c>
      <c r="E947" s="285"/>
      <c r="F947" s="325">
        <f>F948</f>
        <v>4531</v>
      </c>
      <c r="G947" s="325">
        <f>G948</f>
        <v>4531</v>
      </c>
    </row>
    <row r="948" spans="1:7" ht="31.5" x14ac:dyDescent="0.25">
      <c r="A948" s="34" t="s">
        <v>993</v>
      </c>
      <c r="B948" s="285" t="s">
        <v>506</v>
      </c>
      <c r="C948" s="285" t="s">
        <v>249</v>
      </c>
      <c r="D948" s="285" t="s">
        <v>907</v>
      </c>
      <c r="E948" s="285"/>
      <c r="F948" s="325">
        <f>F949+F952</f>
        <v>4531</v>
      </c>
      <c r="G948" s="325">
        <f>G949+G952</f>
        <v>4531</v>
      </c>
    </row>
    <row r="949" spans="1:7" ht="47.25" x14ac:dyDescent="0.25">
      <c r="A949" s="31" t="s">
        <v>969</v>
      </c>
      <c r="B949" s="32" t="s">
        <v>506</v>
      </c>
      <c r="C949" s="32" t="s">
        <v>249</v>
      </c>
      <c r="D949" s="32" t="s">
        <v>908</v>
      </c>
      <c r="E949" s="32"/>
      <c r="F949" s="326">
        <f>'Пр.5 Рд,пр, ЦС,ВР 20'!F954</f>
        <v>4447</v>
      </c>
      <c r="G949" s="326">
        <f t="shared" si="52"/>
        <v>4447</v>
      </c>
    </row>
    <row r="950" spans="1:7" ht="126" x14ac:dyDescent="0.25">
      <c r="A950" s="31" t="s">
        <v>142</v>
      </c>
      <c r="B950" s="32" t="s">
        <v>506</v>
      </c>
      <c r="C950" s="32" t="s">
        <v>249</v>
      </c>
      <c r="D950" s="32" t="s">
        <v>908</v>
      </c>
      <c r="E950" s="32" t="s">
        <v>143</v>
      </c>
      <c r="F950" s="326">
        <f>'Пр.5 Рд,пр, ЦС,ВР 20'!F955</f>
        <v>4447</v>
      </c>
      <c r="G950" s="326">
        <f t="shared" si="52"/>
        <v>4447</v>
      </c>
    </row>
    <row r="951" spans="1:7" ht="47.25" x14ac:dyDescent="0.25">
      <c r="A951" s="31" t="s">
        <v>144</v>
      </c>
      <c r="B951" s="32" t="s">
        <v>506</v>
      </c>
      <c r="C951" s="32" t="s">
        <v>249</v>
      </c>
      <c r="D951" s="32" t="s">
        <v>908</v>
      </c>
      <c r="E951" s="32" t="s">
        <v>145</v>
      </c>
      <c r="F951" s="326">
        <f>'Пр.5 Рд,пр, ЦС,ВР 20'!F956</f>
        <v>4447</v>
      </c>
      <c r="G951" s="326">
        <f t="shared" si="52"/>
        <v>4447</v>
      </c>
    </row>
    <row r="952" spans="1:7" ht="63" x14ac:dyDescent="0.25">
      <c r="A952" s="31" t="s">
        <v>886</v>
      </c>
      <c r="B952" s="32" t="s">
        <v>506</v>
      </c>
      <c r="C952" s="32" t="s">
        <v>249</v>
      </c>
      <c r="D952" s="32" t="s">
        <v>910</v>
      </c>
      <c r="E952" s="32"/>
      <c r="F952" s="326">
        <f>'Пр.5 Рд,пр, ЦС,ВР 20'!F957</f>
        <v>84</v>
      </c>
      <c r="G952" s="326">
        <f t="shared" si="52"/>
        <v>84</v>
      </c>
    </row>
    <row r="953" spans="1:7" ht="126" x14ac:dyDescent="0.25">
      <c r="A953" s="31" t="s">
        <v>142</v>
      </c>
      <c r="B953" s="32" t="s">
        <v>506</v>
      </c>
      <c r="C953" s="32" t="s">
        <v>249</v>
      </c>
      <c r="D953" s="32" t="s">
        <v>910</v>
      </c>
      <c r="E953" s="32" t="s">
        <v>143</v>
      </c>
      <c r="F953" s="326">
        <f>'Пр.5 Рд,пр, ЦС,ВР 20'!F958</f>
        <v>84</v>
      </c>
      <c r="G953" s="326">
        <f t="shared" si="52"/>
        <v>84</v>
      </c>
    </row>
    <row r="954" spans="1:7" ht="47.25" x14ac:dyDescent="0.25">
      <c r="A954" s="31" t="s">
        <v>144</v>
      </c>
      <c r="B954" s="32" t="s">
        <v>506</v>
      </c>
      <c r="C954" s="32" t="s">
        <v>249</v>
      </c>
      <c r="D954" s="32" t="s">
        <v>910</v>
      </c>
      <c r="E954" s="32" t="s">
        <v>145</v>
      </c>
      <c r="F954" s="326">
        <f>'Пр.5 Рд,пр, ЦС,ВР 20'!F959</f>
        <v>84</v>
      </c>
      <c r="G954" s="326">
        <f t="shared" si="52"/>
        <v>84</v>
      </c>
    </row>
    <row r="955" spans="1:7" ht="31.5" x14ac:dyDescent="0.25">
      <c r="A955" s="34" t="s">
        <v>156</v>
      </c>
      <c r="B955" s="285" t="s">
        <v>506</v>
      </c>
      <c r="C955" s="285" t="s">
        <v>249</v>
      </c>
      <c r="D955" s="285" t="s">
        <v>914</v>
      </c>
      <c r="E955" s="285"/>
      <c r="F955" s="325">
        <f>F956</f>
        <v>5225</v>
      </c>
      <c r="G955" s="325">
        <f>G956</f>
        <v>5225</v>
      </c>
    </row>
    <row r="956" spans="1:7" ht="63" x14ac:dyDescent="0.25">
      <c r="A956" s="34" t="s">
        <v>1006</v>
      </c>
      <c r="B956" s="285" t="s">
        <v>506</v>
      </c>
      <c r="C956" s="285" t="s">
        <v>249</v>
      </c>
      <c r="D956" s="285" t="s">
        <v>989</v>
      </c>
      <c r="E956" s="285"/>
      <c r="F956" s="325">
        <f>F957+F964</f>
        <v>5225</v>
      </c>
      <c r="G956" s="325">
        <f>G957+G964</f>
        <v>5225</v>
      </c>
    </row>
    <row r="957" spans="1:7" ht="47.25" x14ac:dyDescent="0.25">
      <c r="A957" s="31" t="s">
        <v>976</v>
      </c>
      <c r="B957" s="32" t="s">
        <v>506</v>
      </c>
      <c r="C957" s="32" t="s">
        <v>249</v>
      </c>
      <c r="D957" s="32" t="s">
        <v>990</v>
      </c>
      <c r="E957" s="32"/>
      <c r="F957" s="326">
        <f>'Пр.5 Рд,пр, ЦС,ВР 20'!F962</f>
        <v>5015</v>
      </c>
      <c r="G957" s="326">
        <f t="shared" si="52"/>
        <v>5015</v>
      </c>
    </row>
    <row r="958" spans="1:7" ht="126" x14ac:dyDescent="0.25">
      <c r="A958" s="31" t="s">
        <v>142</v>
      </c>
      <c r="B958" s="32" t="s">
        <v>506</v>
      </c>
      <c r="C958" s="32" t="s">
        <v>249</v>
      </c>
      <c r="D958" s="32" t="s">
        <v>990</v>
      </c>
      <c r="E958" s="32" t="s">
        <v>143</v>
      </c>
      <c r="F958" s="326">
        <f>'Пр.5 Рд,пр, ЦС,ВР 20'!F963</f>
        <v>4454</v>
      </c>
      <c r="G958" s="326">
        <f t="shared" si="52"/>
        <v>4454</v>
      </c>
    </row>
    <row r="959" spans="1:7" ht="31.5" x14ac:dyDescent="0.25">
      <c r="A959" s="31" t="s">
        <v>357</v>
      </c>
      <c r="B959" s="32" t="s">
        <v>506</v>
      </c>
      <c r="C959" s="32" t="s">
        <v>249</v>
      </c>
      <c r="D959" s="32" t="s">
        <v>990</v>
      </c>
      <c r="E959" s="32" t="s">
        <v>224</v>
      </c>
      <c r="F959" s="326">
        <f>'Пр.5 Рд,пр, ЦС,ВР 20'!F964</f>
        <v>4454</v>
      </c>
      <c r="G959" s="326">
        <f t="shared" si="52"/>
        <v>4454</v>
      </c>
    </row>
    <row r="960" spans="1:7" ht="47.25" x14ac:dyDescent="0.25">
      <c r="A960" s="31" t="s">
        <v>146</v>
      </c>
      <c r="B960" s="32" t="s">
        <v>506</v>
      </c>
      <c r="C960" s="32" t="s">
        <v>249</v>
      </c>
      <c r="D960" s="32" t="s">
        <v>990</v>
      </c>
      <c r="E960" s="32" t="s">
        <v>147</v>
      </c>
      <c r="F960" s="326">
        <f>'Пр.5 Рд,пр, ЦС,ВР 20'!F965</f>
        <v>510</v>
      </c>
      <c r="G960" s="326">
        <f t="shared" si="52"/>
        <v>510</v>
      </c>
    </row>
    <row r="961" spans="1:7" ht="63" x14ac:dyDescent="0.25">
      <c r="A961" s="31" t="s">
        <v>148</v>
      </c>
      <c r="B961" s="32" t="s">
        <v>506</v>
      </c>
      <c r="C961" s="32" t="s">
        <v>249</v>
      </c>
      <c r="D961" s="32" t="s">
        <v>990</v>
      </c>
      <c r="E961" s="32" t="s">
        <v>149</v>
      </c>
      <c r="F961" s="326">
        <f>'Пр.5 Рд,пр, ЦС,ВР 20'!F966</f>
        <v>510</v>
      </c>
      <c r="G961" s="326">
        <f t="shared" si="52"/>
        <v>510</v>
      </c>
    </row>
    <row r="962" spans="1:7" ht="31.5" x14ac:dyDescent="0.25">
      <c r="A962" s="31" t="s">
        <v>150</v>
      </c>
      <c r="B962" s="32" t="s">
        <v>506</v>
      </c>
      <c r="C962" s="32" t="s">
        <v>249</v>
      </c>
      <c r="D962" s="32" t="s">
        <v>990</v>
      </c>
      <c r="E962" s="32" t="s">
        <v>160</v>
      </c>
      <c r="F962" s="326">
        <f>'Пр.5 Рд,пр, ЦС,ВР 20'!F967</f>
        <v>51</v>
      </c>
      <c r="G962" s="326">
        <f t="shared" si="52"/>
        <v>51</v>
      </c>
    </row>
    <row r="963" spans="1:7" ht="31.5" x14ac:dyDescent="0.25">
      <c r="A963" s="31" t="s">
        <v>583</v>
      </c>
      <c r="B963" s="32" t="s">
        <v>506</v>
      </c>
      <c r="C963" s="32" t="s">
        <v>249</v>
      </c>
      <c r="D963" s="32" t="s">
        <v>990</v>
      </c>
      <c r="E963" s="32" t="s">
        <v>153</v>
      </c>
      <c r="F963" s="326">
        <f>'Пр.5 Рд,пр, ЦС,ВР 20'!F968</f>
        <v>51</v>
      </c>
      <c r="G963" s="326">
        <f t="shared" si="52"/>
        <v>51</v>
      </c>
    </row>
    <row r="964" spans="1:7" ht="63" x14ac:dyDescent="0.25">
      <c r="A964" s="31" t="s">
        <v>886</v>
      </c>
      <c r="B964" s="32" t="s">
        <v>506</v>
      </c>
      <c r="C964" s="32" t="s">
        <v>249</v>
      </c>
      <c r="D964" s="32" t="s">
        <v>991</v>
      </c>
      <c r="E964" s="32"/>
      <c r="F964" s="326">
        <f>'Пр.5 Рд,пр, ЦС,ВР 20'!F969</f>
        <v>210</v>
      </c>
      <c r="G964" s="326">
        <f t="shared" si="52"/>
        <v>210</v>
      </c>
    </row>
    <row r="965" spans="1:7" ht="126" x14ac:dyDescent="0.25">
      <c r="A965" s="31" t="s">
        <v>142</v>
      </c>
      <c r="B965" s="32" t="s">
        <v>506</v>
      </c>
      <c r="C965" s="32" t="s">
        <v>249</v>
      </c>
      <c r="D965" s="32" t="s">
        <v>991</v>
      </c>
      <c r="E965" s="32" t="s">
        <v>143</v>
      </c>
      <c r="F965" s="326">
        <f>'Пр.5 Рд,пр, ЦС,ВР 20'!F970</f>
        <v>210</v>
      </c>
      <c r="G965" s="326">
        <f t="shared" si="52"/>
        <v>210</v>
      </c>
    </row>
    <row r="966" spans="1:7" ht="47.25" x14ac:dyDescent="0.25">
      <c r="A966" s="31" t="s">
        <v>144</v>
      </c>
      <c r="B966" s="32" t="s">
        <v>506</v>
      </c>
      <c r="C966" s="32" t="s">
        <v>249</v>
      </c>
      <c r="D966" s="32" t="s">
        <v>991</v>
      </c>
      <c r="E966" s="32" t="s">
        <v>145</v>
      </c>
      <c r="F966" s="326">
        <f>'Пр.5 Рд,пр, ЦС,ВР 20'!F971</f>
        <v>210</v>
      </c>
      <c r="G966" s="326">
        <f t="shared" si="52"/>
        <v>210</v>
      </c>
    </row>
    <row r="967" spans="1:7" ht="78.75" x14ac:dyDescent="0.25">
      <c r="A967" s="58" t="s">
        <v>1460</v>
      </c>
      <c r="B967" s="285" t="s">
        <v>506</v>
      </c>
      <c r="C967" s="285" t="s">
        <v>249</v>
      </c>
      <c r="D967" s="8" t="s">
        <v>497</v>
      </c>
      <c r="E967" s="285"/>
      <c r="F967" s="325">
        <f t="shared" ref="F967:G969" si="53">F968</f>
        <v>2000</v>
      </c>
      <c r="G967" s="325">
        <f t="shared" si="53"/>
        <v>2000</v>
      </c>
    </row>
    <row r="968" spans="1:7" ht="63" x14ac:dyDescent="0.25">
      <c r="A968" s="58" t="s">
        <v>1476</v>
      </c>
      <c r="B968" s="285" t="s">
        <v>506</v>
      </c>
      <c r="C968" s="285" t="s">
        <v>249</v>
      </c>
      <c r="D968" s="8" t="s">
        <v>517</v>
      </c>
      <c r="E968" s="285"/>
      <c r="F968" s="325">
        <f t="shared" si="53"/>
        <v>2000</v>
      </c>
      <c r="G968" s="325">
        <f t="shared" si="53"/>
        <v>2000</v>
      </c>
    </row>
    <row r="969" spans="1:7" ht="47.25" x14ac:dyDescent="0.25">
      <c r="A969" s="58" t="s">
        <v>1091</v>
      </c>
      <c r="B969" s="285" t="s">
        <v>506</v>
      </c>
      <c r="C969" s="285" t="s">
        <v>249</v>
      </c>
      <c r="D969" s="8" t="s">
        <v>1092</v>
      </c>
      <c r="E969" s="285"/>
      <c r="F969" s="325">
        <f t="shared" si="53"/>
        <v>2000</v>
      </c>
      <c r="G969" s="325">
        <f t="shared" si="53"/>
        <v>2000</v>
      </c>
    </row>
    <row r="970" spans="1:7" ht="31.5" x14ac:dyDescent="0.25">
      <c r="A970" s="45" t="s">
        <v>1093</v>
      </c>
      <c r="B970" s="32" t="s">
        <v>506</v>
      </c>
      <c r="C970" s="32" t="s">
        <v>249</v>
      </c>
      <c r="D970" s="9" t="s">
        <v>1247</v>
      </c>
      <c r="E970" s="32"/>
      <c r="F970" s="326">
        <f>'Пр.5 Рд,пр, ЦС,ВР 20'!F975</f>
        <v>2000</v>
      </c>
      <c r="G970" s="326">
        <f t="shared" si="52"/>
        <v>2000</v>
      </c>
    </row>
    <row r="971" spans="1:7" ht="126" x14ac:dyDescent="0.25">
      <c r="A971" s="31" t="s">
        <v>142</v>
      </c>
      <c r="B971" s="32" t="s">
        <v>506</v>
      </c>
      <c r="C971" s="32" t="s">
        <v>249</v>
      </c>
      <c r="D971" s="9" t="s">
        <v>1247</v>
      </c>
      <c r="E971" s="32" t="s">
        <v>143</v>
      </c>
      <c r="F971" s="326">
        <f>'Пр.5 Рд,пр, ЦС,ВР 20'!F976</f>
        <v>1500</v>
      </c>
      <c r="G971" s="326">
        <f t="shared" si="52"/>
        <v>1500</v>
      </c>
    </row>
    <row r="972" spans="1:7" ht="31.5" x14ac:dyDescent="0.25">
      <c r="A972" s="31" t="s">
        <v>357</v>
      </c>
      <c r="B972" s="32" t="s">
        <v>506</v>
      </c>
      <c r="C972" s="32" t="s">
        <v>249</v>
      </c>
      <c r="D972" s="9" t="s">
        <v>1247</v>
      </c>
      <c r="E972" s="32" t="s">
        <v>224</v>
      </c>
      <c r="F972" s="326">
        <f>'Пр.5 Рд,пр, ЦС,ВР 20'!F977</f>
        <v>1500</v>
      </c>
      <c r="G972" s="326">
        <f t="shared" si="52"/>
        <v>1500</v>
      </c>
    </row>
    <row r="973" spans="1:7" ht="47.25" x14ac:dyDescent="0.25">
      <c r="A973" s="45" t="s">
        <v>146</v>
      </c>
      <c r="B973" s="32" t="s">
        <v>506</v>
      </c>
      <c r="C973" s="32" t="s">
        <v>249</v>
      </c>
      <c r="D973" s="9" t="s">
        <v>1247</v>
      </c>
      <c r="E973" s="32" t="s">
        <v>147</v>
      </c>
      <c r="F973" s="326">
        <f>'Пр.5 Рд,пр, ЦС,ВР 20'!F978</f>
        <v>500</v>
      </c>
      <c r="G973" s="326">
        <f t="shared" si="52"/>
        <v>500</v>
      </c>
    </row>
    <row r="974" spans="1:7" ht="63" x14ac:dyDescent="0.25">
      <c r="A974" s="45" t="s">
        <v>148</v>
      </c>
      <c r="B974" s="32" t="s">
        <v>506</v>
      </c>
      <c r="C974" s="32" t="s">
        <v>249</v>
      </c>
      <c r="D974" s="9" t="s">
        <v>1247</v>
      </c>
      <c r="E974" s="32" t="s">
        <v>149</v>
      </c>
      <c r="F974" s="326">
        <f>'Пр.5 Рд,пр, ЦС,ВР 20'!F979</f>
        <v>500</v>
      </c>
      <c r="G974" s="326">
        <f t="shared" si="52"/>
        <v>500</v>
      </c>
    </row>
    <row r="975" spans="1:7" ht="31.5" x14ac:dyDescent="0.25">
      <c r="A975" s="58" t="s">
        <v>597</v>
      </c>
      <c r="B975" s="8" t="s">
        <v>253</v>
      </c>
      <c r="C975" s="9"/>
      <c r="D975" s="9"/>
      <c r="E975" s="9"/>
      <c r="F975" s="325">
        <f t="shared" ref="F975:G975" si="54">F976</f>
        <v>5479</v>
      </c>
      <c r="G975" s="325">
        <f t="shared" si="54"/>
        <v>5479</v>
      </c>
    </row>
    <row r="976" spans="1:7" ht="31.5" x14ac:dyDescent="0.25">
      <c r="A976" s="58" t="s">
        <v>598</v>
      </c>
      <c r="B976" s="8" t="s">
        <v>253</v>
      </c>
      <c r="C976" s="8" t="s">
        <v>228</v>
      </c>
      <c r="D976" s="8"/>
      <c r="E976" s="8"/>
      <c r="F976" s="325">
        <f>F977+F989</f>
        <v>5479</v>
      </c>
      <c r="G976" s="325">
        <f>G977+G989</f>
        <v>5479</v>
      </c>
    </row>
    <row r="977" spans="1:7" ht="31.5" x14ac:dyDescent="0.25">
      <c r="A977" s="34" t="s">
        <v>156</v>
      </c>
      <c r="B977" s="285" t="s">
        <v>253</v>
      </c>
      <c r="C977" s="285" t="s">
        <v>228</v>
      </c>
      <c r="D977" s="285" t="s">
        <v>914</v>
      </c>
      <c r="E977" s="285"/>
      <c r="F977" s="325">
        <f>F978</f>
        <v>5419</v>
      </c>
      <c r="G977" s="325">
        <f>G978</f>
        <v>5419</v>
      </c>
    </row>
    <row r="978" spans="1:7" ht="31.5" x14ac:dyDescent="0.25">
      <c r="A978" s="34" t="s">
        <v>1095</v>
      </c>
      <c r="B978" s="285" t="s">
        <v>253</v>
      </c>
      <c r="C978" s="285" t="s">
        <v>228</v>
      </c>
      <c r="D978" s="285" t="s">
        <v>1094</v>
      </c>
      <c r="E978" s="285"/>
      <c r="F978" s="325">
        <f>F979+F986</f>
        <v>5419</v>
      </c>
      <c r="G978" s="325">
        <f>G979+G986</f>
        <v>5419</v>
      </c>
    </row>
    <row r="979" spans="1:7" ht="31.5" x14ac:dyDescent="0.25">
      <c r="A979" s="31" t="s">
        <v>834</v>
      </c>
      <c r="B979" s="32" t="s">
        <v>253</v>
      </c>
      <c r="C979" s="32" t="s">
        <v>228</v>
      </c>
      <c r="D979" s="32" t="s">
        <v>1096</v>
      </c>
      <c r="E979" s="32"/>
      <c r="F979" s="326">
        <f>F980+F982+F984</f>
        <v>5209</v>
      </c>
      <c r="G979" s="326">
        <f>G980+G982+G984</f>
        <v>5209</v>
      </c>
    </row>
    <row r="980" spans="1:7" ht="126" x14ac:dyDescent="0.25">
      <c r="A980" s="31" t="s">
        <v>142</v>
      </c>
      <c r="B980" s="32" t="s">
        <v>253</v>
      </c>
      <c r="C980" s="32" t="s">
        <v>228</v>
      </c>
      <c r="D980" s="32" t="s">
        <v>1096</v>
      </c>
      <c r="E980" s="32" t="s">
        <v>143</v>
      </c>
      <c r="F980" s="326">
        <f>F981</f>
        <v>4500</v>
      </c>
      <c r="G980" s="326">
        <f>G981</f>
        <v>4500</v>
      </c>
    </row>
    <row r="981" spans="1:7" ht="31.5" x14ac:dyDescent="0.25">
      <c r="A981" s="31" t="s">
        <v>223</v>
      </c>
      <c r="B981" s="32" t="s">
        <v>253</v>
      </c>
      <c r="C981" s="32" t="s">
        <v>228</v>
      </c>
      <c r="D981" s="32" t="s">
        <v>1096</v>
      </c>
      <c r="E981" s="32" t="s">
        <v>224</v>
      </c>
      <c r="F981" s="326">
        <f>'пр.6.1.ведом.21-22'!G473</f>
        <v>4500</v>
      </c>
      <c r="G981" s="326">
        <f>'пр.6.1.ведом.21-22'!H473</f>
        <v>4500</v>
      </c>
    </row>
    <row r="982" spans="1:7" ht="47.25" x14ac:dyDescent="0.25">
      <c r="A982" s="31" t="s">
        <v>146</v>
      </c>
      <c r="B982" s="32" t="s">
        <v>253</v>
      </c>
      <c r="C982" s="32" t="s">
        <v>228</v>
      </c>
      <c r="D982" s="32" t="s">
        <v>1096</v>
      </c>
      <c r="E982" s="32" t="s">
        <v>147</v>
      </c>
      <c r="F982" s="326">
        <f>F983</f>
        <v>659</v>
      </c>
      <c r="G982" s="326">
        <f>G983</f>
        <v>659</v>
      </c>
    </row>
    <row r="983" spans="1:7" ht="63" x14ac:dyDescent="0.25">
      <c r="A983" s="31" t="s">
        <v>148</v>
      </c>
      <c r="B983" s="32" t="s">
        <v>253</v>
      </c>
      <c r="C983" s="32" t="s">
        <v>228</v>
      </c>
      <c r="D983" s="32" t="s">
        <v>1096</v>
      </c>
      <c r="E983" s="32" t="s">
        <v>149</v>
      </c>
      <c r="F983" s="326">
        <f>'пр.6.1.ведом.21-22'!G475</f>
        <v>659</v>
      </c>
      <c r="G983" s="326">
        <f>'пр.6.1.ведом.21-22'!H475</f>
        <v>659</v>
      </c>
    </row>
    <row r="984" spans="1:7" ht="31.5" x14ac:dyDescent="0.25">
      <c r="A984" s="31" t="s">
        <v>150</v>
      </c>
      <c r="B984" s="32" t="s">
        <v>253</v>
      </c>
      <c r="C984" s="32" t="s">
        <v>228</v>
      </c>
      <c r="D984" s="32" t="s">
        <v>1096</v>
      </c>
      <c r="E984" s="32" t="s">
        <v>160</v>
      </c>
      <c r="F984" s="326">
        <f>'Пр.5 Рд,пр, ЦС,ВР 20'!F989</f>
        <v>50</v>
      </c>
      <c r="G984" s="326">
        <f t="shared" si="52"/>
        <v>50</v>
      </c>
    </row>
    <row r="985" spans="1:7" ht="24.75" customHeight="1" x14ac:dyDescent="0.25">
      <c r="A985" s="31" t="s">
        <v>583</v>
      </c>
      <c r="B985" s="32" t="s">
        <v>253</v>
      </c>
      <c r="C985" s="32" t="s">
        <v>228</v>
      </c>
      <c r="D985" s="32" t="s">
        <v>1096</v>
      </c>
      <c r="E985" s="32" t="s">
        <v>153</v>
      </c>
      <c r="F985" s="326">
        <f>'пр.6.1.ведом.21-22'!G477</f>
        <v>50</v>
      </c>
      <c r="G985" s="326">
        <f>'пр.6.1.ведом.21-22'!H477</f>
        <v>50</v>
      </c>
    </row>
    <row r="986" spans="1:7" ht="63" x14ac:dyDescent="0.25">
      <c r="A986" s="31" t="s">
        <v>886</v>
      </c>
      <c r="B986" s="32" t="s">
        <v>253</v>
      </c>
      <c r="C986" s="32" t="s">
        <v>228</v>
      </c>
      <c r="D986" s="32" t="s">
        <v>1097</v>
      </c>
      <c r="E986" s="32"/>
      <c r="F986" s="326">
        <f>'Пр.5 Рд,пр, ЦС,ВР 20'!F991</f>
        <v>210</v>
      </c>
      <c r="G986" s="326">
        <f t="shared" si="52"/>
        <v>210</v>
      </c>
    </row>
    <row r="987" spans="1:7" ht="126" x14ac:dyDescent="0.25">
      <c r="A987" s="31" t="s">
        <v>142</v>
      </c>
      <c r="B987" s="32" t="s">
        <v>253</v>
      </c>
      <c r="C987" s="32" t="s">
        <v>228</v>
      </c>
      <c r="D987" s="32" t="s">
        <v>1097</v>
      </c>
      <c r="E987" s="32" t="s">
        <v>143</v>
      </c>
      <c r="F987" s="326">
        <f>'Пр.5 Рд,пр, ЦС,ВР 20'!F992</f>
        <v>210</v>
      </c>
      <c r="G987" s="326">
        <f t="shared" si="52"/>
        <v>210</v>
      </c>
    </row>
    <row r="988" spans="1:7" ht="47.25" x14ac:dyDescent="0.25">
      <c r="A988" s="31" t="s">
        <v>144</v>
      </c>
      <c r="B988" s="32" t="s">
        <v>253</v>
      </c>
      <c r="C988" s="32" t="s">
        <v>228</v>
      </c>
      <c r="D988" s="32" t="s">
        <v>1097</v>
      </c>
      <c r="E988" s="32" t="s">
        <v>224</v>
      </c>
      <c r="F988" s="326">
        <f>'Пр.5 Рд,пр, ЦС,ВР 20'!F993</f>
        <v>210</v>
      </c>
      <c r="G988" s="326">
        <f t="shared" si="52"/>
        <v>210</v>
      </c>
    </row>
    <row r="989" spans="1:7" ht="78.75" x14ac:dyDescent="0.25">
      <c r="A989" s="58" t="s">
        <v>1452</v>
      </c>
      <c r="B989" s="285" t="s">
        <v>253</v>
      </c>
      <c r="C989" s="285" t="s">
        <v>228</v>
      </c>
      <c r="D989" s="285" t="s">
        <v>727</v>
      </c>
      <c r="E989" s="285"/>
      <c r="F989" s="325">
        <f>F990</f>
        <v>60</v>
      </c>
      <c r="G989" s="325">
        <f>G990</f>
        <v>60</v>
      </c>
    </row>
    <row r="990" spans="1:7" ht="78.75" x14ac:dyDescent="0.25">
      <c r="A990" s="58" t="s">
        <v>951</v>
      </c>
      <c r="B990" s="285" t="s">
        <v>253</v>
      </c>
      <c r="C990" s="285" t="s">
        <v>228</v>
      </c>
      <c r="D990" s="285" t="s">
        <v>949</v>
      </c>
      <c r="E990" s="285"/>
      <c r="F990" s="325">
        <f>F991</f>
        <v>60</v>
      </c>
      <c r="G990" s="325">
        <f>G991</f>
        <v>60</v>
      </c>
    </row>
    <row r="991" spans="1:7" ht="63" x14ac:dyDescent="0.25">
      <c r="A991" s="101" t="s">
        <v>1163</v>
      </c>
      <c r="B991" s="32" t="s">
        <v>253</v>
      </c>
      <c r="C991" s="32" t="s">
        <v>228</v>
      </c>
      <c r="D991" s="32" t="s">
        <v>950</v>
      </c>
      <c r="E991" s="32"/>
      <c r="F991" s="326">
        <f>'Пр.5 Рд,пр, ЦС,ВР 20'!F996</f>
        <v>60</v>
      </c>
      <c r="G991" s="326">
        <f t="shared" si="52"/>
        <v>60</v>
      </c>
    </row>
    <row r="992" spans="1:7" ht="47.25" x14ac:dyDescent="0.25">
      <c r="A992" s="31" t="s">
        <v>146</v>
      </c>
      <c r="B992" s="32" t="s">
        <v>253</v>
      </c>
      <c r="C992" s="32" t="s">
        <v>228</v>
      </c>
      <c r="D992" s="32" t="s">
        <v>950</v>
      </c>
      <c r="E992" s="32" t="s">
        <v>147</v>
      </c>
      <c r="F992" s="326">
        <f>'Пр.5 Рд,пр, ЦС,ВР 20'!F997</f>
        <v>60</v>
      </c>
      <c r="G992" s="326">
        <f t="shared" si="52"/>
        <v>60</v>
      </c>
    </row>
    <row r="993" spans="1:7" ht="63" x14ac:dyDescent="0.25">
      <c r="A993" s="31" t="s">
        <v>148</v>
      </c>
      <c r="B993" s="32" t="s">
        <v>253</v>
      </c>
      <c r="C993" s="32" t="s">
        <v>228</v>
      </c>
      <c r="D993" s="32" t="s">
        <v>950</v>
      </c>
      <c r="E993" s="32" t="s">
        <v>149</v>
      </c>
      <c r="F993" s="326">
        <f>'Пр.5 Рд,пр, ЦС,ВР 20'!F998</f>
        <v>60</v>
      </c>
      <c r="G993" s="326">
        <f t="shared" si="52"/>
        <v>60</v>
      </c>
    </row>
    <row r="994" spans="1:7" ht="15.75" x14ac:dyDescent="0.25">
      <c r="A994" s="445" t="s">
        <v>602</v>
      </c>
      <c r="B994" s="8"/>
      <c r="C994" s="8"/>
      <c r="D994" s="8"/>
      <c r="E994" s="8"/>
      <c r="F994" s="433">
        <f>F8+F222+F241+F316+F479+F750+F906+F975+F850</f>
        <v>726350.72</v>
      </c>
      <c r="G994" s="433">
        <f>G8+G222+G241+G316+G479+G750+G906+G975+G850</f>
        <v>725925.5199999999</v>
      </c>
    </row>
    <row r="995" spans="1:7" ht="15.75" hidden="1" x14ac:dyDescent="0.25">
      <c r="F995" s="325">
        <f>'пр.6.1.ведом.21-22'!G1087</f>
        <v>726350.71999999986</v>
      </c>
      <c r="G995" s="325">
        <f>'пр.6.1.ведом.21-22'!H1087</f>
        <v>725925.52</v>
      </c>
    </row>
    <row r="996" spans="1:7" ht="15.75" hidden="1" x14ac:dyDescent="0.25">
      <c r="F996" s="59">
        <f>'Пр.5 Рд,пр, ЦС,ВР 20'!F1001</f>
        <v>0</v>
      </c>
      <c r="G996" s="59">
        <f t="shared" si="52"/>
        <v>0</v>
      </c>
    </row>
    <row r="998" spans="1:7" hidden="1" x14ac:dyDescent="0.25">
      <c r="F998" s="434">
        <f>'пр.6.1.ведом.21-22'!G1087</f>
        <v>726350.71999999986</v>
      </c>
      <c r="G998" s="434">
        <f>'пр.6.1.ведом.21-22'!H1087</f>
        <v>725925.52</v>
      </c>
    </row>
    <row r="999" spans="1:7" hidden="1" x14ac:dyDescent="0.25"/>
    <row r="1000" spans="1:7" hidden="1" x14ac:dyDescent="0.25">
      <c r="F1000" s="434">
        <f>F998-F994</f>
        <v>0</v>
      </c>
      <c r="G1000" s="434">
        <f>G998-G994</f>
        <v>0</v>
      </c>
    </row>
    <row r="1001" spans="1:7" hidden="1" x14ac:dyDescent="0.25"/>
  </sheetData>
  <mergeCells count="4">
    <mergeCell ref="A5:G5"/>
    <mergeCell ref="F2:G2"/>
    <mergeCell ref="F3:G3"/>
    <mergeCell ref="F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6"/>
  <sheetViews>
    <sheetView topLeftCell="A1073" zoomScaleNormal="100" zoomScaleSheetLayoutView="100" workbookViewId="0">
      <selection activeCell="A10" sqref="A10"/>
    </sheetView>
  </sheetViews>
  <sheetFormatPr defaultRowHeight="15" x14ac:dyDescent="0.25"/>
  <cols>
    <col min="1" max="1" width="78.85546875" style="212" customWidth="1"/>
    <col min="2" max="2" width="7" style="212" customWidth="1"/>
    <col min="3" max="3" width="4.28515625" style="212" customWidth="1"/>
    <col min="4" max="4" width="4.85546875" style="212" customWidth="1"/>
    <col min="5" max="5" width="15.42578125" style="212" customWidth="1"/>
    <col min="6" max="6" width="5.7109375" style="212" customWidth="1"/>
    <col min="7" max="7" width="13.7109375" style="212" customWidth="1"/>
    <col min="8" max="8" width="12.85546875" style="212" hidden="1" customWidth="1"/>
    <col min="9" max="9" width="14.28515625" style="212" hidden="1" customWidth="1"/>
    <col min="10" max="10" width="12.42578125" style="212" hidden="1" customWidth="1"/>
    <col min="11" max="11" width="10.140625" style="111" hidden="1" customWidth="1"/>
    <col min="12" max="12" width="9.85546875" style="230" hidden="1" customWidth="1"/>
    <col min="13" max="14" width="0" style="1" hidden="1" customWidth="1"/>
    <col min="15" max="16384" width="9.140625" style="1"/>
  </cols>
  <sheetData>
    <row r="1" spans="1:13" ht="18.75" x14ac:dyDescent="0.3">
      <c r="A1" s="63"/>
      <c r="B1" s="63"/>
      <c r="C1" s="63"/>
      <c r="D1" s="63"/>
      <c r="E1" s="456" t="s">
        <v>1494</v>
      </c>
      <c r="F1" s="456"/>
      <c r="G1" s="456"/>
      <c r="H1" s="202"/>
      <c r="I1" s="202" t="s">
        <v>632</v>
      </c>
    </row>
    <row r="2" spans="1:13" ht="14.25" customHeight="1" x14ac:dyDescent="0.3">
      <c r="A2" s="63"/>
      <c r="B2" s="63"/>
      <c r="C2" s="63"/>
      <c r="D2" s="63"/>
      <c r="E2" s="456" t="s">
        <v>1493</v>
      </c>
      <c r="F2" s="456"/>
      <c r="G2" s="456"/>
      <c r="H2" s="202"/>
      <c r="I2" s="202" t="s">
        <v>0</v>
      </c>
    </row>
    <row r="3" spans="1:13" ht="15.75" x14ac:dyDescent="0.25">
      <c r="A3" s="133"/>
      <c r="B3" s="133"/>
      <c r="C3" s="133"/>
      <c r="D3" s="133"/>
      <c r="E3" s="456" t="s">
        <v>1492</v>
      </c>
      <c r="F3" s="456"/>
      <c r="G3" s="456"/>
      <c r="H3" s="230"/>
      <c r="I3" s="230"/>
    </row>
    <row r="4" spans="1:13" s="230" customFormat="1" ht="15.75" x14ac:dyDescent="0.25">
      <c r="A4" s="402"/>
      <c r="B4" s="402"/>
      <c r="C4" s="402"/>
      <c r="D4" s="402"/>
      <c r="E4" s="402"/>
      <c r="F4" s="402"/>
      <c r="G4" s="132"/>
      <c r="J4" s="212"/>
      <c r="K4" s="111"/>
    </row>
    <row r="5" spans="1:13" ht="15.75" customHeight="1" x14ac:dyDescent="0.25">
      <c r="A5" s="471" t="s">
        <v>1202</v>
      </c>
      <c r="B5" s="471"/>
      <c r="C5" s="471"/>
      <c r="D5" s="471"/>
      <c r="E5" s="471"/>
      <c r="F5" s="471"/>
      <c r="G5" s="471"/>
      <c r="H5" s="471"/>
      <c r="I5" s="471"/>
    </row>
    <row r="6" spans="1:13" ht="15.75" x14ac:dyDescent="0.25">
      <c r="A6" s="340"/>
      <c r="B6" s="340"/>
      <c r="C6" s="340"/>
      <c r="D6" s="340"/>
      <c r="E6" s="340"/>
      <c r="F6" s="340"/>
      <c r="G6" s="230"/>
      <c r="H6" s="230"/>
      <c r="I6" s="230"/>
    </row>
    <row r="7" spans="1:13" ht="15.75" x14ac:dyDescent="0.25">
      <c r="A7" s="13"/>
      <c r="B7" s="13"/>
      <c r="C7" s="13"/>
      <c r="D7" s="13"/>
      <c r="E7" s="13"/>
      <c r="F7" s="13"/>
      <c r="G7" s="198" t="s">
        <v>1</v>
      </c>
      <c r="H7" s="198"/>
      <c r="I7" s="198"/>
    </row>
    <row r="8" spans="1:13" ht="47.25" x14ac:dyDescent="0.25">
      <c r="A8" s="398" t="s">
        <v>125</v>
      </c>
      <c r="B8" s="398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82" t="s">
        <v>1203</v>
      </c>
      <c r="H8" s="182" t="s">
        <v>1204</v>
      </c>
      <c r="I8" s="182" t="s">
        <v>1205</v>
      </c>
      <c r="L8" s="111"/>
    </row>
    <row r="9" spans="1:13" ht="15.75" x14ac:dyDescent="0.25">
      <c r="A9" s="19" t="s">
        <v>131</v>
      </c>
      <c r="B9" s="19">
        <v>901</v>
      </c>
      <c r="C9" s="20"/>
      <c r="D9" s="20"/>
      <c r="E9" s="20"/>
      <c r="F9" s="20"/>
      <c r="G9" s="416">
        <f>G10</f>
        <v>12874</v>
      </c>
      <c r="H9" s="21">
        <f t="shared" ref="H9:I10" si="0">H10</f>
        <v>13519.9</v>
      </c>
      <c r="I9" s="21">
        <f t="shared" si="0"/>
        <v>13519.9</v>
      </c>
      <c r="K9" s="116"/>
      <c r="L9" s="111"/>
    </row>
    <row r="10" spans="1:13" ht="15.75" x14ac:dyDescent="0.25">
      <c r="A10" s="23" t="s">
        <v>132</v>
      </c>
      <c r="B10" s="19">
        <v>901</v>
      </c>
      <c r="C10" s="24" t="s">
        <v>133</v>
      </c>
      <c r="D10" s="20"/>
      <c r="E10" s="20"/>
      <c r="F10" s="20"/>
      <c r="G10" s="416">
        <f>G11</f>
        <v>12874</v>
      </c>
      <c r="H10" s="21">
        <f t="shared" si="0"/>
        <v>13519.9</v>
      </c>
      <c r="I10" s="21">
        <f t="shared" si="0"/>
        <v>13519.9</v>
      </c>
      <c r="J10" s="242">
        <f>G10</f>
        <v>12874</v>
      </c>
      <c r="L10" s="111"/>
    </row>
    <row r="11" spans="1:13" ht="39.75" customHeight="1" x14ac:dyDescent="0.25">
      <c r="A11" s="23" t="s">
        <v>134</v>
      </c>
      <c r="B11" s="19">
        <v>901</v>
      </c>
      <c r="C11" s="24" t="s">
        <v>133</v>
      </c>
      <c r="D11" s="24" t="s">
        <v>135</v>
      </c>
      <c r="E11" s="24"/>
      <c r="F11" s="24"/>
      <c r="G11" s="416">
        <f>G12</f>
        <v>12874</v>
      </c>
      <c r="H11" s="21">
        <f t="shared" ref="H11:I12" si="1">H12</f>
        <v>13519.9</v>
      </c>
      <c r="I11" s="21">
        <f t="shared" si="1"/>
        <v>13519.9</v>
      </c>
      <c r="L11" s="111"/>
    </row>
    <row r="12" spans="1:13" ht="15.75" x14ac:dyDescent="0.25">
      <c r="A12" s="23" t="s">
        <v>992</v>
      </c>
      <c r="B12" s="19">
        <v>901</v>
      </c>
      <c r="C12" s="24" t="s">
        <v>133</v>
      </c>
      <c r="D12" s="24" t="s">
        <v>135</v>
      </c>
      <c r="E12" s="24" t="s">
        <v>906</v>
      </c>
      <c r="F12" s="24"/>
      <c r="G12" s="416">
        <f>G13</f>
        <v>12874</v>
      </c>
      <c r="H12" s="21">
        <f t="shared" si="1"/>
        <v>13519.9</v>
      </c>
      <c r="I12" s="21">
        <f t="shared" si="1"/>
        <v>13519.9</v>
      </c>
      <c r="L12" s="111"/>
    </row>
    <row r="13" spans="1:13" ht="15.75" x14ac:dyDescent="0.25">
      <c r="A13" s="23" t="s">
        <v>993</v>
      </c>
      <c r="B13" s="19">
        <v>901</v>
      </c>
      <c r="C13" s="24" t="s">
        <v>133</v>
      </c>
      <c r="D13" s="24" t="s">
        <v>135</v>
      </c>
      <c r="E13" s="24" t="s">
        <v>907</v>
      </c>
      <c r="F13" s="24"/>
      <c r="G13" s="416">
        <f>G14+G21</f>
        <v>12874</v>
      </c>
      <c r="H13" s="21">
        <f>H14+H21</f>
        <v>13519.9</v>
      </c>
      <c r="I13" s="21">
        <f>I14+I21</f>
        <v>13519.9</v>
      </c>
      <c r="L13" s="111"/>
    </row>
    <row r="14" spans="1:13" ht="15.75" x14ac:dyDescent="0.25">
      <c r="A14" s="25" t="s">
        <v>969</v>
      </c>
      <c r="B14" s="16">
        <v>901</v>
      </c>
      <c r="C14" s="20" t="s">
        <v>133</v>
      </c>
      <c r="D14" s="20" t="s">
        <v>135</v>
      </c>
      <c r="E14" s="20" t="s">
        <v>908</v>
      </c>
      <c r="F14" s="20"/>
      <c r="G14" s="415">
        <f>G15+G17+G19</f>
        <v>12580</v>
      </c>
      <c r="H14" s="26">
        <f t="shared" ref="H14:I14" si="2">H15+H17+H19</f>
        <v>13175.9</v>
      </c>
      <c r="I14" s="26">
        <f t="shared" si="2"/>
        <v>13175.9</v>
      </c>
      <c r="L14" s="111"/>
    </row>
    <row r="15" spans="1:13" ht="53.25" customHeight="1" x14ac:dyDescent="0.25">
      <c r="A15" s="25" t="s">
        <v>142</v>
      </c>
      <c r="B15" s="16">
        <v>901</v>
      </c>
      <c r="C15" s="20" t="s">
        <v>133</v>
      </c>
      <c r="D15" s="20" t="s">
        <v>135</v>
      </c>
      <c r="E15" s="20" t="s">
        <v>908</v>
      </c>
      <c r="F15" s="20" t="s">
        <v>143</v>
      </c>
      <c r="G15" s="415">
        <f>G16</f>
        <v>11575</v>
      </c>
      <c r="H15" s="26">
        <f t="shared" ref="H15:I15" si="3">H16</f>
        <v>11970.1</v>
      </c>
      <c r="I15" s="26">
        <f t="shared" si="3"/>
        <v>11970.1</v>
      </c>
      <c r="L15" s="111"/>
    </row>
    <row r="16" spans="1:13" ht="15.75" x14ac:dyDescent="0.25">
      <c r="A16" s="25" t="s">
        <v>144</v>
      </c>
      <c r="B16" s="16">
        <v>901</v>
      </c>
      <c r="C16" s="20" t="s">
        <v>133</v>
      </c>
      <c r="D16" s="20" t="s">
        <v>135</v>
      </c>
      <c r="E16" s="20" t="s">
        <v>908</v>
      </c>
      <c r="F16" s="20" t="s">
        <v>145</v>
      </c>
      <c r="G16" s="419">
        <v>11575</v>
      </c>
      <c r="H16" s="27">
        <f t="shared" ref="H16:I16" si="4">12308+1239.7-1013.6-220-344</f>
        <v>11970.1</v>
      </c>
      <c r="I16" s="27">
        <f t="shared" si="4"/>
        <v>11970.1</v>
      </c>
      <c r="J16" s="241" t="s">
        <v>888</v>
      </c>
      <c r="K16" s="270"/>
      <c r="L16" s="333" t="s">
        <v>1394</v>
      </c>
      <c r="M16" s="111" t="s">
        <v>1392</v>
      </c>
    </row>
    <row r="17" spans="1:14" ht="15.75" x14ac:dyDescent="0.25">
      <c r="A17" s="25" t="s">
        <v>146</v>
      </c>
      <c r="B17" s="16">
        <v>901</v>
      </c>
      <c r="C17" s="20" t="s">
        <v>133</v>
      </c>
      <c r="D17" s="20" t="s">
        <v>135</v>
      </c>
      <c r="E17" s="20" t="s">
        <v>908</v>
      </c>
      <c r="F17" s="20" t="s">
        <v>147</v>
      </c>
      <c r="G17" s="415">
        <f>G18</f>
        <v>977</v>
      </c>
      <c r="H17" s="26">
        <f t="shared" ref="H17:I17" si="5">H18</f>
        <v>1177.8</v>
      </c>
      <c r="I17" s="26">
        <f t="shared" si="5"/>
        <v>1177.8</v>
      </c>
      <c r="L17" s="111"/>
    </row>
    <row r="18" spans="1:14" ht="31.5" x14ac:dyDescent="0.25">
      <c r="A18" s="25" t="s">
        <v>148</v>
      </c>
      <c r="B18" s="16">
        <v>901</v>
      </c>
      <c r="C18" s="20" t="s">
        <v>133</v>
      </c>
      <c r="D18" s="20" t="s">
        <v>135</v>
      </c>
      <c r="E18" s="20" t="s">
        <v>908</v>
      </c>
      <c r="F18" s="20" t="s">
        <v>149</v>
      </c>
      <c r="G18" s="419">
        <f>1177.8-0.8-200</f>
        <v>977</v>
      </c>
      <c r="H18" s="27">
        <v>1177.8</v>
      </c>
      <c r="I18" s="27">
        <v>1177.8</v>
      </c>
      <c r="L18" s="111"/>
    </row>
    <row r="19" spans="1:14" ht="15.75" x14ac:dyDescent="0.25">
      <c r="A19" s="25" t="s">
        <v>150</v>
      </c>
      <c r="B19" s="16">
        <v>901</v>
      </c>
      <c r="C19" s="20" t="s">
        <v>133</v>
      </c>
      <c r="D19" s="20" t="s">
        <v>135</v>
      </c>
      <c r="E19" s="20" t="s">
        <v>908</v>
      </c>
      <c r="F19" s="20" t="s">
        <v>151</v>
      </c>
      <c r="G19" s="415">
        <f>G20</f>
        <v>28</v>
      </c>
      <c r="H19" s="26">
        <f t="shared" ref="H19:I19" si="6">H20</f>
        <v>28</v>
      </c>
      <c r="I19" s="26">
        <f t="shared" si="6"/>
        <v>28</v>
      </c>
      <c r="L19" s="111"/>
    </row>
    <row r="20" spans="1:14" ht="15.75" x14ac:dyDescent="0.25">
      <c r="A20" s="25" t="s">
        <v>583</v>
      </c>
      <c r="B20" s="16">
        <v>901</v>
      </c>
      <c r="C20" s="20" t="s">
        <v>133</v>
      </c>
      <c r="D20" s="20" t="s">
        <v>135</v>
      </c>
      <c r="E20" s="20" t="s">
        <v>908</v>
      </c>
      <c r="F20" s="20" t="s">
        <v>153</v>
      </c>
      <c r="G20" s="415">
        <v>28</v>
      </c>
      <c r="H20" s="26">
        <v>28</v>
      </c>
      <c r="I20" s="26">
        <v>28</v>
      </c>
      <c r="L20" s="111"/>
    </row>
    <row r="21" spans="1:14" s="230" customFormat="1" ht="31.5" x14ac:dyDescent="0.25">
      <c r="A21" s="25" t="s">
        <v>886</v>
      </c>
      <c r="B21" s="16">
        <v>901</v>
      </c>
      <c r="C21" s="20" t="s">
        <v>133</v>
      </c>
      <c r="D21" s="20" t="s">
        <v>135</v>
      </c>
      <c r="E21" s="20" t="s">
        <v>910</v>
      </c>
      <c r="F21" s="20"/>
      <c r="G21" s="415">
        <f>G22</f>
        <v>294</v>
      </c>
      <c r="H21" s="26">
        <f t="shared" ref="H21:I22" si="7">H22</f>
        <v>344</v>
      </c>
      <c r="I21" s="26">
        <f t="shared" si="7"/>
        <v>344</v>
      </c>
      <c r="J21" s="249"/>
      <c r="K21" s="239"/>
      <c r="L21" s="239"/>
    </row>
    <row r="22" spans="1:14" s="230" customFormat="1" ht="47.25" x14ac:dyDescent="0.25">
      <c r="A22" s="25" t="s">
        <v>142</v>
      </c>
      <c r="B22" s="16">
        <v>901</v>
      </c>
      <c r="C22" s="20" t="s">
        <v>133</v>
      </c>
      <c r="D22" s="20" t="s">
        <v>135</v>
      </c>
      <c r="E22" s="20" t="s">
        <v>910</v>
      </c>
      <c r="F22" s="20" t="s">
        <v>143</v>
      </c>
      <c r="G22" s="415">
        <f>G23</f>
        <v>294</v>
      </c>
      <c r="H22" s="26">
        <f t="shared" si="7"/>
        <v>344</v>
      </c>
      <c r="I22" s="26">
        <f t="shared" si="7"/>
        <v>344</v>
      </c>
      <c r="J22" s="249"/>
      <c r="K22" s="239"/>
      <c r="L22" s="239"/>
    </row>
    <row r="23" spans="1:14" s="230" customFormat="1" ht="15.75" x14ac:dyDescent="0.25">
      <c r="A23" s="25" t="s">
        <v>144</v>
      </c>
      <c r="B23" s="16">
        <v>901</v>
      </c>
      <c r="C23" s="20" t="s">
        <v>133</v>
      </c>
      <c r="D23" s="20" t="s">
        <v>135</v>
      </c>
      <c r="E23" s="20" t="s">
        <v>910</v>
      </c>
      <c r="F23" s="20" t="s">
        <v>145</v>
      </c>
      <c r="G23" s="415">
        <v>294</v>
      </c>
      <c r="H23" s="26">
        <v>344</v>
      </c>
      <c r="I23" s="26">
        <v>344</v>
      </c>
      <c r="J23" s="249"/>
      <c r="K23" s="239"/>
      <c r="L23" s="239"/>
    </row>
    <row r="24" spans="1:14" ht="15.75" x14ac:dyDescent="0.25">
      <c r="A24" s="19" t="s">
        <v>163</v>
      </c>
      <c r="B24" s="19">
        <v>902</v>
      </c>
      <c r="C24" s="20"/>
      <c r="D24" s="20"/>
      <c r="E24" s="20"/>
      <c r="F24" s="20"/>
      <c r="G24" s="416">
        <f>G25+G138+G157+G187+G131</f>
        <v>82082.679999999993</v>
      </c>
      <c r="H24" s="21" t="e">
        <f>H25+H138+H157+H187+H131</f>
        <v>#REF!</v>
      </c>
      <c r="I24" s="21" t="e">
        <f>I25+I138+I157+I187+I131</f>
        <v>#REF!</v>
      </c>
      <c r="J24" s="242">
        <f>G28+G67+G71+G78+G84+G102+G112+G121+G126+G132+G139+G161+G167+G181+G188+G195</f>
        <v>74506.5</v>
      </c>
      <c r="K24" s="116"/>
      <c r="L24" s="111"/>
    </row>
    <row r="25" spans="1:14" ht="15.75" x14ac:dyDescent="0.25">
      <c r="A25" s="23" t="s">
        <v>132</v>
      </c>
      <c r="B25" s="19">
        <v>902</v>
      </c>
      <c r="C25" s="24" t="s">
        <v>133</v>
      </c>
      <c r="D25" s="20"/>
      <c r="E25" s="20"/>
      <c r="F25" s="20"/>
      <c r="G25" s="416">
        <f>G26+G84+G101+G93</f>
        <v>60478.479999999996</v>
      </c>
      <c r="H25" s="21" t="e">
        <f>H26+H84+H101</f>
        <v>#REF!</v>
      </c>
      <c r="I25" s="21" t="e">
        <f>I26+I84+I101</f>
        <v>#REF!</v>
      </c>
      <c r="L25" s="111"/>
    </row>
    <row r="26" spans="1:14" ht="47.25" x14ac:dyDescent="0.25">
      <c r="A26" s="23" t="s">
        <v>164</v>
      </c>
      <c r="B26" s="19">
        <v>902</v>
      </c>
      <c r="C26" s="24" t="s">
        <v>133</v>
      </c>
      <c r="D26" s="24" t="s">
        <v>165</v>
      </c>
      <c r="E26" s="24"/>
      <c r="F26" s="24"/>
      <c r="G26" s="416">
        <f>G27+G66</f>
        <v>52547.1</v>
      </c>
      <c r="H26" s="21" t="e">
        <f>H27+H66</f>
        <v>#REF!</v>
      </c>
      <c r="I26" s="21" t="e">
        <f>I27+I66</f>
        <v>#REF!</v>
      </c>
      <c r="L26" s="111"/>
    </row>
    <row r="27" spans="1:14" ht="15.75" x14ac:dyDescent="0.25">
      <c r="A27" s="23" t="s">
        <v>992</v>
      </c>
      <c r="B27" s="19">
        <v>902</v>
      </c>
      <c r="C27" s="24" t="s">
        <v>133</v>
      </c>
      <c r="D27" s="24" t="s">
        <v>165</v>
      </c>
      <c r="E27" s="24" t="s">
        <v>906</v>
      </c>
      <c r="F27" s="24"/>
      <c r="G27" s="315">
        <f>G28+G44</f>
        <v>52023.6</v>
      </c>
      <c r="H27" s="44" t="e">
        <f t="shared" ref="H27:I27" si="8">H28+H44</f>
        <v>#REF!</v>
      </c>
      <c r="I27" s="44" t="e">
        <f t="shared" si="8"/>
        <v>#REF!</v>
      </c>
      <c r="L27" s="111"/>
    </row>
    <row r="28" spans="1:14" s="230" customFormat="1" ht="15.75" x14ac:dyDescent="0.25">
      <c r="A28" s="23" t="s">
        <v>993</v>
      </c>
      <c r="B28" s="19">
        <v>902</v>
      </c>
      <c r="C28" s="24" t="s">
        <v>133</v>
      </c>
      <c r="D28" s="24" t="s">
        <v>165</v>
      </c>
      <c r="E28" s="24" t="s">
        <v>907</v>
      </c>
      <c r="F28" s="24"/>
      <c r="G28" s="315">
        <f>G29+G38+G41</f>
        <v>48771</v>
      </c>
      <c r="H28" s="44">
        <f t="shared" ref="H28:I28" si="9">H29+H38+H41</f>
        <v>52627.600000000006</v>
      </c>
      <c r="I28" s="44">
        <f t="shared" si="9"/>
        <v>52627.600000000006</v>
      </c>
      <c r="J28" s="212"/>
      <c r="K28" s="111"/>
      <c r="L28" s="111"/>
    </row>
    <row r="29" spans="1:14" ht="15.75" x14ac:dyDescent="0.25">
      <c r="A29" s="25" t="s">
        <v>969</v>
      </c>
      <c r="B29" s="16">
        <v>902</v>
      </c>
      <c r="C29" s="20" t="s">
        <v>133</v>
      </c>
      <c r="D29" s="20" t="s">
        <v>165</v>
      </c>
      <c r="E29" s="20" t="s">
        <v>908</v>
      </c>
      <c r="F29" s="20"/>
      <c r="G29" s="415">
        <f>G30+G32+G36+G34</f>
        <v>44255</v>
      </c>
      <c r="H29" s="26">
        <f t="shared" ref="H29:I29" si="10">H30+H32+H36+H34</f>
        <v>48369.4</v>
      </c>
      <c r="I29" s="26">
        <f t="shared" si="10"/>
        <v>48369.4</v>
      </c>
      <c r="K29" s="116"/>
      <c r="L29" s="111"/>
    </row>
    <row r="30" spans="1:14" ht="47.25" x14ac:dyDescent="0.25">
      <c r="A30" s="25" t="s">
        <v>142</v>
      </c>
      <c r="B30" s="16">
        <v>902</v>
      </c>
      <c r="C30" s="20" t="s">
        <v>133</v>
      </c>
      <c r="D30" s="20" t="s">
        <v>165</v>
      </c>
      <c r="E30" s="20" t="s">
        <v>908</v>
      </c>
      <c r="F30" s="20" t="s">
        <v>143</v>
      </c>
      <c r="G30" s="415">
        <f>G31</f>
        <v>37513</v>
      </c>
      <c r="H30" s="26">
        <f t="shared" ref="H30:I30" si="11">H31</f>
        <v>40277.1</v>
      </c>
      <c r="I30" s="26">
        <f t="shared" si="11"/>
        <v>40277.1</v>
      </c>
      <c r="L30" s="111"/>
    </row>
    <row r="31" spans="1:14" ht="15.75" x14ac:dyDescent="0.25">
      <c r="A31" s="25" t="s">
        <v>144</v>
      </c>
      <c r="B31" s="16">
        <v>902</v>
      </c>
      <c r="C31" s="20" t="s">
        <v>133</v>
      </c>
      <c r="D31" s="20" t="s">
        <v>165</v>
      </c>
      <c r="E31" s="20" t="s">
        <v>908</v>
      </c>
      <c r="F31" s="20" t="s">
        <v>145</v>
      </c>
      <c r="G31" s="419">
        <v>37513</v>
      </c>
      <c r="H31" s="27">
        <f t="shared" ref="H31:I31" si="12">36100.2+3727.9+2269.4-1820.4</f>
        <v>40277.1</v>
      </c>
      <c r="I31" s="27">
        <f t="shared" si="12"/>
        <v>40277.1</v>
      </c>
      <c r="J31" s="241" t="s">
        <v>1312</v>
      </c>
      <c r="K31" s="270"/>
      <c r="L31" s="332">
        <v>37513</v>
      </c>
      <c r="M31" s="270" t="s">
        <v>1392</v>
      </c>
      <c r="N31" s="111"/>
    </row>
    <row r="32" spans="1:14" ht="15.75" x14ac:dyDescent="0.25">
      <c r="A32" s="25" t="s">
        <v>146</v>
      </c>
      <c r="B32" s="16">
        <v>902</v>
      </c>
      <c r="C32" s="20" t="s">
        <v>133</v>
      </c>
      <c r="D32" s="20" t="s">
        <v>165</v>
      </c>
      <c r="E32" s="20" t="s">
        <v>908</v>
      </c>
      <c r="F32" s="20" t="s">
        <v>147</v>
      </c>
      <c r="G32" s="415">
        <f>G33</f>
        <v>5912</v>
      </c>
      <c r="H32" s="26">
        <f t="shared" ref="H32:I32" si="13">H33</f>
        <v>7262</v>
      </c>
      <c r="I32" s="26">
        <f t="shared" si="13"/>
        <v>7262</v>
      </c>
      <c r="K32" s="235"/>
      <c r="L32" s="111"/>
      <c r="M32" s="224"/>
      <c r="N32" s="111"/>
    </row>
    <row r="33" spans="1:14" ht="31.5" x14ac:dyDescent="0.25">
      <c r="A33" s="25" t="s">
        <v>148</v>
      </c>
      <c r="B33" s="16">
        <v>902</v>
      </c>
      <c r="C33" s="20" t="s">
        <v>133</v>
      </c>
      <c r="D33" s="20" t="s">
        <v>165</v>
      </c>
      <c r="E33" s="20" t="s">
        <v>908</v>
      </c>
      <c r="F33" s="20" t="s">
        <v>149</v>
      </c>
      <c r="G33" s="419">
        <f>6647+615-1000-1200+500+350</f>
        <v>5912</v>
      </c>
      <c r="H33" s="27">
        <f t="shared" ref="H33:I33" si="14">6647+615</f>
        <v>7262</v>
      </c>
      <c r="I33" s="27">
        <f t="shared" si="14"/>
        <v>7262</v>
      </c>
      <c r="J33" s="242" t="s">
        <v>994</v>
      </c>
      <c r="K33" s="270"/>
      <c r="L33" s="111"/>
      <c r="M33" s="270"/>
      <c r="N33" s="111"/>
    </row>
    <row r="34" spans="1:14" s="230" customFormat="1" ht="15.75" x14ac:dyDescent="0.25">
      <c r="A34" s="25" t="s">
        <v>263</v>
      </c>
      <c r="B34" s="16">
        <v>902</v>
      </c>
      <c r="C34" s="20" t="s">
        <v>133</v>
      </c>
      <c r="D34" s="20" t="s">
        <v>165</v>
      </c>
      <c r="E34" s="20" t="s">
        <v>908</v>
      </c>
      <c r="F34" s="20" t="s">
        <v>264</v>
      </c>
      <c r="G34" s="419">
        <f>G35</f>
        <v>755</v>
      </c>
      <c r="H34" s="27">
        <f t="shared" ref="H34:I34" si="15">H35</f>
        <v>755</v>
      </c>
      <c r="I34" s="27">
        <f t="shared" si="15"/>
        <v>755</v>
      </c>
      <c r="J34" s="242"/>
      <c r="K34" s="111"/>
      <c r="L34" s="111"/>
      <c r="M34" s="270"/>
      <c r="N34" s="111"/>
    </row>
    <row r="35" spans="1:14" s="230" customFormat="1" ht="31.5" x14ac:dyDescent="0.25">
      <c r="A35" s="25" t="s">
        <v>265</v>
      </c>
      <c r="B35" s="16">
        <v>902</v>
      </c>
      <c r="C35" s="20" t="s">
        <v>133</v>
      </c>
      <c r="D35" s="20" t="s">
        <v>165</v>
      </c>
      <c r="E35" s="20" t="s">
        <v>908</v>
      </c>
      <c r="F35" s="20" t="s">
        <v>266</v>
      </c>
      <c r="G35" s="419">
        <v>755</v>
      </c>
      <c r="H35" s="27">
        <v>755</v>
      </c>
      <c r="I35" s="27">
        <v>755</v>
      </c>
      <c r="J35" s="242"/>
      <c r="K35" s="111"/>
      <c r="L35" s="111"/>
      <c r="M35" s="225"/>
    </row>
    <row r="36" spans="1:14" ht="15.75" x14ac:dyDescent="0.25">
      <c r="A36" s="25" t="s">
        <v>150</v>
      </c>
      <c r="B36" s="16">
        <v>902</v>
      </c>
      <c r="C36" s="20" t="s">
        <v>133</v>
      </c>
      <c r="D36" s="20" t="s">
        <v>165</v>
      </c>
      <c r="E36" s="20" t="s">
        <v>908</v>
      </c>
      <c r="F36" s="20" t="s">
        <v>160</v>
      </c>
      <c r="G36" s="415">
        <f>G37</f>
        <v>75.000000000000014</v>
      </c>
      <c r="H36" s="26">
        <f t="shared" ref="H36:I36" si="16">H37</f>
        <v>75.300000000000011</v>
      </c>
      <c r="I36" s="26">
        <f t="shared" si="16"/>
        <v>75.300000000000011</v>
      </c>
      <c r="L36" s="224"/>
      <c r="N36" s="226"/>
    </row>
    <row r="37" spans="1:14" ht="15.75" x14ac:dyDescent="0.25">
      <c r="A37" s="25" t="s">
        <v>583</v>
      </c>
      <c r="B37" s="16">
        <v>902</v>
      </c>
      <c r="C37" s="20" t="s">
        <v>133</v>
      </c>
      <c r="D37" s="20" t="s">
        <v>165</v>
      </c>
      <c r="E37" s="20" t="s">
        <v>908</v>
      </c>
      <c r="F37" s="20" t="s">
        <v>153</v>
      </c>
      <c r="G37" s="419">
        <f>219.3-144-0.3</f>
        <v>75.000000000000014</v>
      </c>
      <c r="H37" s="27">
        <f t="shared" ref="H37:I37" si="17">219.3-144</f>
        <v>75.300000000000011</v>
      </c>
      <c r="I37" s="27">
        <f t="shared" si="17"/>
        <v>75.300000000000011</v>
      </c>
      <c r="J37" s="241"/>
      <c r="K37" s="236"/>
      <c r="L37" s="111"/>
    </row>
    <row r="38" spans="1:14" s="230" customFormat="1" ht="31.5" x14ac:dyDescent="0.25">
      <c r="A38" s="25" t="s">
        <v>887</v>
      </c>
      <c r="B38" s="16">
        <v>902</v>
      </c>
      <c r="C38" s="20" t="s">
        <v>133</v>
      </c>
      <c r="D38" s="20" t="s">
        <v>165</v>
      </c>
      <c r="E38" s="20" t="s">
        <v>909</v>
      </c>
      <c r="F38" s="20"/>
      <c r="G38" s="419">
        <f>G39</f>
        <v>2962</v>
      </c>
      <c r="H38" s="27">
        <f t="shared" ref="H38:I39" si="18">H39</f>
        <v>2437.8000000000002</v>
      </c>
      <c r="I38" s="27">
        <f t="shared" si="18"/>
        <v>2437.8000000000002</v>
      </c>
      <c r="J38" s="265"/>
      <c r="K38" s="236"/>
      <c r="L38" s="111"/>
    </row>
    <row r="39" spans="1:14" s="230" customFormat="1" ht="47.25" x14ac:dyDescent="0.25">
      <c r="A39" s="25" t="s">
        <v>142</v>
      </c>
      <c r="B39" s="16">
        <v>902</v>
      </c>
      <c r="C39" s="20" t="s">
        <v>133</v>
      </c>
      <c r="D39" s="20" t="s">
        <v>165</v>
      </c>
      <c r="E39" s="20" t="s">
        <v>909</v>
      </c>
      <c r="F39" s="20" t="s">
        <v>143</v>
      </c>
      <c r="G39" s="419">
        <f>G40</f>
        <v>2962</v>
      </c>
      <c r="H39" s="27">
        <f t="shared" si="18"/>
        <v>2437.8000000000002</v>
      </c>
      <c r="I39" s="27">
        <f t="shared" si="18"/>
        <v>2437.8000000000002</v>
      </c>
      <c r="J39" s="265"/>
      <c r="K39" s="236"/>
      <c r="L39" s="111"/>
    </row>
    <row r="40" spans="1:14" s="230" customFormat="1" ht="15.75" x14ac:dyDescent="0.25">
      <c r="A40" s="25" t="s">
        <v>144</v>
      </c>
      <c r="B40" s="16">
        <v>902</v>
      </c>
      <c r="C40" s="20" t="s">
        <v>133</v>
      </c>
      <c r="D40" s="20" t="s">
        <v>165</v>
      </c>
      <c r="E40" s="20" t="s">
        <v>909</v>
      </c>
      <c r="F40" s="20" t="s">
        <v>145</v>
      </c>
      <c r="G40" s="419">
        <v>2962</v>
      </c>
      <c r="H40" s="27">
        <f t="shared" ref="H40:I40" si="19">2553.5-63.7-95.5+43.5</f>
        <v>2437.8000000000002</v>
      </c>
      <c r="I40" s="27">
        <f t="shared" si="19"/>
        <v>2437.8000000000002</v>
      </c>
      <c r="J40" s="265" t="s">
        <v>888</v>
      </c>
      <c r="K40" s="236"/>
      <c r="L40" s="332">
        <v>2962</v>
      </c>
      <c r="M40" s="230" t="s">
        <v>1392</v>
      </c>
    </row>
    <row r="41" spans="1:14" s="230" customFormat="1" ht="31.5" x14ac:dyDescent="0.25">
      <c r="A41" s="25" t="s">
        <v>886</v>
      </c>
      <c r="B41" s="16">
        <v>902</v>
      </c>
      <c r="C41" s="20" t="s">
        <v>133</v>
      </c>
      <c r="D41" s="20" t="s">
        <v>165</v>
      </c>
      <c r="E41" s="20" t="s">
        <v>910</v>
      </c>
      <c r="F41" s="20"/>
      <c r="G41" s="415">
        <f>G42</f>
        <v>1554</v>
      </c>
      <c r="H41" s="26">
        <f t="shared" ref="H41:I42" si="20">H42</f>
        <v>1820.4</v>
      </c>
      <c r="I41" s="26">
        <f t="shared" si="20"/>
        <v>1820.4</v>
      </c>
      <c r="J41" s="265"/>
      <c r="K41" s="236"/>
      <c r="L41" s="111"/>
    </row>
    <row r="42" spans="1:14" s="230" customFormat="1" ht="47.25" x14ac:dyDescent="0.25">
      <c r="A42" s="25" t="s">
        <v>142</v>
      </c>
      <c r="B42" s="16">
        <v>902</v>
      </c>
      <c r="C42" s="20" t="s">
        <v>133</v>
      </c>
      <c r="D42" s="20" t="s">
        <v>165</v>
      </c>
      <c r="E42" s="20" t="s">
        <v>910</v>
      </c>
      <c r="F42" s="20" t="s">
        <v>143</v>
      </c>
      <c r="G42" s="415">
        <f>G43</f>
        <v>1554</v>
      </c>
      <c r="H42" s="26">
        <f t="shared" si="20"/>
        <v>1820.4</v>
      </c>
      <c r="I42" s="26">
        <f t="shared" si="20"/>
        <v>1820.4</v>
      </c>
      <c r="J42" s="265"/>
      <c r="K42" s="236"/>
      <c r="L42" s="111"/>
    </row>
    <row r="43" spans="1:14" s="230" customFormat="1" ht="15.75" x14ac:dyDescent="0.25">
      <c r="A43" s="25" t="s">
        <v>144</v>
      </c>
      <c r="B43" s="16">
        <v>902</v>
      </c>
      <c r="C43" s="20" t="s">
        <v>133</v>
      </c>
      <c r="D43" s="20" t="s">
        <v>165</v>
      </c>
      <c r="E43" s="20" t="s">
        <v>910</v>
      </c>
      <c r="F43" s="20" t="s">
        <v>145</v>
      </c>
      <c r="G43" s="415">
        <v>1554</v>
      </c>
      <c r="H43" s="26">
        <v>1820.4</v>
      </c>
      <c r="I43" s="26">
        <v>1820.4</v>
      </c>
      <c r="J43" s="212" t="s">
        <v>995</v>
      </c>
      <c r="K43" s="236"/>
      <c r="L43" s="111"/>
    </row>
    <row r="44" spans="1:14" s="230" customFormat="1" ht="31.5" x14ac:dyDescent="0.25">
      <c r="A44" s="23" t="s">
        <v>934</v>
      </c>
      <c r="B44" s="19">
        <v>902</v>
      </c>
      <c r="C44" s="24" t="s">
        <v>133</v>
      </c>
      <c r="D44" s="24" t="s">
        <v>165</v>
      </c>
      <c r="E44" s="24" t="s">
        <v>911</v>
      </c>
      <c r="F44" s="24"/>
      <c r="G44" s="416">
        <f>G45+G51+G56+G61+G48</f>
        <v>3252.6</v>
      </c>
      <c r="H44" s="21" t="e">
        <f>H45+H51+H56+H61</f>
        <v>#REF!</v>
      </c>
      <c r="I44" s="21" t="e">
        <f>I45+I51+I56+I61</f>
        <v>#REF!</v>
      </c>
      <c r="J44" s="212"/>
      <c r="K44" s="111"/>
      <c r="L44" s="111"/>
    </row>
    <row r="45" spans="1:14" s="230" customFormat="1" ht="35.25" customHeight="1" x14ac:dyDescent="0.25">
      <c r="A45" s="25" t="s">
        <v>801</v>
      </c>
      <c r="B45" s="16">
        <v>902</v>
      </c>
      <c r="C45" s="20" t="s">
        <v>133</v>
      </c>
      <c r="D45" s="20" t="s">
        <v>165</v>
      </c>
      <c r="E45" s="20" t="s">
        <v>996</v>
      </c>
      <c r="F45" s="24"/>
      <c r="G45" s="415">
        <f>G46</f>
        <v>6</v>
      </c>
      <c r="H45" s="26" t="e">
        <f>#REF!+H46</f>
        <v>#REF!</v>
      </c>
      <c r="I45" s="26" t="e">
        <f>#REF!+I46</f>
        <v>#REF!</v>
      </c>
      <c r="J45" s="212"/>
      <c r="K45" s="111"/>
      <c r="L45" s="111"/>
    </row>
    <row r="46" spans="1:14" s="230" customFormat="1" ht="15.75" x14ac:dyDescent="0.25">
      <c r="A46" s="25" t="s">
        <v>146</v>
      </c>
      <c r="B46" s="16">
        <v>902</v>
      </c>
      <c r="C46" s="20" t="s">
        <v>133</v>
      </c>
      <c r="D46" s="20" t="s">
        <v>165</v>
      </c>
      <c r="E46" s="20" t="s">
        <v>996</v>
      </c>
      <c r="F46" s="20" t="s">
        <v>147</v>
      </c>
      <c r="G46" s="415">
        <f>G47</f>
        <v>6</v>
      </c>
      <c r="H46" s="26">
        <f t="shared" ref="H46:I46" si="21">H47</f>
        <v>0</v>
      </c>
      <c r="I46" s="26">
        <f t="shared" si="21"/>
        <v>0</v>
      </c>
      <c r="J46" s="212"/>
      <c r="K46" s="111"/>
      <c r="L46" s="111"/>
    </row>
    <row r="47" spans="1:14" s="230" customFormat="1" ht="31.5" x14ac:dyDescent="0.25">
      <c r="A47" s="25" t="s">
        <v>148</v>
      </c>
      <c r="B47" s="16">
        <v>902</v>
      </c>
      <c r="C47" s="20" t="s">
        <v>133</v>
      </c>
      <c r="D47" s="20" t="s">
        <v>165</v>
      </c>
      <c r="E47" s="20" t="s">
        <v>996</v>
      </c>
      <c r="F47" s="20" t="s">
        <v>149</v>
      </c>
      <c r="G47" s="415">
        <v>6</v>
      </c>
      <c r="H47" s="26">
        <v>0</v>
      </c>
      <c r="I47" s="26">
        <v>0</v>
      </c>
      <c r="J47" s="212"/>
      <c r="K47" s="111"/>
      <c r="L47" s="111"/>
    </row>
    <row r="48" spans="1:14" s="230" customFormat="1" ht="31.5" x14ac:dyDescent="0.25">
      <c r="A48" s="31" t="s">
        <v>1443</v>
      </c>
      <c r="B48" s="16">
        <v>902</v>
      </c>
      <c r="C48" s="20" t="s">
        <v>133</v>
      </c>
      <c r="D48" s="20" t="s">
        <v>165</v>
      </c>
      <c r="E48" s="20" t="s">
        <v>1442</v>
      </c>
      <c r="F48" s="20"/>
      <c r="G48" s="415">
        <f>G49</f>
        <v>92.6</v>
      </c>
      <c r="H48" s="26"/>
      <c r="I48" s="26"/>
      <c r="J48" s="212"/>
      <c r="K48" s="111"/>
      <c r="L48" s="111"/>
    </row>
    <row r="49" spans="1:12" s="230" customFormat="1" ht="47.25" x14ac:dyDescent="0.25">
      <c r="A49" s="25" t="s">
        <v>142</v>
      </c>
      <c r="B49" s="16">
        <v>902</v>
      </c>
      <c r="C49" s="20" t="s">
        <v>133</v>
      </c>
      <c r="D49" s="20" t="s">
        <v>165</v>
      </c>
      <c r="E49" s="20" t="s">
        <v>1442</v>
      </c>
      <c r="F49" s="20" t="s">
        <v>143</v>
      </c>
      <c r="G49" s="415">
        <f>G50</f>
        <v>92.6</v>
      </c>
      <c r="H49" s="26"/>
      <c r="I49" s="26"/>
      <c r="J49" s="212"/>
      <c r="K49" s="111"/>
      <c r="L49" s="111"/>
    </row>
    <row r="50" spans="1:12" s="230" customFormat="1" ht="15.75" x14ac:dyDescent="0.25">
      <c r="A50" s="25" t="s">
        <v>144</v>
      </c>
      <c r="B50" s="16">
        <v>902</v>
      </c>
      <c r="C50" s="20" t="s">
        <v>133</v>
      </c>
      <c r="D50" s="20" t="s">
        <v>165</v>
      </c>
      <c r="E50" s="20" t="s">
        <v>1442</v>
      </c>
      <c r="F50" s="20" t="s">
        <v>145</v>
      </c>
      <c r="G50" s="415">
        <v>92.6</v>
      </c>
      <c r="H50" s="26"/>
      <c r="I50" s="26"/>
      <c r="J50" s="212"/>
      <c r="K50" s="111"/>
      <c r="L50" s="111"/>
    </row>
    <row r="51" spans="1:12" s="230" customFormat="1" ht="31.5" x14ac:dyDescent="0.25">
      <c r="A51" s="31" t="s">
        <v>204</v>
      </c>
      <c r="B51" s="16">
        <v>902</v>
      </c>
      <c r="C51" s="20" t="s">
        <v>133</v>
      </c>
      <c r="D51" s="20" t="s">
        <v>165</v>
      </c>
      <c r="E51" s="20" t="s">
        <v>997</v>
      </c>
      <c r="F51" s="20"/>
      <c r="G51" s="415">
        <f>G52+G54</f>
        <v>604.80000000000007</v>
      </c>
      <c r="H51" s="26">
        <f t="shared" ref="H51:I51" si="22">H52+H54</f>
        <v>715.9</v>
      </c>
      <c r="I51" s="26">
        <f t="shared" si="22"/>
        <v>715.9</v>
      </c>
      <c r="J51" s="212"/>
      <c r="K51" s="111"/>
      <c r="L51" s="111"/>
    </row>
    <row r="52" spans="1:12" s="230" customFormat="1" ht="47.25" x14ac:dyDescent="0.25">
      <c r="A52" s="25" t="s">
        <v>142</v>
      </c>
      <c r="B52" s="16">
        <v>902</v>
      </c>
      <c r="C52" s="20" t="s">
        <v>133</v>
      </c>
      <c r="D52" s="20" t="s">
        <v>165</v>
      </c>
      <c r="E52" s="20" t="s">
        <v>997</v>
      </c>
      <c r="F52" s="20" t="s">
        <v>143</v>
      </c>
      <c r="G52" s="415">
        <f>G53</f>
        <v>528.70000000000005</v>
      </c>
      <c r="H52" s="26">
        <f t="shared" ref="H52:I52" si="23">H53</f>
        <v>503.2</v>
      </c>
      <c r="I52" s="26">
        <f t="shared" si="23"/>
        <v>503.2</v>
      </c>
      <c r="J52" s="212"/>
      <c r="K52" s="111"/>
      <c r="L52" s="111"/>
    </row>
    <row r="53" spans="1:12" s="230" customFormat="1" ht="15.75" x14ac:dyDescent="0.25">
      <c r="A53" s="25" t="s">
        <v>144</v>
      </c>
      <c r="B53" s="16">
        <v>902</v>
      </c>
      <c r="C53" s="20" t="s">
        <v>133</v>
      </c>
      <c r="D53" s="20" t="s">
        <v>165</v>
      </c>
      <c r="E53" s="20" t="s">
        <v>997</v>
      </c>
      <c r="F53" s="20" t="s">
        <v>145</v>
      </c>
      <c r="G53" s="415">
        <f>715.9-223+10.3+25.5</f>
        <v>528.70000000000005</v>
      </c>
      <c r="H53" s="26">
        <f t="shared" ref="H53:I53" si="24">715.9-223+10.3</f>
        <v>503.2</v>
      </c>
      <c r="I53" s="26">
        <f t="shared" si="24"/>
        <v>503.2</v>
      </c>
      <c r="J53" s="212"/>
      <c r="K53" s="111"/>
      <c r="L53" s="111"/>
    </row>
    <row r="54" spans="1:12" s="230" customFormat="1" ht="15.75" x14ac:dyDescent="0.25">
      <c r="A54" s="25" t="s">
        <v>146</v>
      </c>
      <c r="B54" s="16">
        <v>902</v>
      </c>
      <c r="C54" s="20" t="s">
        <v>133</v>
      </c>
      <c r="D54" s="20" t="s">
        <v>165</v>
      </c>
      <c r="E54" s="20" t="s">
        <v>997</v>
      </c>
      <c r="F54" s="20" t="s">
        <v>147</v>
      </c>
      <c r="G54" s="415">
        <f>G55</f>
        <v>76.099999999999994</v>
      </c>
      <c r="H54" s="26">
        <f t="shared" ref="H54:I54" si="25">H55</f>
        <v>212.7</v>
      </c>
      <c r="I54" s="26">
        <f t="shared" si="25"/>
        <v>212.7</v>
      </c>
      <c r="J54" s="212"/>
      <c r="K54" s="111"/>
      <c r="L54" s="111"/>
    </row>
    <row r="55" spans="1:12" s="230" customFormat="1" ht="31.5" x14ac:dyDescent="0.25">
      <c r="A55" s="25" t="s">
        <v>148</v>
      </c>
      <c r="B55" s="16">
        <v>902</v>
      </c>
      <c r="C55" s="20" t="s">
        <v>133</v>
      </c>
      <c r="D55" s="20" t="s">
        <v>165</v>
      </c>
      <c r="E55" s="20" t="s">
        <v>997</v>
      </c>
      <c r="F55" s="20" t="s">
        <v>149</v>
      </c>
      <c r="G55" s="415">
        <v>76.099999999999994</v>
      </c>
      <c r="H55" s="26">
        <f t="shared" ref="H55:I55" si="26">223-20.7+20.7-10.3</f>
        <v>212.7</v>
      </c>
      <c r="I55" s="26">
        <f t="shared" si="26"/>
        <v>212.7</v>
      </c>
      <c r="J55" s="212"/>
      <c r="K55" s="111"/>
      <c r="L55" s="111"/>
    </row>
    <row r="56" spans="1:12" s="230" customFormat="1" ht="31.5" x14ac:dyDescent="0.25">
      <c r="A56" s="31" t="s">
        <v>209</v>
      </c>
      <c r="B56" s="16">
        <v>902</v>
      </c>
      <c r="C56" s="20" t="s">
        <v>133</v>
      </c>
      <c r="D56" s="20" t="s">
        <v>165</v>
      </c>
      <c r="E56" s="20" t="s">
        <v>1206</v>
      </c>
      <c r="F56" s="20"/>
      <c r="G56" s="415">
        <f>G57+G59</f>
        <v>1433.3</v>
      </c>
      <c r="H56" s="26">
        <f t="shared" ref="H56:I56" si="27">H57+H59</f>
        <v>1333.1</v>
      </c>
      <c r="I56" s="26">
        <f t="shared" si="27"/>
        <v>1333.1</v>
      </c>
      <c r="J56" s="212"/>
      <c r="K56" s="111"/>
      <c r="L56" s="111"/>
    </row>
    <row r="57" spans="1:12" s="230" customFormat="1" ht="47.25" x14ac:dyDescent="0.25">
      <c r="A57" s="25" t="s">
        <v>142</v>
      </c>
      <c r="B57" s="16">
        <v>902</v>
      </c>
      <c r="C57" s="20" t="s">
        <v>133</v>
      </c>
      <c r="D57" s="20" t="s">
        <v>165</v>
      </c>
      <c r="E57" s="20" t="s">
        <v>1206</v>
      </c>
      <c r="F57" s="20" t="s">
        <v>143</v>
      </c>
      <c r="G57" s="415">
        <f>G58</f>
        <v>1372.1</v>
      </c>
      <c r="H57" s="26">
        <f t="shared" ref="H57:I57" si="28">H58</f>
        <v>1271.8999999999999</v>
      </c>
      <c r="I57" s="26">
        <f t="shared" si="28"/>
        <v>1271.8999999999999</v>
      </c>
      <c r="J57" s="212"/>
      <c r="K57" s="111"/>
      <c r="L57" s="111"/>
    </row>
    <row r="58" spans="1:12" s="230" customFormat="1" ht="15.75" x14ac:dyDescent="0.25">
      <c r="A58" s="25" t="s">
        <v>144</v>
      </c>
      <c r="B58" s="16">
        <v>902</v>
      </c>
      <c r="C58" s="20" t="s">
        <v>133</v>
      </c>
      <c r="D58" s="20" t="s">
        <v>165</v>
      </c>
      <c r="E58" s="20" t="s">
        <v>1206</v>
      </c>
      <c r="F58" s="20" t="s">
        <v>145</v>
      </c>
      <c r="G58" s="415">
        <f>1333.1-39.7-21.5+100.2</f>
        <v>1372.1</v>
      </c>
      <c r="H58" s="26">
        <f t="shared" ref="H58:I58" si="29">1333.1-39.7-21.5</f>
        <v>1271.8999999999999</v>
      </c>
      <c r="I58" s="26">
        <f t="shared" si="29"/>
        <v>1271.8999999999999</v>
      </c>
      <c r="J58" s="212"/>
      <c r="K58" s="111"/>
      <c r="L58" s="111"/>
    </row>
    <row r="59" spans="1:12" s="230" customFormat="1" ht="15.75" x14ac:dyDescent="0.25">
      <c r="A59" s="25" t="s">
        <v>146</v>
      </c>
      <c r="B59" s="16">
        <v>902</v>
      </c>
      <c r="C59" s="20" t="s">
        <v>133</v>
      </c>
      <c r="D59" s="20" t="s">
        <v>165</v>
      </c>
      <c r="E59" s="20" t="s">
        <v>1206</v>
      </c>
      <c r="F59" s="20" t="s">
        <v>147</v>
      </c>
      <c r="G59" s="415">
        <f>G60</f>
        <v>61.2</v>
      </c>
      <c r="H59" s="26">
        <f t="shared" ref="H59:I59" si="30">H60</f>
        <v>61.2</v>
      </c>
      <c r="I59" s="26">
        <f t="shared" si="30"/>
        <v>61.2</v>
      </c>
      <c r="J59" s="212"/>
      <c r="K59" s="111"/>
      <c r="L59" s="111"/>
    </row>
    <row r="60" spans="1:12" s="230" customFormat="1" ht="31.5" x14ac:dyDescent="0.25">
      <c r="A60" s="25" t="s">
        <v>148</v>
      </c>
      <c r="B60" s="16">
        <v>902</v>
      </c>
      <c r="C60" s="20" t="s">
        <v>133</v>
      </c>
      <c r="D60" s="20" t="s">
        <v>165</v>
      </c>
      <c r="E60" s="20" t="s">
        <v>1206</v>
      </c>
      <c r="F60" s="20" t="s">
        <v>149</v>
      </c>
      <c r="G60" s="415">
        <f>156.9-116.5-0.7+21.5</f>
        <v>61.2</v>
      </c>
      <c r="H60" s="26">
        <f t="shared" ref="H60:I60" si="31">156.9-116.5-0.7+21.5</f>
        <v>61.2</v>
      </c>
      <c r="I60" s="26">
        <f t="shared" si="31"/>
        <v>61.2</v>
      </c>
      <c r="J60" s="212"/>
      <c r="K60" s="111"/>
      <c r="L60" s="111"/>
    </row>
    <row r="61" spans="1:12" s="230" customFormat="1" ht="31.5" x14ac:dyDescent="0.25">
      <c r="A61" s="31" t="s">
        <v>211</v>
      </c>
      <c r="B61" s="16">
        <v>902</v>
      </c>
      <c r="C61" s="20" t="s">
        <v>133</v>
      </c>
      <c r="D61" s="20" t="s">
        <v>165</v>
      </c>
      <c r="E61" s="20" t="s">
        <v>998</v>
      </c>
      <c r="F61" s="20"/>
      <c r="G61" s="415">
        <f>G62+G64</f>
        <v>1115.9000000000001</v>
      </c>
      <c r="H61" s="26">
        <f t="shared" ref="H61:I61" si="32">H62+H64</f>
        <v>1106.2</v>
      </c>
      <c r="I61" s="26">
        <f t="shared" si="32"/>
        <v>1106.2</v>
      </c>
      <c r="J61" s="212"/>
      <c r="K61" s="111"/>
      <c r="L61" s="111"/>
    </row>
    <row r="62" spans="1:12" s="230" customFormat="1" ht="47.25" x14ac:dyDescent="0.25">
      <c r="A62" s="25" t="s">
        <v>142</v>
      </c>
      <c r="B62" s="16">
        <v>902</v>
      </c>
      <c r="C62" s="20" t="s">
        <v>133</v>
      </c>
      <c r="D62" s="20" t="s">
        <v>165</v>
      </c>
      <c r="E62" s="20" t="s">
        <v>998</v>
      </c>
      <c r="F62" s="20" t="s">
        <v>143</v>
      </c>
      <c r="G62" s="415">
        <f>G63</f>
        <v>1026.5</v>
      </c>
      <c r="H62" s="26">
        <f t="shared" ref="H62:I62" si="33">H63</f>
        <v>1026.5</v>
      </c>
      <c r="I62" s="26">
        <f t="shared" si="33"/>
        <v>1026.5</v>
      </c>
      <c r="J62" s="212"/>
      <c r="K62" s="111"/>
      <c r="L62" s="111"/>
    </row>
    <row r="63" spans="1:12" s="230" customFormat="1" ht="15.75" x14ac:dyDescent="0.25">
      <c r="A63" s="25" t="s">
        <v>144</v>
      </c>
      <c r="B63" s="16">
        <v>902</v>
      </c>
      <c r="C63" s="20" t="s">
        <v>133</v>
      </c>
      <c r="D63" s="20" t="s">
        <v>165</v>
      </c>
      <c r="E63" s="20" t="s">
        <v>998</v>
      </c>
      <c r="F63" s="20" t="s">
        <v>145</v>
      </c>
      <c r="G63" s="415">
        <f>1537-463.9-47.6+17.7-16.7</f>
        <v>1026.5</v>
      </c>
      <c r="H63" s="26">
        <f t="shared" ref="H63:I63" si="34">1537-463.9-47.6+17.7-16.7</f>
        <v>1026.5</v>
      </c>
      <c r="I63" s="26">
        <f t="shared" si="34"/>
        <v>1026.5</v>
      </c>
      <c r="J63" s="212"/>
      <c r="K63" s="111"/>
      <c r="L63" s="111"/>
    </row>
    <row r="64" spans="1:12" s="230" customFormat="1" ht="31.5" x14ac:dyDescent="0.25">
      <c r="A64" s="25" t="s">
        <v>213</v>
      </c>
      <c r="B64" s="16">
        <v>902</v>
      </c>
      <c r="C64" s="20" t="s">
        <v>133</v>
      </c>
      <c r="D64" s="20" t="s">
        <v>165</v>
      </c>
      <c r="E64" s="20" t="s">
        <v>998</v>
      </c>
      <c r="F64" s="20" t="s">
        <v>147</v>
      </c>
      <c r="G64" s="415">
        <f>G65</f>
        <v>89.399999999999991</v>
      </c>
      <c r="H64" s="26">
        <f t="shared" ref="H64:I64" si="35">H65</f>
        <v>79.7</v>
      </c>
      <c r="I64" s="26">
        <f t="shared" si="35"/>
        <v>79.7</v>
      </c>
      <c r="J64" s="212"/>
      <c r="K64" s="111"/>
      <c r="L64" s="111"/>
    </row>
    <row r="65" spans="1:12" s="230" customFormat="1" ht="31.5" x14ac:dyDescent="0.25">
      <c r="A65" s="25" t="s">
        <v>148</v>
      </c>
      <c r="B65" s="16">
        <v>902</v>
      </c>
      <c r="C65" s="20" t="s">
        <v>133</v>
      </c>
      <c r="D65" s="20" t="s">
        <v>165</v>
      </c>
      <c r="E65" s="20" t="s">
        <v>998</v>
      </c>
      <c r="F65" s="20" t="s">
        <v>149</v>
      </c>
      <c r="G65" s="415">
        <f>33.1+47.6-17.7+16.7+11.1-1.4</f>
        <v>89.399999999999991</v>
      </c>
      <c r="H65" s="26">
        <f t="shared" ref="H65:I65" si="36">33.1+47.6-17.7+16.7</f>
        <v>79.7</v>
      </c>
      <c r="I65" s="26">
        <f t="shared" si="36"/>
        <v>79.7</v>
      </c>
      <c r="J65" s="212"/>
      <c r="K65" s="111"/>
      <c r="L65" s="111"/>
    </row>
    <row r="66" spans="1:12" s="230" customFormat="1" ht="31.5" x14ac:dyDescent="0.25">
      <c r="A66" s="23" t="s">
        <v>819</v>
      </c>
      <c r="B66" s="19">
        <v>902</v>
      </c>
      <c r="C66" s="24" t="s">
        <v>133</v>
      </c>
      <c r="D66" s="24" t="s">
        <v>165</v>
      </c>
      <c r="E66" s="24" t="s">
        <v>177</v>
      </c>
      <c r="F66" s="24"/>
      <c r="G66" s="416">
        <f>G67+G71+G77</f>
        <v>523.5</v>
      </c>
      <c r="H66" s="21">
        <f t="shared" ref="H66:I66" si="37">H67+H71+H77</f>
        <v>780.5</v>
      </c>
      <c r="I66" s="21">
        <f t="shared" si="37"/>
        <v>780.5</v>
      </c>
      <c r="J66" s="212"/>
      <c r="K66" s="111"/>
      <c r="L66" s="111"/>
    </row>
    <row r="67" spans="1:12" s="230" customFormat="1" ht="47.25" x14ac:dyDescent="0.25">
      <c r="A67" s="283" t="s">
        <v>1161</v>
      </c>
      <c r="B67" s="19">
        <v>902</v>
      </c>
      <c r="C67" s="24" t="s">
        <v>133</v>
      </c>
      <c r="D67" s="24" t="s">
        <v>165</v>
      </c>
      <c r="E67" s="7" t="s">
        <v>897</v>
      </c>
      <c r="F67" s="24"/>
      <c r="G67" s="416">
        <f>G68</f>
        <v>446</v>
      </c>
      <c r="H67" s="21">
        <f t="shared" ref="H67:I69" si="38">H68</f>
        <v>491</v>
      </c>
      <c r="I67" s="21">
        <f t="shared" si="38"/>
        <v>491</v>
      </c>
      <c r="J67" s="212"/>
      <c r="K67" s="111"/>
      <c r="L67" s="111"/>
    </row>
    <row r="68" spans="1:12" s="230" customFormat="1" ht="31.5" x14ac:dyDescent="0.25">
      <c r="A68" s="29" t="s">
        <v>1160</v>
      </c>
      <c r="B68" s="16">
        <v>902</v>
      </c>
      <c r="C68" s="20" t="s">
        <v>133</v>
      </c>
      <c r="D68" s="20" t="s">
        <v>165</v>
      </c>
      <c r="E68" s="40" t="s">
        <v>889</v>
      </c>
      <c r="F68" s="20"/>
      <c r="G68" s="415">
        <f>G69</f>
        <v>446</v>
      </c>
      <c r="H68" s="26">
        <f t="shared" si="38"/>
        <v>491</v>
      </c>
      <c r="I68" s="26">
        <f t="shared" si="38"/>
        <v>491</v>
      </c>
      <c r="J68" s="212"/>
      <c r="K68" s="111"/>
      <c r="L68" s="111"/>
    </row>
    <row r="69" spans="1:12" s="230" customFormat="1" ht="15.75" x14ac:dyDescent="0.25">
      <c r="A69" s="25" t="s">
        <v>146</v>
      </c>
      <c r="B69" s="16">
        <v>902</v>
      </c>
      <c r="C69" s="20" t="s">
        <v>133</v>
      </c>
      <c r="D69" s="20" t="s">
        <v>165</v>
      </c>
      <c r="E69" s="40" t="s">
        <v>889</v>
      </c>
      <c r="F69" s="20" t="s">
        <v>147</v>
      </c>
      <c r="G69" s="415">
        <f>G70</f>
        <v>446</v>
      </c>
      <c r="H69" s="26">
        <f t="shared" si="38"/>
        <v>491</v>
      </c>
      <c r="I69" s="26">
        <f t="shared" si="38"/>
        <v>491</v>
      </c>
      <c r="J69" s="212"/>
      <c r="K69" s="111"/>
      <c r="L69" s="111"/>
    </row>
    <row r="70" spans="1:12" s="230" customFormat="1" ht="31.5" x14ac:dyDescent="0.25">
      <c r="A70" s="25" t="s">
        <v>148</v>
      </c>
      <c r="B70" s="16">
        <v>902</v>
      </c>
      <c r="C70" s="20" t="s">
        <v>133</v>
      </c>
      <c r="D70" s="20" t="s">
        <v>165</v>
      </c>
      <c r="E70" s="40" t="s">
        <v>889</v>
      </c>
      <c r="F70" s="20" t="s">
        <v>149</v>
      </c>
      <c r="G70" s="415">
        <v>446</v>
      </c>
      <c r="H70" s="26">
        <f t="shared" ref="H70:I70" si="39">428.1+62.9</f>
        <v>491</v>
      </c>
      <c r="I70" s="26">
        <f t="shared" si="39"/>
        <v>491</v>
      </c>
      <c r="J70" s="212"/>
      <c r="K70" s="111"/>
      <c r="L70" s="111"/>
    </row>
    <row r="71" spans="1:12" s="230" customFormat="1" ht="47.25" x14ac:dyDescent="0.25">
      <c r="A71" s="282" t="s">
        <v>891</v>
      </c>
      <c r="B71" s="19">
        <v>902</v>
      </c>
      <c r="C71" s="24" t="s">
        <v>133</v>
      </c>
      <c r="D71" s="24" t="s">
        <v>165</v>
      </c>
      <c r="E71" s="7" t="s">
        <v>898</v>
      </c>
      <c r="F71" s="24"/>
      <c r="G71" s="416">
        <f>G72</f>
        <v>77</v>
      </c>
      <c r="H71" s="21">
        <f t="shared" ref="H71:I71" si="40">H72</f>
        <v>249</v>
      </c>
      <c r="I71" s="21">
        <f t="shared" si="40"/>
        <v>249</v>
      </c>
      <c r="J71" s="212"/>
      <c r="K71" s="111"/>
      <c r="L71" s="111"/>
    </row>
    <row r="72" spans="1:12" s="230" customFormat="1" ht="31.5" x14ac:dyDescent="0.25">
      <c r="A72" s="180" t="s">
        <v>180</v>
      </c>
      <c r="B72" s="16">
        <v>902</v>
      </c>
      <c r="C72" s="20" t="s">
        <v>133</v>
      </c>
      <c r="D72" s="20" t="s">
        <v>165</v>
      </c>
      <c r="E72" s="40" t="s">
        <v>890</v>
      </c>
      <c r="F72" s="20"/>
      <c r="G72" s="415">
        <f>G73+G75</f>
        <v>77</v>
      </c>
      <c r="H72" s="26">
        <f t="shared" ref="H72:I72" si="41">H73+H75</f>
        <v>249</v>
      </c>
      <c r="I72" s="26">
        <f t="shared" si="41"/>
        <v>249</v>
      </c>
      <c r="J72" s="212"/>
      <c r="K72" s="111"/>
      <c r="L72" s="111"/>
    </row>
    <row r="73" spans="1:12" s="230" customFormat="1" ht="47.25" x14ac:dyDescent="0.25">
      <c r="A73" s="25" t="s">
        <v>142</v>
      </c>
      <c r="B73" s="16">
        <v>902</v>
      </c>
      <c r="C73" s="20" t="s">
        <v>133</v>
      </c>
      <c r="D73" s="20" t="s">
        <v>165</v>
      </c>
      <c r="E73" s="40" t="s">
        <v>890</v>
      </c>
      <c r="F73" s="20" t="s">
        <v>143</v>
      </c>
      <c r="G73" s="415">
        <f>G74</f>
        <v>37</v>
      </c>
      <c r="H73" s="26">
        <f t="shared" ref="H73:I73" si="42">H74</f>
        <v>159.69999999999999</v>
      </c>
      <c r="I73" s="26">
        <f t="shared" si="42"/>
        <v>159.69999999999999</v>
      </c>
      <c r="J73" s="212"/>
      <c r="K73" s="111"/>
      <c r="L73" s="111"/>
    </row>
    <row r="74" spans="1:12" s="230" customFormat="1" ht="15.75" x14ac:dyDescent="0.25">
      <c r="A74" s="25" t="s">
        <v>144</v>
      </c>
      <c r="B74" s="16">
        <v>902</v>
      </c>
      <c r="C74" s="20" t="s">
        <v>133</v>
      </c>
      <c r="D74" s="20" t="s">
        <v>165</v>
      </c>
      <c r="E74" s="40" t="s">
        <v>890</v>
      </c>
      <c r="F74" s="20" t="s">
        <v>145</v>
      </c>
      <c r="G74" s="415">
        <v>37</v>
      </c>
      <c r="H74" s="26">
        <v>159.69999999999999</v>
      </c>
      <c r="I74" s="26">
        <v>159.69999999999999</v>
      </c>
      <c r="J74" s="212"/>
      <c r="K74" s="111"/>
      <c r="L74" s="111"/>
    </row>
    <row r="75" spans="1:12" s="230" customFormat="1" ht="15.75" x14ac:dyDescent="0.25">
      <c r="A75" s="25" t="s">
        <v>146</v>
      </c>
      <c r="B75" s="16">
        <v>902</v>
      </c>
      <c r="C75" s="20" t="s">
        <v>133</v>
      </c>
      <c r="D75" s="20" t="s">
        <v>165</v>
      </c>
      <c r="E75" s="40" t="s">
        <v>890</v>
      </c>
      <c r="F75" s="20" t="s">
        <v>147</v>
      </c>
      <c r="G75" s="415">
        <f>G76</f>
        <v>40</v>
      </c>
      <c r="H75" s="26">
        <f t="shared" ref="H75:I75" si="43">H76</f>
        <v>89.300000000000011</v>
      </c>
      <c r="I75" s="26">
        <f t="shared" si="43"/>
        <v>89.300000000000011</v>
      </c>
      <c r="J75" s="212"/>
      <c r="K75" s="111"/>
      <c r="L75" s="111"/>
    </row>
    <row r="76" spans="1:12" s="230" customFormat="1" ht="31.5" x14ac:dyDescent="0.25">
      <c r="A76" s="25" t="s">
        <v>148</v>
      </c>
      <c r="B76" s="16">
        <v>902</v>
      </c>
      <c r="C76" s="20" t="s">
        <v>133</v>
      </c>
      <c r="D76" s="20" t="s">
        <v>165</v>
      </c>
      <c r="E76" s="40" t="s">
        <v>890</v>
      </c>
      <c r="F76" s="20" t="s">
        <v>149</v>
      </c>
      <c r="G76" s="415">
        <v>40</v>
      </c>
      <c r="H76" s="26">
        <f t="shared" ref="H76:I76" si="44">65.2+24.6-0.5</f>
        <v>89.300000000000011</v>
      </c>
      <c r="I76" s="26">
        <f t="shared" si="44"/>
        <v>89.300000000000011</v>
      </c>
      <c r="J76" s="212"/>
      <c r="K76" s="111"/>
      <c r="L76" s="111"/>
    </row>
    <row r="77" spans="1:12" s="230" customFormat="1" ht="51" customHeight="1" x14ac:dyDescent="0.25">
      <c r="A77" s="284" t="s">
        <v>1162</v>
      </c>
      <c r="B77" s="19">
        <v>902</v>
      </c>
      <c r="C77" s="24" t="s">
        <v>133</v>
      </c>
      <c r="D77" s="24" t="s">
        <v>165</v>
      </c>
      <c r="E77" s="7" t="s">
        <v>899</v>
      </c>
      <c r="F77" s="24"/>
      <c r="G77" s="416">
        <f>G78+G81</f>
        <v>0.5</v>
      </c>
      <c r="H77" s="21">
        <f t="shared" ref="H77:I77" si="45">H78+H81</f>
        <v>40.5</v>
      </c>
      <c r="I77" s="21">
        <f t="shared" si="45"/>
        <v>40.5</v>
      </c>
      <c r="J77" s="212"/>
      <c r="K77" s="111"/>
      <c r="L77" s="111"/>
    </row>
    <row r="78" spans="1:12" s="230" customFormat="1" ht="31.5" x14ac:dyDescent="0.25">
      <c r="A78" s="33" t="s">
        <v>1308</v>
      </c>
      <c r="B78" s="16">
        <v>902</v>
      </c>
      <c r="C78" s="20" t="s">
        <v>133</v>
      </c>
      <c r="D78" s="20" t="s">
        <v>165</v>
      </c>
      <c r="E78" s="40" t="s">
        <v>892</v>
      </c>
      <c r="F78" s="20"/>
      <c r="G78" s="415">
        <f>G79</f>
        <v>0.5</v>
      </c>
      <c r="H78" s="26">
        <f t="shared" ref="H78:I79" si="46">H79</f>
        <v>0.5</v>
      </c>
      <c r="I78" s="26">
        <f t="shared" si="46"/>
        <v>0.5</v>
      </c>
      <c r="J78" s="212"/>
      <c r="K78" s="111"/>
      <c r="L78" s="111"/>
    </row>
    <row r="79" spans="1:12" s="230" customFormat="1" ht="15.75" x14ac:dyDescent="0.25">
      <c r="A79" s="25" t="s">
        <v>146</v>
      </c>
      <c r="B79" s="16">
        <v>902</v>
      </c>
      <c r="C79" s="20" t="s">
        <v>133</v>
      </c>
      <c r="D79" s="20" t="s">
        <v>165</v>
      </c>
      <c r="E79" s="40" t="s">
        <v>892</v>
      </c>
      <c r="F79" s="20" t="s">
        <v>147</v>
      </c>
      <c r="G79" s="415">
        <f>G80</f>
        <v>0.5</v>
      </c>
      <c r="H79" s="26">
        <f t="shared" si="46"/>
        <v>0.5</v>
      </c>
      <c r="I79" s="26">
        <f t="shared" si="46"/>
        <v>0.5</v>
      </c>
      <c r="J79" s="212"/>
      <c r="K79" s="111"/>
      <c r="L79" s="111"/>
    </row>
    <row r="80" spans="1:12" s="230" customFormat="1" ht="31.5" x14ac:dyDescent="0.25">
      <c r="A80" s="25" t="s">
        <v>148</v>
      </c>
      <c r="B80" s="16">
        <v>902</v>
      </c>
      <c r="C80" s="20" t="s">
        <v>133</v>
      </c>
      <c r="D80" s="20" t="s">
        <v>165</v>
      </c>
      <c r="E80" s="40" t="s">
        <v>892</v>
      </c>
      <c r="F80" s="20" t="s">
        <v>149</v>
      </c>
      <c r="G80" s="415">
        <v>0.5</v>
      </c>
      <c r="H80" s="26">
        <v>0.5</v>
      </c>
      <c r="I80" s="26">
        <v>0.5</v>
      </c>
      <c r="J80" s="212"/>
      <c r="K80" s="111"/>
      <c r="L80" s="111"/>
    </row>
    <row r="81" spans="1:12" s="230" customFormat="1" ht="31.5" hidden="1" x14ac:dyDescent="0.25">
      <c r="A81" s="33" t="s">
        <v>206</v>
      </c>
      <c r="B81" s="16">
        <v>902</v>
      </c>
      <c r="C81" s="20" t="s">
        <v>133</v>
      </c>
      <c r="D81" s="20" t="s">
        <v>165</v>
      </c>
      <c r="E81" s="20" t="s">
        <v>893</v>
      </c>
      <c r="F81" s="20"/>
      <c r="G81" s="415">
        <f>G82</f>
        <v>0</v>
      </c>
      <c r="H81" s="26">
        <f t="shared" ref="H81:I82" si="47">H82</f>
        <v>40</v>
      </c>
      <c r="I81" s="26">
        <f t="shared" si="47"/>
        <v>40</v>
      </c>
      <c r="J81" s="212"/>
      <c r="K81" s="111"/>
      <c r="L81" s="111"/>
    </row>
    <row r="82" spans="1:12" s="230" customFormat="1" ht="15.75" hidden="1" x14ac:dyDescent="0.25">
      <c r="A82" s="25" t="s">
        <v>146</v>
      </c>
      <c r="B82" s="16">
        <v>902</v>
      </c>
      <c r="C82" s="20" t="s">
        <v>133</v>
      </c>
      <c r="D82" s="20" t="s">
        <v>165</v>
      </c>
      <c r="E82" s="20" t="s">
        <v>893</v>
      </c>
      <c r="F82" s="20" t="s">
        <v>147</v>
      </c>
      <c r="G82" s="415">
        <f>G83</f>
        <v>0</v>
      </c>
      <c r="H82" s="26">
        <f t="shared" si="47"/>
        <v>40</v>
      </c>
      <c r="I82" s="26">
        <f t="shared" si="47"/>
        <v>40</v>
      </c>
      <c r="J82" s="212"/>
      <c r="K82" s="111"/>
      <c r="L82" s="111"/>
    </row>
    <row r="83" spans="1:12" s="230" customFormat="1" ht="31.5" hidden="1" x14ac:dyDescent="0.25">
      <c r="A83" s="25" t="s">
        <v>148</v>
      </c>
      <c r="B83" s="16">
        <v>902</v>
      </c>
      <c r="C83" s="20" t="s">
        <v>133</v>
      </c>
      <c r="D83" s="20" t="s">
        <v>165</v>
      </c>
      <c r="E83" s="20" t="s">
        <v>893</v>
      </c>
      <c r="F83" s="20" t="s">
        <v>149</v>
      </c>
      <c r="G83" s="415">
        <v>0</v>
      </c>
      <c r="H83" s="26">
        <v>40</v>
      </c>
      <c r="I83" s="26">
        <v>40</v>
      </c>
      <c r="J83" s="212"/>
      <c r="K83" s="111"/>
      <c r="L83" s="111"/>
    </row>
    <row r="84" spans="1:12" ht="31.5" x14ac:dyDescent="0.25">
      <c r="A84" s="23" t="s">
        <v>134</v>
      </c>
      <c r="B84" s="19">
        <v>902</v>
      </c>
      <c r="C84" s="24" t="s">
        <v>133</v>
      </c>
      <c r="D84" s="24" t="s">
        <v>135</v>
      </c>
      <c r="E84" s="24"/>
      <c r="F84" s="20"/>
      <c r="G84" s="416">
        <f>G85</f>
        <v>940</v>
      </c>
      <c r="H84" s="21">
        <f t="shared" ref="H84:I85" si="48">H85</f>
        <v>2238.5</v>
      </c>
      <c r="I84" s="21">
        <f t="shared" si="48"/>
        <v>2238.5</v>
      </c>
      <c r="L84" s="224"/>
    </row>
    <row r="85" spans="1:12" ht="39" customHeight="1" x14ac:dyDescent="0.25">
      <c r="A85" s="23" t="s">
        <v>992</v>
      </c>
      <c r="B85" s="19">
        <v>902</v>
      </c>
      <c r="C85" s="24" t="s">
        <v>133</v>
      </c>
      <c r="D85" s="24" t="s">
        <v>135</v>
      </c>
      <c r="E85" s="24" t="s">
        <v>906</v>
      </c>
      <c r="F85" s="24"/>
      <c r="G85" s="416">
        <f>G86</f>
        <v>940</v>
      </c>
      <c r="H85" s="21">
        <f t="shared" si="48"/>
        <v>2238.5</v>
      </c>
      <c r="I85" s="21">
        <f t="shared" si="48"/>
        <v>2238.5</v>
      </c>
      <c r="L85" s="111"/>
    </row>
    <row r="86" spans="1:12" ht="15.75" x14ac:dyDescent="0.25">
      <c r="A86" s="23" t="s">
        <v>993</v>
      </c>
      <c r="B86" s="19">
        <v>902</v>
      </c>
      <c r="C86" s="24" t="s">
        <v>133</v>
      </c>
      <c r="D86" s="24" t="s">
        <v>135</v>
      </c>
      <c r="E86" s="24" t="s">
        <v>907</v>
      </c>
      <c r="F86" s="24"/>
      <c r="G86" s="416">
        <f>G87+G90</f>
        <v>940</v>
      </c>
      <c r="H86" s="21">
        <f t="shared" ref="H86:I86" si="49">H87+H90</f>
        <v>2238.5</v>
      </c>
      <c r="I86" s="21">
        <f t="shared" si="49"/>
        <v>2238.5</v>
      </c>
      <c r="L86" s="111"/>
    </row>
    <row r="87" spans="1:12" ht="15.75" x14ac:dyDescent="0.25">
      <c r="A87" s="25" t="s">
        <v>969</v>
      </c>
      <c r="B87" s="16">
        <v>902</v>
      </c>
      <c r="C87" s="20" t="s">
        <v>133</v>
      </c>
      <c r="D87" s="20" t="s">
        <v>135</v>
      </c>
      <c r="E87" s="20" t="s">
        <v>908</v>
      </c>
      <c r="F87" s="20"/>
      <c r="G87" s="415">
        <f>G88</f>
        <v>899</v>
      </c>
      <c r="H87" s="26">
        <f t="shared" ref="H87:I87" si="50">H88+H90</f>
        <v>2238.5</v>
      </c>
      <c r="I87" s="26">
        <f t="shared" si="50"/>
        <v>2238.5</v>
      </c>
      <c r="L87" s="111"/>
    </row>
    <row r="88" spans="1:12" ht="47.25" x14ac:dyDescent="0.25">
      <c r="A88" s="25" t="s">
        <v>142</v>
      </c>
      <c r="B88" s="16">
        <v>902</v>
      </c>
      <c r="C88" s="20" t="s">
        <v>133</v>
      </c>
      <c r="D88" s="20" t="s">
        <v>135</v>
      </c>
      <c r="E88" s="20" t="s">
        <v>908</v>
      </c>
      <c r="F88" s="20" t="s">
        <v>143</v>
      </c>
      <c r="G88" s="415">
        <f>G89</f>
        <v>899</v>
      </c>
      <c r="H88" s="26">
        <f t="shared" ref="H88:I88" si="51">H89</f>
        <v>2238.5</v>
      </c>
      <c r="I88" s="26">
        <f t="shared" si="51"/>
        <v>2238.5</v>
      </c>
      <c r="L88" s="111"/>
    </row>
    <row r="89" spans="1:12" ht="15.75" x14ac:dyDescent="0.25">
      <c r="A89" s="25" t="s">
        <v>144</v>
      </c>
      <c r="B89" s="16">
        <v>902</v>
      </c>
      <c r="C89" s="20" t="s">
        <v>133</v>
      </c>
      <c r="D89" s="20" t="s">
        <v>135</v>
      </c>
      <c r="E89" s="20" t="s">
        <v>908</v>
      </c>
      <c r="F89" s="20" t="s">
        <v>145</v>
      </c>
      <c r="G89" s="419">
        <v>899</v>
      </c>
      <c r="H89" s="27">
        <v>2238.5</v>
      </c>
      <c r="I89" s="27">
        <v>2238.5</v>
      </c>
      <c r="J89" s="240"/>
      <c r="K89" s="332">
        <v>899</v>
      </c>
      <c r="L89" s="225" t="s">
        <v>1392</v>
      </c>
    </row>
    <row r="90" spans="1:12" ht="31.5" customHeight="1" x14ac:dyDescent="0.25">
      <c r="A90" s="25" t="s">
        <v>886</v>
      </c>
      <c r="B90" s="16">
        <v>902</v>
      </c>
      <c r="C90" s="20" t="s">
        <v>133</v>
      </c>
      <c r="D90" s="20" t="s">
        <v>135</v>
      </c>
      <c r="E90" s="20" t="s">
        <v>910</v>
      </c>
      <c r="F90" s="20"/>
      <c r="G90" s="415">
        <f>G91</f>
        <v>41</v>
      </c>
      <c r="H90" s="26">
        <f t="shared" ref="H90:I91" si="52">H91</f>
        <v>0</v>
      </c>
      <c r="I90" s="26">
        <f t="shared" si="52"/>
        <v>0</v>
      </c>
      <c r="L90" s="224"/>
    </row>
    <row r="91" spans="1:12" s="230" customFormat="1" ht="31.5" customHeight="1" x14ac:dyDescent="0.25">
      <c r="A91" s="25" t="s">
        <v>142</v>
      </c>
      <c r="B91" s="16">
        <v>902</v>
      </c>
      <c r="C91" s="20" t="s">
        <v>133</v>
      </c>
      <c r="D91" s="20" t="s">
        <v>135</v>
      </c>
      <c r="E91" s="20" t="s">
        <v>910</v>
      </c>
      <c r="F91" s="20" t="s">
        <v>143</v>
      </c>
      <c r="G91" s="415">
        <f>G92</f>
        <v>41</v>
      </c>
      <c r="H91" s="26">
        <f t="shared" si="52"/>
        <v>0</v>
      </c>
      <c r="I91" s="26">
        <f t="shared" si="52"/>
        <v>0</v>
      </c>
      <c r="J91" s="212"/>
      <c r="K91" s="111"/>
      <c r="L91" s="224"/>
    </row>
    <row r="92" spans="1:12" ht="34.5" customHeight="1" x14ac:dyDescent="0.25">
      <c r="A92" s="25" t="s">
        <v>144</v>
      </c>
      <c r="B92" s="16">
        <v>902</v>
      </c>
      <c r="C92" s="20" t="s">
        <v>133</v>
      </c>
      <c r="D92" s="20" t="s">
        <v>135</v>
      </c>
      <c r="E92" s="20" t="s">
        <v>910</v>
      </c>
      <c r="F92" s="20" t="s">
        <v>145</v>
      </c>
      <c r="G92" s="415">
        <v>41</v>
      </c>
      <c r="H92" s="26"/>
      <c r="I92" s="26"/>
      <c r="J92" s="212" t="s">
        <v>1313</v>
      </c>
      <c r="L92" s="111"/>
    </row>
    <row r="93" spans="1:12" s="230" customFormat="1" ht="17.25" customHeight="1" x14ac:dyDescent="0.25">
      <c r="A93" s="23" t="s">
        <v>1390</v>
      </c>
      <c r="B93" s="19">
        <v>902</v>
      </c>
      <c r="C93" s="24" t="s">
        <v>133</v>
      </c>
      <c r="D93" s="24" t="s">
        <v>279</v>
      </c>
      <c r="E93" s="24"/>
      <c r="F93" s="20"/>
      <c r="G93" s="416">
        <f>G94</f>
        <v>158.38</v>
      </c>
      <c r="H93" s="26"/>
      <c r="I93" s="26"/>
      <c r="J93" s="212"/>
      <c r="K93" s="111"/>
      <c r="L93" s="111"/>
    </row>
    <row r="94" spans="1:12" s="230" customFormat="1" ht="21.75" customHeight="1" x14ac:dyDescent="0.25">
      <c r="A94" s="23" t="s">
        <v>156</v>
      </c>
      <c r="B94" s="19">
        <v>902</v>
      </c>
      <c r="C94" s="24" t="s">
        <v>133</v>
      </c>
      <c r="D94" s="24" t="s">
        <v>279</v>
      </c>
      <c r="E94" s="24" t="s">
        <v>914</v>
      </c>
      <c r="F94" s="20"/>
      <c r="G94" s="416">
        <f>G95</f>
        <v>158.38</v>
      </c>
      <c r="H94" s="26"/>
      <c r="I94" s="26"/>
      <c r="J94" s="212"/>
      <c r="K94" s="111"/>
      <c r="L94" s="111"/>
    </row>
    <row r="95" spans="1:12" s="230" customFormat="1" ht="34.5" customHeight="1" x14ac:dyDescent="0.25">
      <c r="A95" s="23" t="s">
        <v>918</v>
      </c>
      <c r="B95" s="19">
        <v>902</v>
      </c>
      <c r="C95" s="24" t="s">
        <v>133</v>
      </c>
      <c r="D95" s="24" t="s">
        <v>279</v>
      </c>
      <c r="E95" s="24" t="s">
        <v>913</v>
      </c>
      <c r="F95" s="20"/>
      <c r="G95" s="416">
        <f>G96</f>
        <v>158.38</v>
      </c>
      <c r="H95" s="26"/>
      <c r="I95" s="26"/>
      <c r="J95" s="212"/>
      <c r="K95" s="111"/>
      <c r="L95" s="111"/>
    </row>
    <row r="96" spans="1:12" s="230" customFormat="1" ht="18" customHeight="1" x14ac:dyDescent="0.25">
      <c r="A96" s="45" t="s">
        <v>214</v>
      </c>
      <c r="B96" s="16">
        <v>902</v>
      </c>
      <c r="C96" s="20" t="s">
        <v>133</v>
      </c>
      <c r="D96" s="20" t="s">
        <v>279</v>
      </c>
      <c r="E96" s="20" t="s">
        <v>1389</v>
      </c>
      <c r="F96" s="20"/>
      <c r="G96" s="415">
        <f>G97+G99</f>
        <v>158.38</v>
      </c>
      <c r="H96" s="26"/>
      <c r="I96" s="26"/>
      <c r="J96" s="212"/>
      <c r="K96" s="111"/>
      <c r="L96" s="111"/>
    </row>
    <row r="97" spans="1:13" s="230" customFormat="1" ht="69.75" customHeight="1" x14ac:dyDescent="0.25">
      <c r="A97" s="25" t="s">
        <v>142</v>
      </c>
      <c r="B97" s="16">
        <v>902</v>
      </c>
      <c r="C97" s="20" t="s">
        <v>133</v>
      </c>
      <c r="D97" s="20" t="s">
        <v>279</v>
      </c>
      <c r="E97" s="20" t="s">
        <v>1389</v>
      </c>
      <c r="F97" s="20" t="s">
        <v>143</v>
      </c>
      <c r="G97" s="415">
        <f>G98</f>
        <v>158.38</v>
      </c>
      <c r="H97" s="26"/>
      <c r="I97" s="26"/>
      <c r="J97" s="212"/>
      <c r="K97" s="111"/>
      <c r="L97" s="111"/>
    </row>
    <row r="98" spans="1:13" s="230" customFormat="1" ht="34.5" customHeight="1" x14ac:dyDescent="0.25">
      <c r="A98" s="25" t="s">
        <v>144</v>
      </c>
      <c r="B98" s="16">
        <v>902</v>
      </c>
      <c r="C98" s="20" t="s">
        <v>133</v>
      </c>
      <c r="D98" s="20" t="s">
        <v>279</v>
      </c>
      <c r="E98" s="20" t="s">
        <v>1389</v>
      </c>
      <c r="F98" s="20" t="s">
        <v>145</v>
      </c>
      <c r="G98" s="415">
        <v>158.38</v>
      </c>
      <c r="H98" s="26"/>
      <c r="I98" s="26"/>
      <c r="J98" s="212"/>
      <c r="K98" s="111"/>
      <c r="L98" s="111"/>
    </row>
    <row r="99" spans="1:13" s="230" customFormat="1" ht="34.5" hidden="1" customHeight="1" x14ac:dyDescent="0.25">
      <c r="A99" s="25" t="s">
        <v>213</v>
      </c>
      <c r="B99" s="16">
        <v>902</v>
      </c>
      <c r="C99" s="20" t="s">
        <v>133</v>
      </c>
      <c r="D99" s="20" t="s">
        <v>279</v>
      </c>
      <c r="E99" s="20" t="s">
        <v>1389</v>
      </c>
      <c r="F99" s="20" t="s">
        <v>147</v>
      </c>
      <c r="G99" s="415">
        <f>G100</f>
        <v>0</v>
      </c>
      <c r="H99" s="26"/>
      <c r="I99" s="26"/>
      <c r="J99" s="212"/>
      <c r="K99" s="111"/>
      <c r="L99" s="111"/>
    </row>
    <row r="100" spans="1:13" s="230" customFormat="1" ht="34.5" hidden="1" customHeight="1" x14ac:dyDescent="0.25">
      <c r="A100" s="25" t="s">
        <v>148</v>
      </c>
      <c r="B100" s="16">
        <v>902</v>
      </c>
      <c r="C100" s="20" t="s">
        <v>133</v>
      </c>
      <c r="D100" s="20" t="s">
        <v>279</v>
      </c>
      <c r="E100" s="20" t="s">
        <v>1389</v>
      </c>
      <c r="F100" s="20" t="s">
        <v>149</v>
      </c>
      <c r="G100" s="415">
        <v>0</v>
      </c>
      <c r="H100" s="26"/>
      <c r="I100" s="26"/>
      <c r="J100" s="212"/>
      <c r="K100" s="111"/>
      <c r="L100" s="111"/>
    </row>
    <row r="101" spans="1:13" ht="15.75" x14ac:dyDescent="0.25">
      <c r="A101" s="23" t="s">
        <v>154</v>
      </c>
      <c r="B101" s="19">
        <v>902</v>
      </c>
      <c r="C101" s="24" t="s">
        <v>133</v>
      </c>
      <c r="D101" s="24" t="s">
        <v>155</v>
      </c>
      <c r="E101" s="24"/>
      <c r="F101" s="24"/>
      <c r="G101" s="416">
        <f>G112+G121+G102+G126</f>
        <v>6833</v>
      </c>
      <c r="H101" s="21">
        <f t="shared" ref="H101:I101" si="53">H112+H121+H102+H126</f>
        <v>5732.6</v>
      </c>
      <c r="I101" s="21">
        <f t="shared" si="53"/>
        <v>5732.6</v>
      </c>
      <c r="J101" s="242">
        <f>G101+G210+G499+G532+G838</f>
        <v>48415.82</v>
      </c>
      <c r="K101" s="116">
        <v>58004.800000000003</v>
      </c>
      <c r="L101" s="116">
        <f>K101-J101</f>
        <v>9588.9800000000032</v>
      </c>
    </row>
    <row r="102" spans="1:13" s="230" customFormat="1" ht="19.5" customHeight="1" x14ac:dyDescent="0.25">
      <c r="A102" s="23" t="s">
        <v>156</v>
      </c>
      <c r="B102" s="19">
        <v>902</v>
      </c>
      <c r="C102" s="24" t="s">
        <v>133</v>
      </c>
      <c r="D102" s="24" t="s">
        <v>155</v>
      </c>
      <c r="E102" s="24" t="s">
        <v>914</v>
      </c>
      <c r="F102" s="24"/>
      <c r="G102" s="416">
        <f>G103</f>
        <v>6680</v>
      </c>
      <c r="H102" s="21">
        <f t="shared" ref="H102:I102" si="54">H103</f>
        <v>5612.6</v>
      </c>
      <c r="I102" s="21">
        <f t="shared" si="54"/>
        <v>5612.6</v>
      </c>
      <c r="J102" s="212"/>
      <c r="K102" s="111"/>
      <c r="L102" s="224"/>
    </row>
    <row r="103" spans="1:13" s="230" customFormat="1" ht="34.5" customHeight="1" x14ac:dyDescent="0.25">
      <c r="A103" s="23" t="s">
        <v>999</v>
      </c>
      <c r="B103" s="19">
        <v>902</v>
      </c>
      <c r="C103" s="24" t="s">
        <v>133</v>
      </c>
      <c r="D103" s="24" t="s">
        <v>155</v>
      </c>
      <c r="E103" s="24" t="s">
        <v>915</v>
      </c>
      <c r="F103" s="24"/>
      <c r="G103" s="416">
        <f>G104+G109</f>
        <v>6680</v>
      </c>
      <c r="H103" s="21">
        <f t="shared" ref="H103:I103" si="55">H104+H109</f>
        <v>5612.6</v>
      </c>
      <c r="I103" s="21">
        <f t="shared" si="55"/>
        <v>5612.6</v>
      </c>
      <c r="J103" s="212"/>
      <c r="K103" s="111"/>
      <c r="L103" s="224"/>
    </row>
    <row r="104" spans="1:13" s="230" customFormat="1" ht="21.75" customHeight="1" x14ac:dyDescent="0.25">
      <c r="A104" s="25" t="s">
        <v>1005</v>
      </c>
      <c r="B104" s="16">
        <v>902</v>
      </c>
      <c r="C104" s="20" t="s">
        <v>133</v>
      </c>
      <c r="D104" s="20" t="s">
        <v>155</v>
      </c>
      <c r="E104" s="20" t="s">
        <v>916</v>
      </c>
      <c r="F104" s="20"/>
      <c r="G104" s="415">
        <f>G105+G107</f>
        <v>6554</v>
      </c>
      <c r="H104" s="26">
        <f t="shared" ref="H104:I104" si="56">H105+H107</f>
        <v>5612.6</v>
      </c>
      <c r="I104" s="26">
        <f t="shared" si="56"/>
        <v>5612.6</v>
      </c>
      <c r="J104" s="212"/>
      <c r="K104" s="111"/>
      <c r="L104" s="224"/>
    </row>
    <row r="105" spans="1:13" s="230" customFormat="1" ht="66.75" customHeight="1" x14ac:dyDescent="0.25">
      <c r="A105" s="25" t="s">
        <v>142</v>
      </c>
      <c r="B105" s="16">
        <v>902</v>
      </c>
      <c r="C105" s="20" t="s">
        <v>133</v>
      </c>
      <c r="D105" s="20" t="s">
        <v>155</v>
      </c>
      <c r="E105" s="20" t="s">
        <v>916</v>
      </c>
      <c r="F105" s="20" t="s">
        <v>143</v>
      </c>
      <c r="G105" s="415">
        <f>G106</f>
        <v>5343</v>
      </c>
      <c r="H105" s="26">
        <f t="shared" ref="H105:I105" si="57">H106</f>
        <v>4401.6000000000004</v>
      </c>
      <c r="I105" s="26">
        <f t="shared" si="57"/>
        <v>4401.6000000000004</v>
      </c>
      <c r="J105" s="212"/>
      <c r="K105" s="111"/>
      <c r="L105" s="224"/>
    </row>
    <row r="106" spans="1:13" s="230" customFormat="1" ht="20.25" customHeight="1" x14ac:dyDescent="0.25">
      <c r="A106" s="25" t="s">
        <v>223</v>
      </c>
      <c r="B106" s="16">
        <v>902</v>
      </c>
      <c r="C106" s="20" t="s">
        <v>133</v>
      </c>
      <c r="D106" s="20" t="s">
        <v>155</v>
      </c>
      <c r="E106" s="20" t="s">
        <v>916</v>
      </c>
      <c r="F106" s="20" t="s">
        <v>224</v>
      </c>
      <c r="G106" s="419">
        <v>5343</v>
      </c>
      <c r="H106" s="27">
        <f t="shared" ref="H106:I106" si="58">5183-256.4-735.3+210.3</f>
        <v>4401.6000000000004</v>
      </c>
      <c r="I106" s="27">
        <f t="shared" si="58"/>
        <v>4401.6000000000004</v>
      </c>
      <c r="J106" s="212" t="s">
        <v>888</v>
      </c>
      <c r="K106" s="111"/>
      <c r="L106" s="334">
        <v>5343</v>
      </c>
      <c r="M106" s="230" t="s">
        <v>1392</v>
      </c>
    </row>
    <row r="107" spans="1:13" s="230" customFormat="1" ht="39" customHeight="1" x14ac:dyDescent="0.25">
      <c r="A107" s="25" t="s">
        <v>213</v>
      </c>
      <c r="B107" s="16">
        <v>902</v>
      </c>
      <c r="C107" s="20" t="s">
        <v>133</v>
      </c>
      <c r="D107" s="20" t="s">
        <v>155</v>
      </c>
      <c r="E107" s="20" t="s">
        <v>916</v>
      </c>
      <c r="F107" s="20" t="s">
        <v>147</v>
      </c>
      <c r="G107" s="415">
        <f>G108</f>
        <v>1211</v>
      </c>
      <c r="H107" s="26">
        <f t="shared" ref="H107:I107" si="59">H108</f>
        <v>1211</v>
      </c>
      <c r="I107" s="26">
        <f t="shared" si="59"/>
        <v>1211</v>
      </c>
      <c r="J107" s="212"/>
      <c r="K107" s="111"/>
      <c r="L107" s="224"/>
    </row>
    <row r="108" spans="1:13" s="230" customFormat="1" ht="39" customHeight="1" x14ac:dyDescent="0.25">
      <c r="A108" s="25" t="s">
        <v>148</v>
      </c>
      <c r="B108" s="16">
        <v>902</v>
      </c>
      <c r="C108" s="20" t="s">
        <v>133</v>
      </c>
      <c r="D108" s="20" t="s">
        <v>155</v>
      </c>
      <c r="E108" s="20" t="s">
        <v>916</v>
      </c>
      <c r="F108" s="20" t="s">
        <v>149</v>
      </c>
      <c r="G108" s="419">
        <f>1174.7+113.8-77.5</f>
        <v>1211</v>
      </c>
      <c r="H108" s="27">
        <f t="shared" ref="H108:I108" si="60">1174.7+113.8-77.5</f>
        <v>1211</v>
      </c>
      <c r="I108" s="27">
        <f t="shared" si="60"/>
        <v>1211</v>
      </c>
      <c r="J108" s="212"/>
      <c r="K108" s="111"/>
      <c r="L108" s="224"/>
    </row>
    <row r="109" spans="1:13" s="230" customFormat="1" ht="28.5" customHeight="1" x14ac:dyDescent="0.25">
      <c r="A109" s="25" t="s">
        <v>886</v>
      </c>
      <c r="B109" s="16">
        <v>902</v>
      </c>
      <c r="C109" s="20" t="s">
        <v>133</v>
      </c>
      <c r="D109" s="20" t="s">
        <v>155</v>
      </c>
      <c r="E109" s="20" t="s">
        <v>917</v>
      </c>
      <c r="F109" s="20"/>
      <c r="G109" s="415">
        <f>G110</f>
        <v>126</v>
      </c>
      <c r="H109" s="26">
        <f t="shared" ref="H109:I110" si="61">H110</f>
        <v>0</v>
      </c>
      <c r="I109" s="26">
        <f t="shared" si="61"/>
        <v>0</v>
      </c>
      <c r="J109" s="212"/>
      <c r="K109" s="111"/>
      <c r="L109" s="224"/>
    </row>
    <row r="110" spans="1:13" s="230" customFormat="1" ht="63" customHeight="1" x14ac:dyDescent="0.25">
      <c r="A110" s="25" t="s">
        <v>142</v>
      </c>
      <c r="B110" s="16">
        <v>902</v>
      </c>
      <c r="C110" s="20" t="s">
        <v>133</v>
      </c>
      <c r="D110" s="20" t="s">
        <v>155</v>
      </c>
      <c r="E110" s="20" t="s">
        <v>917</v>
      </c>
      <c r="F110" s="20" t="s">
        <v>143</v>
      </c>
      <c r="G110" s="415">
        <f>G111</f>
        <v>126</v>
      </c>
      <c r="H110" s="26">
        <f t="shared" si="61"/>
        <v>0</v>
      </c>
      <c r="I110" s="26">
        <f t="shared" si="61"/>
        <v>0</v>
      </c>
      <c r="J110" s="212"/>
      <c r="K110" s="111"/>
      <c r="L110" s="224"/>
    </row>
    <row r="111" spans="1:13" s="230" customFormat="1" ht="23.25" customHeight="1" x14ac:dyDescent="0.25">
      <c r="A111" s="25" t="s">
        <v>223</v>
      </c>
      <c r="B111" s="16">
        <v>902</v>
      </c>
      <c r="C111" s="20" t="s">
        <v>133</v>
      </c>
      <c r="D111" s="20" t="s">
        <v>155</v>
      </c>
      <c r="E111" s="20" t="s">
        <v>917</v>
      </c>
      <c r="F111" s="20" t="s">
        <v>224</v>
      </c>
      <c r="G111" s="415">
        <v>126</v>
      </c>
      <c r="H111" s="26"/>
      <c r="I111" s="26"/>
      <c r="J111" s="212"/>
      <c r="K111" s="111"/>
      <c r="L111" s="224"/>
    </row>
    <row r="112" spans="1:13" ht="31.5" x14ac:dyDescent="0.25">
      <c r="A112" s="41" t="s">
        <v>1192</v>
      </c>
      <c r="B112" s="19">
        <v>902</v>
      </c>
      <c r="C112" s="24" t="s">
        <v>133</v>
      </c>
      <c r="D112" s="24" t="s">
        <v>155</v>
      </c>
      <c r="E112" s="24" t="s">
        <v>727</v>
      </c>
      <c r="F112" s="285"/>
      <c r="G112" s="416">
        <f>G113+G117</f>
        <v>43</v>
      </c>
      <c r="H112" s="21">
        <f t="shared" ref="H112:I112" si="62">H113+H117</f>
        <v>40</v>
      </c>
      <c r="I112" s="21">
        <f t="shared" si="62"/>
        <v>40</v>
      </c>
      <c r="J112" s="212" t="s">
        <v>1186</v>
      </c>
      <c r="L112" s="111"/>
    </row>
    <row r="113" spans="1:12" s="230" customFormat="1" ht="47.25" customHeight="1" x14ac:dyDescent="0.25">
      <c r="A113" s="273" t="s">
        <v>894</v>
      </c>
      <c r="B113" s="19">
        <v>902</v>
      </c>
      <c r="C113" s="24" t="s">
        <v>133</v>
      </c>
      <c r="D113" s="24" t="s">
        <v>155</v>
      </c>
      <c r="E113" s="24" t="s">
        <v>900</v>
      </c>
      <c r="F113" s="285"/>
      <c r="G113" s="416">
        <f>G114</f>
        <v>28</v>
      </c>
      <c r="H113" s="21">
        <f t="shared" ref="H113:I115" si="63">H114</f>
        <v>25</v>
      </c>
      <c r="I113" s="21">
        <f t="shared" si="63"/>
        <v>25</v>
      </c>
      <c r="J113" s="212"/>
      <c r="K113" s="111"/>
      <c r="L113" s="111"/>
    </row>
    <row r="114" spans="1:12" ht="36.75" customHeight="1" x14ac:dyDescent="0.25">
      <c r="A114" s="101" t="s">
        <v>798</v>
      </c>
      <c r="B114" s="16">
        <v>902</v>
      </c>
      <c r="C114" s="20" t="s">
        <v>133</v>
      </c>
      <c r="D114" s="20" t="s">
        <v>155</v>
      </c>
      <c r="E114" s="20" t="s">
        <v>895</v>
      </c>
      <c r="F114" s="32"/>
      <c r="G114" s="415">
        <f>G115</f>
        <v>28</v>
      </c>
      <c r="H114" s="26">
        <f t="shared" si="63"/>
        <v>25</v>
      </c>
      <c r="I114" s="26">
        <f t="shared" si="63"/>
        <v>25</v>
      </c>
      <c r="L114" s="111"/>
    </row>
    <row r="115" spans="1:12" ht="15.75" x14ac:dyDescent="0.25">
      <c r="A115" s="25" t="s">
        <v>146</v>
      </c>
      <c r="B115" s="16">
        <v>902</v>
      </c>
      <c r="C115" s="20" t="s">
        <v>133</v>
      </c>
      <c r="D115" s="20" t="s">
        <v>155</v>
      </c>
      <c r="E115" s="20" t="s">
        <v>895</v>
      </c>
      <c r="F115" s="32" t="s">
        <v>147</v>
      </c>
      <c r="G115" s="415">
        <f>G116</f>
        <v>28</v>
      </c>
      <c r="H115" s="26">
        <f t="shared" si="63"/>
        <v>25</v>
      </c>
      <c r="I115" s="26">
        <f t="shared" si="63"/>
        <v>25</v>
      </c>
      <c r="L115" s="111"/>
    </row>
    <row r="116" spans="1:12" ht="31.5" x14ac:dyDescent="0.25">
      <c r="A116" s="25" t="s">
        <v>148</v>
      </c>
      <c r="B116" s="16">
        <v>902</v>
      </c>
      <c r="C116" s="20" t="s">
        <v>133</v>
      </c>
      <c r="D116" s="20" t="s">
        <v>155</v>
      </c>
      <c r="E116" s="20" t="s">
        <v>895</v>
      </c>
      <c r="F116" s="32" t="s">
        <v>149</v>
      </c>
      <c r="G116" s="415">
        <v>28</v>
      </c>
      <c r="H116" s="26">
        <v>25</v>
      </c>
      <c r="I116" s="26">
        <v>25</v>
      </c>
      <c r="L116" s="111"/>
    </row>
    <row r="117" spans="1:12" s="230" customFormat="1" ht="34.5" customHeight="1" x14ac:dyDescent="0.25">
      <c r="A117" s="274" t="s">
        <v>1195</v>
      </c>
      <c r="B117" s="19">
        <v>902</v>
      </c>
      <c r="C117" s="24" t="s">
        <v>133</v>
      </c>
      <c r="D117" s="24" t="s">
        <v>155</v>
      </c>
      <c r="E117" s="24" t="s">
        <v>901</v>
      </c>
      <c r="F117" s="285"/>
      <c r="G117" s="416">
        <f>G118</f>
        <v>15</v>
      </c>
      <c r="H117" s="21">
        <f t="shared" ref="H117:I119" si="64">H118</f>
        <v>15</v>
      </c>
      <c r="I117" s="21">
        <f t="shared" si="64"/>
        <v>15</v>
      </c>
      <c r="J117" s="212"/>
      <c r="K117" s="111"/>
      <c r="L117" s="111"/>
    </row>
    <row r="118" spans="1:12" ht="39" customHeight="1" x14ac:dyDescent="0.25">
      <c r="A118" s="101" t="s">
        <v>799</v>
      </c>
      <c r="B118" s="16">
        <v>902</v>
      </c>
      <c r="C118" s="20" t="s">
        <v>133</v>
      </c>
      <c r="D118" s="20" t="s">
        <v>155</v>
      </c>
      <c r="E118" s="20" t="s">
        <v>896</v>
      </c>
      <c r="F118" s="32"/>
      <c r="G118" s="415">
        <f>G119</f>
        <v>15</v>
      </c>
      <c r="H118" s="26">
        <f t="shared" si="64"/>
        <v>15</v>
      </c>
      <c r="I118" s="26">
        <f t="shared" si="64"/>
        <v>15</v>
      </c>
      <c r="L118" s="111"/>
    </row>
    <row r="119" spans="1:12" ht="31.5" customHeight="1" x14ac:dyDescent="0.25">
      <c r="A119" s="25" t="s">
        <v>146</v>
      </c>
      <c r="B119" s="16">
        <v>902</v>
      </c>
      <c r="C119" s="20" t="s">
        <v>133</v>
      </c>
      <c r="D119" s="20" t="s">
        <v>155</v>
      </c>
      <c r="E119" s="20" t="s">
        <v>896</v>
      </c>
      <c r="F119" s="32" t="s">
        <v>147</v>
      </c>
      <c r="G119" s="415">
        <f>G120</f>
        <v>15</v>
      </c>
      <c r="H119" s="26">
        <f t="shared" si="64"/>
        <v>15</v>
      </c>
      <c r="I119" s="26">
        <f t="shared" si="64"/>
        <v>15</v>
      </c>
      <c r="L119" s="111"/>
    </row>
    <row r="120" spans="1:12" ht="32.25" customHeight="1" x14ac:dyDescent="0.25">
      <c r="A120" s="25" t="s">
        <v>148</v>
      </c>
      <c r="B120" s="16">
        <v>902</v>
      </c>
      <c r="C120" s="20" t="s">
        <v>133</v>
      </c>
      <c r="D120" s="20" t="s">
        <v>155</v>
      </c>
      <c r="E120" s="20" t="s">
        <v>896</v>
      </c>
      <c r="F120" s="32" t="s">
        <v>149</v>
      </c>
      <c r="G120" s="415">
        <v>15</v>
      </c>
      <c r="H120" s="26">
        <v>15</v>
      </c>
      <c r="I120" s="26">
        <v>15</v>
      </c>
      <c r="L120" s="111"/>
    </row>
    <row r="121" spans="1:12" ht="68.25" customHeight="1" x14ac:dyDescent="0.25">
      <c r="A121" s="41" t="s">
        <v>1191</v>
      </c>
      <c r="B121" s="19">
        <v>902</v>
      </c>
      <c r="C121" s="8" t="s">
        <v>133</v>
      </c>
      <c r="D121" s="8" t="s">
        <v>155</v>
      </c>
      <c r="E121" s="401" t="s">
        <v>862</v>
      </c>
      <c r="F121" s="8"/>
      <c r="G121" s="416">
        <f>G123</f>
        <v>30</v>
      </c>
      <c r="H121" s="21">
        <f t="shared" ref="H121:I121" si="65">H123</f>
        <v>20</v>
      </c>
      <c r="I121" s="21">
        <f t="shared" si="65"/>
        <v>20</v>
      </c>
      <c r="J121" s="212" t="s">
        <v>1186</v>
      </c>
      <c r="L121" s="111"/>
    </row>
    <row r="122" spans="1:12" s="230" customFormat="1" ht="35.25" customHeight="1" x14ac:dyDescent="0.25">
      <c r="A122" s="275" t="s">
        <v>902</v>
      </c>
      <c r="B122" s="19">
        <v>902</v>
      </c>
      <c r="C122" s="8" t="s">
        <v>133</v>
      </c>
      <c r="D122" s="8" t="s">
        <v>155</v>
      </c>
      <c r="E122" s="214" t="s">
        <v>1273</v>
      </c>
      <c r="F122" s="8"/>
      <c r="G122" s="416">
        <f>G123</f>
        <v>30</v>
      </c>
      <c r="H122" s="21">
        <f t="shared" ref="H122:I124" si="66">H123</f>
        <v>20</v>
      </c>
      <c r="I122" s="21">
        <f t="shared" si="66"/>
        <v>20</v>
      </c>
      <c r="J122" s="212"/>
      <c r="K122" s="111"/>
      <c r="L122" s="111"/>
    </row>
    <row r="123" spans="1:12" ht="31.5" customHeight="1" x14ac:dyDescent="0.25">
      <c r="A123" s="100" t="s">
        <v>186</v>
      </c>
      <c r="B123" s="16">
        <v>902</v>
      </c>
      <c r="C123" s="9" t="s">
        <v>133</v>
      </c>
      <c r="D123" s="9" t="s">
        <v>155</v>
      </c>
      <c r="E123" s="5" t="s">
        <v>903</v>
      </c>
      <c r="F123" s="9"/>
      <c r="G123" s="415">
        <f>G124</f>
        <v>30</v>
      </c>
      <c r="H123" s="26">
        <f t="shared" si="66"/>
        <v>20</v>
      </c>
      <c r="I123" s="26">
        <f t="shared" si="66"/>
        <v>20</v>
      </c>
      <c r="L123" s="111"/>
    </row>
    <row r="124" spans="1:12" ht="35.25" customHeight="1" x14ac:dyDescent="0.25">
      <c r="A124" s="25" t="s">
        <v>146</v>
      </c>
      <c r="B124" s="16">
        <v>902</v>
      </c>
      <c r="C124" s="9" t="s">
        <v>133</v>
      </c>
      <c r="D124" s="9" t="s">
        <v>155</v>
      </c>
      <c r="E124" s="5" t="s">
        <v>903</v>
      </c>
      <c r="F124" s="9" t="s">
        <v>147</v>
      </c>
      <c r="G124" s="415">
        <f>G125</f>
        <v>30</v>
      </c>
      <c r="H124" s="26">
        <f t="shared" si="66"/>
        <v>20</v>
      </c>
      <c r="I124" s="26">
        <f t="shared" si="66"/>
        <v>20</v>
      </c>
      <c r="L124" s="111"/>
    </row>
    <row r="125" spans="1:12" ht="33" customHeight="1" x14ac:dyDescent="0.25">
      <c r="A125" s="25" t="s">
        <v>148</v>
      </c>
      <c r="B125" s="16">
        <v>902</v>
      </c>
      <c r="C125" s="9" t="s">
        <v>133</v>
      </c>
      <c r="D125" s="9" t="s">
        <v>155</v>
      </c>
      <c r="E125" s="5" t="s">
        <v>903</v>
      </c>
      <c r="F125" s="9" t="s">
        <v>149</v>
      </c>
      <c r="G125" s="415">
        <v>30</v>
      </c>
      <c r="H125" s="26">
        <v>20</v>
      </c>
      <c r="I125" s="26">
        <v>20</v>
      </c>
      <c r="J125" s="243"/>
      <c r="L125" s="111"/>
    </row>
    <row r="126" spans="1:12" s="230" customFormat="1" ht="47.25" x14ac:dyDescent="0.25">
      <c r="A126" s="41" t="s">
        <v>1193</v>
      </c>
      <c r="B126" s="19">
        <v>902</v>
      </c>
      <c r="C126" s="8" t="s">
        <v>133</v>
      </c>
      <c r="D126" s="8" t="s">
        <v>155</v>
      </c>
      <c r="E126" s="214" t="s">
        <v>863</v>
      </c>
      <c r="F126" s="8"/>
      <c r="G126" s="416">
        <f>G128</f>
        <v>80</v>
      </c>
      <c r="H126" s="21">
        <f t="shared" ref="H126:I126" si="67">H128</f>
        <v>60</v>
      </c>
      <c r="I126" s="21">
        <f t="shared" si="67"/>
        <v>60</v>
      </c>
      <c r="J126" s="212" t="s">
        <v>1186</v>
      </c>
      <c r="K126" s="111"/>
      <c r="L126" s="111"/>
    </row>
    <row r="127" spans="1:12" s="230" customFormat="1" ht="31.5" x14ac:dyDescent="0.25">
      <c r="A127" s="58" t="s">
        <v>904</v>
      </c>
      <c r="B127" s="19">
        <v>902</v>
      </c>
      <c r="C127" s="8" t="s">
        <v>133</v>
      </c>
      <c r="D127" s="8" t="s">
        <v>155</v>
      </c>
      <c r="E127" s="214" t="s">
        <v>912</v>
      </c>
      <c r="F127" s="8"/>
      <c r="G127" s="416">
        <f>G128</f>
        <v>80</v>
      </c>
      <c r="H127" s="21">
        <f t="shared" ref="H127:I129" si="68">H128</f>
        <v>60</v>
      </c>
      <c r="I127" s="21">
        <f t="shared" si="68"/>
        <v>60</v>
      </c>
      <c r="J127" s="212"/>
      <c r="K127" s="111"/>
      <c r="L127" s="111"/>
    </row>
    <row r="128" spans="1:12" s="230" customFormat="1" ht="15.75" x14ac:dyDescent="0.25">
      <c r="A128" s="45" t="s">
        <v>868</v>
      </c>
      <c r="B128" s="16">
        <v>902</v>
      </c>
      <c r="C128" s="9" t="s">
        <v>133</v>
      </c>
      <c r="D128" s="9" t="s">
        <v>155</v>
      </c>
      <c r="E128" s="5" t="s">
        <v>905</v>
      </c>
      <c r="F128" s="9"/>
      <c r="G128" s="415">
        <f>G129</f>
        <v>80</v>
      </c>
      <c r="H128" s="26">
        <f t="shared" si="68"/>
        <v>60</v>
      </c>
      <c r="I128" s="26">
        <f t="shared" si="68"/>
        <v>60</v>
      </c>
      <c r="J128" s="212"/>
      <c r="K128" s="111"/>
      <c r="L128" s="111"/>
    </row>
    <row r="129" spans="1:12" s="230" customFormat="1" ht="15.75" x14ac:dyDescent="0.25">
      <c r="A129" s="25" t="s">
        <v>146</v>
      </c>
      <c r="B129" s="16">
        <v>902</v>
      </c>
      <c r="C129" s="9" t="s">
        <v>133</v>
      </c>
      <c r="D129" s="9" t="s">
        <v>155</v>
      </c>
      <c r="E129" s="5" t="s">
        <v>905</v>
      </c>
      <c r="F129" s="9" t="s">
        <v>147</v>
      </c>
      <c r="G129" s="415">
        <f>G130</f>
        <v>80</v>
      </c>
      <c r="H129" s="26">
        <f t="shared" si="68"/>
        <v>60</v>
      </c>
      <c r="I129" s="26">
        <f t="shared" si="68"/>
        <v>60</v>
      </c>
      <c r="J129" s="212"/>
      <c r="K129" s="111"/>
      <c r="L129" s="111"/>
    </row>
    <row r="130" spans="1:12" s="230" customFormat="1" ht="31.5" x14ac:dyDescent="0.25">
      <c r="A130" s="25" t="s">
        <v>148</v>
      </c>
      <c r="B130" s="16">
        <v>902</v>
      </c>
      <c r="C130" s="9" t="s">
        <v>133</v>
      </c>
      <c r="D130" s="9" t="s">
        <v>155</v>
      </c>
      <c r="E130" s="5" t="s">
        <v>905</v>
      </c>
      <c r="F130" s="9" t="s">
        <v>149</v>
      </c>
      <c r="G130" s="415">
        <v>80</v>
      </c>
      <c r="H130" s="26">
        <v>60</v>
      </c>
      <c r="I130" s="26">
        <v>60</v>
      </c>
      <c r="J130" s="212"/>
      <c r="K130" s="111"/>
      <c r="L130" s="111"/>
    </row>
    <row r="131" spans="1:12" ht="15.75" hidden="1" customHeight="1" x14ac:dyDescent="0.25">
      <c r="A131" s="23" t="s">
        <v>227</v>
      </c>
      <c r="B131" s="19">
        <v>902</v>
      </c>
      <c r="C131" s="24" t="s">
        <v>228</v>
      </c>
      <c r="D131" s="24"/>
      <c r="E131" s="24"/>
      <c r="F131" s="24"/>
      <c r="G131" s="416">
        <f t="shared" ref="G131:I136" si="69">G132</f>
        <v>0</v>
      </c>
      <c r="H131" s="21">
        <f t="shared" si="69"/>
        <v>0</v>
      </c>
      <c r="I131" s="21">
        <f t="shared" si="69"/>
        <v>0</v>
      </c>
      <c r="L131" s="111"/>
    </row>
    <row r="132" spans="1:12" ht="20.25" hidden="1" customHeight="1" x14ac:dyDescent="0.25">
      <c r="A132" s="23" t="s">
        <v>233</v>
      </c>
      <c r="B132" s="19">
        <v>902</v>
      </c>
      <c r="C132" s="24" t="s">
        <v>228</v>
      </c>
      <c r="D132" s="24" t="s">
        <v>234</v>
      </c>
      <c r="E132" s="24"/>
      <c r="F132" s="24"/>
      <c r="G132" s="416">
        <f t="shared" si="69"/>
        <v>0</v>
      </c>
      <c r="H132" s="21">
        <f t="shared" si="69"/>
        <v>0</v>
      </c>
      <c r="I132" s="21">
        <f t="shared" si="69"/>
        <v>0</v>
      </c>
      <c r="L132" s="111"/>
    </row>
    <row r="133" spans="1:12" ht="15.75" hidden="1" customHeight="1" x14ac:dyDescent="0.25">
      <c r="A133" s="23" t="s">
        <v>156</v>
      </c>
      <c r="B133" s="19">
        <v>902</v>
      </c>
      <c r="C133" s="24" t="s">
        <v>228</v>
      </c>
      <c r="D133" s="24" t="s">
        <v>234</v>
      </c>
      <c r="E133" s="24" t="s">
        <v>914</v>
      </c>
      <c r="F133" s="24"/>
      <c r="G133" s="416">
        <f t="shared" si="69"/>
        <v>0</v>
      </c>
      <c r="H133" s="21">
        <f t="shared" si="69"/>
        <v>0</v>
      </c>
      <c r="I133" s="21">
        <f t="shared" si="69"/>
        <v>0</v>
      </c>
      <c r="L133" s="111"/>
    </row>
    <row r="134" spans="1:12" ht="33.75" hidden="1" customHeight="1" x14ac:dyDescent="0.25">
      <c r="A134" s="23" t="s">
        <v>918</v>
      </c>
      <c r="B134" s="19">
        <v>902</v>
      </c>
      <c r="C134" s="24" t="s">
        <v>228</v>
      </c>
      <c r="D134" s="24" t="s">
        <v>234</v>
      </c>
      <c r="E134" s="24" t="s">
        <v>913</v>
      </c>
      <c r="F134" s="24"/>
      <c r="G134" s="416">
        <f t="shared" si="69"/>
        <v>0</v>
      </c>
      <c r="H134" s="21">
        <f t="shared" si="69"/>
        <v>0</v>
      </c>
      <c r="I134" s="21">
        <f t="shared" si="69"/>
        <v>0</v>
      </c>
      <c r="L134" s="111"/>
    </row>
    <row r="135" spans="1:12" ht="15.75" hidden="1" customHeight="1" x14ac:dyDescent="0.25">
      <c r="A135" s="25" t="s">
        <v>235</v>
      </c>
      <c r="B135" s="16">
        <v>902</v>
      </c>
      <c r="C135" s="20" t="s">
        <v>228</v>
      </c>
      <c r="D135" s="20" t="s">
        <v>234</v>
      </c>
      <c r="E135" s="20" t="s">
        <v>919</v>
      </c>
      <c r="F135" s="20"/>
      <c r="G135" s="415">
        <f t="shared" si="69"/>
        <v>0</v>
      </c>
      <c r="H135" s="26">
        <f t="shared" si="69"/>
        <v>0</v>
      </c>
      <c r="I135" s="26">
        <f t="shared" si="69"/>
        <v>0</v>
      </c>
      <c r="L135" s="111"/>
    </row>
    <row r="136" spans="1:12" ht="33.75" hidden="1" customHeight="1" x14ac:dyDescent="0.25">
      <c r="A136" s="25" t="s">
        <v>213</v>
      </c>
      <c r="B136" s="16">
        <v>902</v>
      </c>
      <c r="C136" s="20" t="s">
        <v>228</v>
      </c>
      <c r="D136" s="20" t="s">
        <v>234</v>
      </c>
      <c r="E136" s="20" t="s">
        <v>919</v>
      </c>
      <c r="F136" s="20" t="s">
        <v>147</v>
      </c>
      <c r="G136" s="415">
        <f t="shared" si="69"/>
        <v>0</v>
      </c>
      <c r="H136" s="26">
        <f t="shared" si="69"/>
        <v>0</v>
      </c>
      <c r="I136" s="26">
        <f t="shared" si="69"/>
        <v>0</v>
      </c>
      <c r="L136" s="111"/>
    </row>
    <row r="137" spans="1:12" ht="40.5" hidden="1" customHeight="1" x14ac:dyDescent="0.25">
      <c r="A137" s="25" t="s">
        <v>148</v>
      </c>
      <c r="B137" s="16">
        <v>902</v>
      </c>
      <c r="C137" s="20" t="s">
        <v>228</v>
      </c>
      <c r="D137" s="20" t="s">
        <v>234</v>
      </c>
      <c r="E137" s="20" t="s">
        <v>919</v>
      </c>
      <c r="F137" s="20" t="s">
        <v>149</v>
      </c>
      <c r="G137" s="419">
        <v>0</v>
      </c>
      <c r="H137" s="27">
        <v>0</v>
      </c>
      <c r="I137" s="27">
        <v>0</v>
      </c>
      <c r="L137" s="111"/>
    </row>
    <row r="138" spans="1:12" ht="15.75" x14ac:dyDescent="0.25">
      <c r="A138" s="23" t="s">
        <v>237</v>
      </c>
      <c r="B138" s="19">
        <v>902</v>
      </c>
      <c r="C138" s="24" t="s">
        <v>230</v>
      </c>
      <c r="D138" s="24"/>
      <c r="E138" s="24"/>
      <c r="F138" s="24"/>
      <c r="G138" s="416">
        <f>G139</f>
        <v>7922</v>
      </c>
      <c r="H138" s="21">
        <f t="shared" ref="H138:I139" si="70">H139</f>
        <v>8309.9</v>
      </c>
      <c r="I138" s="21">
        <f t="shared" si="70"/>
        <v>8309.9</v>
      </c>
      <c r="L138" s="111"/>
    </row>
    <row r="139" spans="1:12" ht="47.25" customHeight="1" x14ac:dyDescent="0.25">
      <c r="A139" s="23" t="s">
        <v>238</v>
      </c>
      <c r="B139" s="19">
        <v>902</v>
      </c>
      <c r="C139" s="24" t="s">
        <v>230</v>
      </c>
      <c r="D139" s="24" t="s">
        <v>234</v>
      </c>
      <c r="E139" s="20"/>
      <c r="F139" s="20"/>
      <c r="G139" s="416">
        <f>G140</f>
        <v>7922</v>
      </c>
      <c r="H139" s="21">
        <f t="shared" si="70"/>
        <v>8309.9</v>
      </c>
      <c r="I139" s="21">
        <f t="shared" si="70"/>
        <v>8309.9</v>
      </c>
      <c r="L139" s="111"/>
    </row>
    <row r="140" spans="1:12" ht="15.75" x14ac:dyDescent="0.25">
      <c r="A140" s="23" t="s">
        <v>156</v>
      </c>
      <c r="B140" s="19">
        <v>902</v>
      </c>
      <c r="C140" s="24" t="s">
        <v>230</v>
      </c>
      <c r="D140" s="24" t="s">
        <v>234</v>
      </c>
      <c r="E140" s="24" t="s">
        <v>914</v>
      </c>
      <c r="F140" s="24"/>
      <c r="G140" s="416">
        <f>G141+G148</f>
        <v>7922</v>
      </c>
      <c r="H140" s="21">
        <f t="shared" ref="H140:I140" si="71">H141+H148</f>
        <v>8309.9</v>
      </c>
      <c r="I140" s="21">
        <f t="shared" si="71"/>
        <v>8309.9</v>
      </c>
      <c r="L140" s="111"/>
    </row>
    <row r="141" spans="1:12" s="230" customFormat="1" ht="31.5" x14ac:dyDescent="0.25">
      <c r="A141" s="23" t="s">
        <v>918</v>
      </c>
      <c r="B141" s="19">
        <v>902</v>
      </c>
      <c r="C141" s="24" t="s">
        <v>230</v>
      </c>
      <c r="D141" s="24" t="s">
        <v>234</v>
      </c>
      <c r="E141" s="24" t="s">
        <v>913</v>
      </c>
      <c r="F141" s="24"/>
      <c r="G141" s="416">
        <f>G142+G145</f>
        <v>1982</v>
      </c>
      <c r="H141" s="21">
        <f t="shared" ref="H141:I141" si="72">H142+H145</f>
        <v>2250.5</v>
      </c>
      <c r="I141" s="21">
        <f t="shared" si="72"/>
        <v>2250.5</v>
      </c>
      <c r="J141" s="212"/>
      <c r="K141" s="111"/>
      <c r="L141" s="111"/>
    </row>
    <row r="142" spans="1:12" s="230" customFormat="1" ht="31.5" x14ac:dyDescent="0.25">
      <c r="A142" s="25" t="s">
        <v>239</v>
      </c>
      <c r="B142" s="16">
        <v>902</v>
      </c>
      <c r="C142" s="20" t="s">
        <v>230</v>
      </c>
      <c r="D142" s="20" t="s">
        <v>234</v>
      </c>
      <c r="E142" s="20" t="s">
        <v>923</v>
      </c>
      <c r="F142" s="20"/>
      <c r="G142" s="415">
        <f>G143</f>
        <v>1785</v>
      </c>
      <c r="H142" s="26">
        <f t="shared" ref="H142:I143" si="73">H143</f>
        <v>2053.5</v>
      </c>
      <c r="I142" s="26">
        <f t="shared" si="73"/>
        <v>2053.5</v>
      </c>
      <c r="J142" s="212"/>
      <c r="K142" s="111"/>
      <c r="L142" s="111"/>
    </row>
    <row r="143" spans="1:12" s="230" customFormat="1" ht="31.5" x14ac:dyDescent="0.25">
      <c r="A143" s="25" t="s">
        <v>213</v>
      </c>
      <c r="B143" s="16">
        <v>902</v>
      </c>
      <c r="C143" s="20" t="s">
        <v>230</v>
      </c>
      <c r="D143" s="20" t="s">
        <v>234</v>
      </c>
      <c r="E143" s="20" t="s">
        <v>923</v>
      </c>
      <c r="F143" s="20" t="s">
        <v>147</v>
      </c>
      <c r="G143" s="415">
        <f>G144</f>
        <v>1785</v>
      </c>
      <c r="H143" s="26">
        <f t="shared" si="73"/>
        <v>2053.5</v>
      </c>
      <c r="I143" s="26">
        <f t="shared" si="73"/>
        <v>2053.5</v>
      </c>
      <c r="J143" s="212"/>
      <c r="K143" s="111"/>
      <c r="L143" s="111"/>
    </row>
    <row r="144" spans="1:12" s="230" customFormat="1" ht="31.5" x14ac:dyDescent="0.25">
      <c r="A144" s="25" t="s">
        <v>148</v>
      </c>
      <c r="B144" s="16">
        <v>902</v>
      </c>
      <c r="C144" s="20" t="s">
        <v>230</v>
      </c>
      <c r="D144" s="20" t="s">
        <v>234</v>
      </c>
      <c r="E144" s="20" t="s">
        <v>923</v>
      </c>
      <c r="F144" s="20" t="s">
        <v>149</v>
      </c>
      <c r="G144" s="421">
        <v>1785</v>
      </c>
      <c r="H144" s="355">
        <v>2053.5</v>
      </c>
      <c r="I144" s="355">
        <v>2053.5</v>
      </c>
      <c r="J144" s="212"/>
      <c r="K144" s="111"/>
      <c r="L144" s="111"/>
    </row>
    <row r="145" spans="1:13" s="230" customFormat="1" ht="15.75" x14ac:dyDescent="0.25">
      <c r="A145" s="25" t="s">
        <v>245</v>
      </c>
      <c r="B145" s="16">
        <v>902</v>
      </c>
      <c r="C145" s="20" t="s">
        <v>230</v>
      </c>
      <c r="D145" s="20" t="s">
        <v>234</v>
      </c>
      <c r="E145" s="20" t="s">
        <v>924</v>
      </c>
      <c r="F145" s="20"/>
      <c r="G145" s="419">
        <f>G146</f>
        <v>197</v>
      </c>
      <c r="H145" s="27">
        <f t="shared" ref="H145:I146" si="74">H146</f>
        <v>197</v>
      </c>
      <c r="I145" s="27">
        <f t="shared" si="74"/>
        <v>197</v>
      </c>
      <c r="J145" s="212"/>
      <c r="K145" s="111"/>
      <c r="L145" s="111"/>
    </row>
    <row r="146" spans="1:13" s="230" customFormat="1" ht="31.5" x14ac:dyDescent="0.25">
      <c r="A146" s="25" t="s">
        <v>213</v>
      </c>
      <c r="B146" s="16">
        <v>902</v>
      </c>
      <c r="C146" s="20" t="s">
        <v>230</v>
      </c>
      <c r="D146" s="20" t="s">
        <v>234</v>
      </c>
      <c r="E146" s="20" t="s">
        <v>924</v>
      </c>
      <c r="F146" s="20" t="s">
        <v>147</v>
      </c>
      <c r="G146" s="419">
        <f>G147</f>
        <v>197</v>
      </c>
      <c r="H146" s="27">
        <f t="shared" si="74"/>
        <v>197</v>
      </c>
      <c r="I146" s="27">
        <f t="shared" si="74"/>
        <v>197</v>
      </c>
      <c r="J146" s="212"/>
      <c r="K146" s="111"/>
      <c r="L146" s="111"/>
    </row>
    <row r="147" spans="1:13" s="230" customFormat="1" ht="31.5" x14ac:dyDescent="0.25">
      <c r="A147" s="25" t="s">
        <v>148</v>
      </c>
      <c r="B147" s="16">
        <v>902</v>
      </c>
      <c r="C147" s="20" t="s">
        <v>230</v>
      </c>
      <c r="D147" s="20" t="s">
        <v>234</v>
      </c>
      <c r="E147" s="20" t="s">
        <v>924</v>
      </c>
      <c r="F147" s="20" t="s">
        <v>149</v>
      </c>
      <c r="G147" s="419">
        <f>99+98</f>
        <v>197</v>
      </c>
      <c r="H147" s="27">
        <f t="shared" ref="H147:I147" si="75">99+98</f>
        <v>197</v>
      </c>
      <c r="I147" s="27">
        <f t="shared" si="75"/>
        <v>197</v>
      </c>
      <c r="J147" s="212"/>
      <c r="K147" s="111"/>
      <c r="L147" s="111"/>
    </row>
    <row r="148" spans="1:13" s="230" customFormat="1" ht="34.5" customHeight="1" x14ac:dyDescent="0.25">
      <c r="A148" s="23" t="s">
        <v>1000</v>
      </c>
      <c r="B148" s="19">
        <v>902</v>
      </c>
      <c r="C148" s="24" t="s">
        <v>230</v>
      </c>
      <c r="D148" s="24" t="s">
        <v>234</v>
      </c>
      <c r="E148" s="24" t="s">
        <v>920</v>
      </c>
      <c r="F148" s="24"/>
      <c r="G148" s="416">
        <f>G149+G154</f>
        <v>5940</v>
      </c>
      <c r="H148" s="21">
        <f t="shared" ref="H148:I148" si="76">H149+H154</f>
        <v>6059.4</v>
      </c>
      <c r="I148" s="21">
        <f t="shared" si="76"/>
        <v>6059.4</v>
      </c>
      <c r="J148" s="212"/>
      <c r="K148" s="111"/>
      <c r="L148" s="111"/>
    </row>
    <row r="149" spans="1:13" s="230" customFormat="1" ht="31.5" x14ac:dyDescent="0.25">
      <c r="A149" s="25" t="s">
        <v>1004</v>
      </c>
      <c r="B149" s="16">
        <v>902</v>
      </c>
      <c r="C149" s="20" t="s">
        <v>230</v>
      </c>
      <c r="D149" s="20" t="s">
        <v>234</v>
      </c>
      <c r="E149" s="20" t="s">
        <v>921</v>
      </c>
      <c r="F149" s="20"/>
      <c r="G149" s="415">
        <f>G150+G152</f>
        <v>5688</v>
      </c>
      <c r="H149" s="26">
        <f t="shared" ref="H149:I149" si="77">H150+H152</f>
        <v>6059.4</v>
      </c>
      <c r="I149" s="26">
        <f t="shared" si="77"/>
        <v>6059.4</v>
      </c>
      <c r="J149" s="212"/>
      <c r="K149" s="111"/>
      <c r="L149" s="111"/>
    </row>
    <row r="150" spans="1:13" s="230" customFormat="1" ht="47.25" x14ac:dyDescent="0.25">
      <c r="A150" s="25" t="s">
        <v>142</v>
      </c>
      <c r="B150" s="16">
        <v>902</v>
      </c>
      <c r="C150" s="20" t="s">
        <v>230</v>
      </c>
      <c r="D150" s="20" t="s">
        <v>234</v>
      </c>
      <c r="E150" s="20" t="s">
        <v>921</v>
      </c>
      <c r="F150" s="20" t="s">
        <v>143</v>
      </c>
      <c r="G150" s="415">
        <f>G151</f>
        <v>5525</v>
      </c>
      <c r="H150" s="26">
        <f t="shared" ref="H150:I150" si="78">H151</f>
        <v>4817.5</v>
      </c>
      <c r="I150" s="26">
        <f t="shared" si="78"/>
        <v>4817.5</v>
      </c>
      <c r="J150" s="212"/>
      <c r="K150" s="111"/>
      <c r="L150" s="111"/>
    </row>
    <row r="151" spans="1:13" s="230" customFormat="1" ht="15.75" x14ac:dyDescent="0.25">
      <c r="A151" s="25" t="s">
        <v>223</v>
      </c>
      <c r="B151" s="16">
        <v>902</v>
      </c>
      <c r="C151" s="20" t="s">
        <v>230</v>
      </c>
      <c r="D151" s="20" t="s">
        <v>234</v>
      </c>
      <c r="E151" s="20" t="s">
        <v>921</v>
      </c>
      <c r="F151" s="20" t="s">
        <v>224</v>
      </c>
      <c r="G151" s="419">
        <v>5525</v>
      </c>
      <c r="H151" s="27">
        <f t="shared" ref="H151:I151" si="79">4620+142.6-241.1+11.1+284.9</f>
        <v>4817.5</v>
      </c>
      <c r="I151" s="27">
        <f t="shared" si="79"/>
        <v>4817.5</v>
      </c>
      <c r="J151" s="212" t="s">
        <v>888</v>
      </c>
      <c r="K151" s="111"/>
      <c r="L151" s="332">
        <v>5525</v>
      </c>
      <c r="M151" s="230" t="s">
        <v>1392</v>
      </c>
    </row>
    <row r="152" spans="1:13" s="230" customFormat="1" ht="31.5" x14ac:dyDescent="0.25">
      <c r="A152" s="25" t="s">
        <v>213</v>
      </c>
      <c r="B152" s="16">
        <v>902</v>
      </c>
      <c r="C152" s="20" t="s">
        <v>230</v>
      </c>
      <c r="D152" s="20" t="s">
        <v>234</v>
      </c>
      <c r="E152" s="20" t="s">
        <v>921</v>
      </c>
      <c r="F152" s="20" t="s">
        <v>147</v>
      </c>
      <c r="G152" s="415">
        <f>G153</f>
        <v>163</v>
      </c>
      <c r="H152" s="26">
        <f t="shared" ref="H152:I152" si="80">H153</f>
        <v>1241.9000000000001</v>
      </c>
      <c r="I152" s="26">
        <f t="shared" si="80"/>
        <v>1241.9000000000001</v>
      </c>
      <c r="J152" s="212"/>
      <c r="K152" s="111"/>
      <c r="L152" s="111"/>
    </row>
    <row r="153" spans="1:13" s="230" customFormat="1" ht="31.5" x14ac:dyDescent="0.25">
      <c r="A153" s="25" t="s">
        <v>148</v>
      </c>
      <c r="B153" s="16">
        <v>902</v>
      </c>
      <c r="C153" s="20" t="s">
        <v>230</v>
      </c>
      <c r="D153" s="20" t="s">
        <v>234</v>
      </c>
      <c r="E153" s="20" t="s">
        <v>921</v>
      </c>
      <c r="F153" s="20" t="s">
        <v>149</v>
      </c>
      <c r="G153" s="419">
        <v>163</v>
      </c>
      <c r="H153" s="27">
        <f t="shared" ref="H153:I153" si="81">3101-1859.1</f>
        <v>1241.9000000000001</v>
      </c>
      <c r="I153" s="27">
        <f t="shared" si="81"/>
        <v>1241.9000000000001</v>
      </c>
      <c r="J153" s="212"/>
      <c r="K153" s="111"/>
      <c r="L153" s="111"/>
    </row>
    <row r="154" spans="1:13" s="230" customFormat="1" ht="31.5" x14ac:dyDescent="0.25">
      <c r="A154" s="25" t="s">
        <v>886</v>
      </c>
      <c r="B154" s="16">
        <v>902</v>
      </c>
      <c r="C154" s="20" t="s">
        <v>230</v>
      </c>
      <c r="D154" s="20" t="s">
        <v>234</v>
      </c>
      <c r="E154" s="20" t="s">
        <v>922</v>
      </c>
      <c r="F154" s="20"/>
      <c r="G154" s="415">
        <f>G155</f>
        <v>252</v>
      </c>
      <c r="H154" s="26">
        <f t="shared" ref="H154:I155" si="82">H155</f>
        <v>0</v>
      </c>
      <c r="I154" s="26">
        <f t="shared" si="82"/>
        <v>0</v>
      </c>
      <c r="J154" s="212"/>
      <c r="K154" s="111"/>
      <c r="L154" s="111"/>
    </row>
    <row r="155" spans="1:13" s="230" customFormat="1" ht="47.25" x14ac:dyDescent="0.25">
      <c r="A155" s="25" t="s">
        <v>142</v>
      </c>
      <c r="B155" s="16">
        <v>902</v>
      </c>
      <c r="C155" s="20" t="s">
        <v>230</v>
      </c>
      <c r="D155" s="20" t="s">
        <v>234</v>
      </c>
      <c r="E155" s="20" t="s">
        <v>922</v>
      </c>
      <c r="F155" s="20" t="s">
        <v>143</v>
      </c>
      <c r="G155" s="415">
        <f>G156</f>
        <v>252</v>
      </c>
      <c r="H155" s="26">
        <f t="shared" si="82"/>
        <v>0</v>
      </c>
      <c r="I155" s="26">
        <f t="shared" si="82"/>
        <v>0</v>
      </c>
      <c r="J155" s="212"/>
      <c r="K155" s="111"/>
      <c r="L155" s="111"/>
    </row>
    <row r="156" spans="1:13" s="230" customFormat="1" ht="15.75" x14ac:dyDescent="0.25">
      <c r="A156" s="25" t="s">
        <v>223</v>
      </c>
      <c r="B156" s="16">
        <v>902</v>
      </c>
      <c r="C156" s="20" t="s">
        <v>230</v>
      </c>
      <c r="D156" s="20" t="s">
        <v>234</v>
      </c>
      <c r="E156" s="20" t="s">
        <v>922</v>
      </c>
      <c r="F156" s="20" t="s">
        <v>224</v>
      </c>
      <c r="G156" s="415">
        <v>252</v>
      </c>
      <c r="H156" s="26"/>
      <c r="I156" s="26"/>
      <c r="J156" s="212"/>
      <c r="K156" s="111"/>
      <c r="L156" s="111"/>
    </row>
    <row r="157" spans="1:13" ht="15.75" x14ac:dyDescent="0.25">
      <c r="A157" s="23" t="s">
        <v>247</v>
      </c>
      <c r="B157" s="19">
        <v>902</v>
      </c>
      <c r="C157" s="24" t="s">
        <v>165</v>
      </c>
      <c r="D157" s="24"/>
      <c r="E157" s="24"/>
      <c r="F157" s="20"/>
      <c r="G157" s="416">
        <f>G171+G158</f>
        <v>594.79999999999995</v>
      </c>
      <c r="H157" s="21">
        <f t="shared" ref="H157:I157" si="83">H171+H158</f>
        <v>1256.3</v>
      </c>
      <c r="I157" s="21">
        <f t="shared" si="83"/>
        <v>1256.3</v>
      </c>
      <c r="L157" s="111"/>
    </row>
    <row r="158" spans="1:13" ht="15.75" x14ac:dyDescent="0.25">
      <c r="A158" s="23" t="s">
        <v>248</v>
      </c>
      <c r="B158" s="19">
        <v>902</v>
      </c>
      <c r="C158" s="24" t="s">
        <v>165</v>
      </c>
      <c r="D158" s="24" t="s">
        <v>249</v>
      </c>
      <c r="E158" s="24"/>
      <c r="F158" s="20"/>
      <c r="G158" s="416">
        <f>G159</f>
        <v>306</v>
      </c>
      <c r="H158" s="21">
        <f t="shared" ref="H158:I158" si="84">H159</f>
        <v>355</v>
      </c>
      <c r="I158" s="21">
        <f t="shared" si="84"/>
        <v>355</v>
      </c>
      <c r="L158" s="111"/>
    </row>
    <row r="159" spans="1:13" ht="45" customHeight="1" x14ac:dyDescent="0.25">
      <c r="A159" s="34" t="s">
        <v>196</v>
      </c>
      <c r="B159" s="19">
        <v>902</v>
      </c>
      <c r="C159" s="24" t="s">
        <v>165</v>
      </c>
      <c r="D159" s="24" t="s">
        <v>249</v>
      </c>
      <c r="E159" s="214" t="s">
        <v>197</v>
      </c>
      <c r="F159" s="285"/>
      <c r="G159" s="416">
        <f>G160+G167</f>
        <v>306</v>
      </c>
      <c r="H159" s="21">
        <f t="shared" ref="H159:I159" si="85">H160+H167</f>
        <v>355</v>
      </c>
      <c r="I159" s="21">
        <f t="shared" si="85"/>
        <v>355</v>
      </c>
      <c r="L159" s="111"/>
    </row>
    <row r="160" spans="1:13" s="230" customFormat="1" ht="35.25" customHeight="1" x14ac:dyDescent="0.25">
      <c r="A160" s="34" t="s">
        <v>1165</v>
      </c>
      <c r="B160" s="19">
        <v>902</v>
      </c>
      <c r="C160" s="24" t="s">
        <v>165</v>
      </c>
      <c r="D160" s="24" t="s">
        <v>249</v>
      </c>
      <c r="E160" s="350" t="s">
        <v>925</v>
      </c>
      <c r="F160" s="285"/>
      <c r="G160" s="416">
        <f>G161+G164</f>
        <v>256</v>
      </c>
      <c r="H160" s="21">
        <f t="shared" ref="H160:I160" si="86">H161+H164</f>
        <v>256</v>
      </c>
      <c r="I160" s="21">
        <f t="shared" si="86"/>
        <v>256</v>
      </c>
      <c r="J160" s="212"/>
      <c r="K160" s="111"/>
      <c r="L160" s="111"/>
    </row>
    <row r="161" spans="1:12" ht="15.75" x14ac:dyDescent="0.25">
      <c r="A161" s="25" t="s">
        <v>926</v>
      </c>
      <c r="B161" s="16">
        <v>902</v>
      </c>
      <c r="C161" s="20" t="s">
        <v>165</v>
      </c>
      <c r="D161" s="20" t="s">
        <v>249</v>
      </c>
      <c r="E161" s="20" t="s">
        <v>970</v>
      </c>
      <c r="F161" s="32"/>
      <c r="G161" s="415">
        <f>G162</f>
        <v>1</v>
      </c>
      <c r="H161" s="26">
        <f t="shared" ref="H161:I162" si="87">H162</f>
        <v>1</v>
      </c>
      <c r="I161" s="26">
        <f t="shared" si="87"/>
        <v>1</v>
      </c>
      <c r="L161" s="111"/>
    </row>
    <row r="162" spans="1:12" ht="15.75" x14ac:dyDescent="0.25">
      <c r="A162" s="29" t="s">
        <v>150</v>
      </c>
      <c r="B162" s="16">
        <v>902</v>
      </c>
      <c r="C162" s="20" t="s">
        <v>165</v>
      </c>
      <c r="D162" s="20" t="s">
        <v>249</v>
      </c>
      <c r="E162" s="20" t="s">
        <v>970</v>
      </c>
      <c r="F162" s="32" t="s">
        <v>160</v>
      </c>
      <c r="G162" s="415">
        <f>G163</f>
        <v>1</v>
      </c>
      <c r="H162" s="26">
        <f t="shared" si="87"/>
        <v>1</v>
      </c>
      <c r="I162" s="26">
        <f t="shared" si="87"/>
        <v>1</v>
      </c>
      <c r="L162" s="111"/>
    </row>
    <row r="163" spans="1:12" ht="31.5" x14ac:dyDescent="0.25">
      <c r="A163" s="29" t="s">
        <v>199</v>
      </c>
      <c r="B163" s="16">
        <v>902</v>
      </c>
      <c r="C163" s="20" t="s">
        <v>165</v>
      </c>
      <c r="D163" s="20" t="s">
        <v>249</v>
      </c>
      <c r="E163" s="20" t="s">
        <v>970</v>
      </c>
      <c r="F163" s="32" t="s">
        <v>175</v>
      </c>
      <c r="G163" s="415">
        <v>1</v>
      </c>
      <c r="H163" s="26">
        <v>1</v>
      </c>
      <c r="I163" s="26">
        <v>1</v>
      </c>
      <c r="J163" s="240"/>
      <c r="L163" s="111"/>
    </row>
    <row r="164" spans="1:12" s="230" customFormat="1" ht="15.75" x14ac:dyDescent="0.25">
      <c r="A164" s="25" t="s">
        <v>250</v>
      </c>
      <c r="B164" s="16">
        <v>902</v>
      </c>
      <c r="C164" s="20" t="s">
        <v>165</v>
      </c>
      <c r="D164" s="20" t="s">
        <v>249</v>
      </c>
      <c r="E164" s="20" t="s">
        <v>929</v>
      </c>
      <c r="F164" s="20"/>
      <c r="G164" s="415">
        <f>G165</f>
        <v>255</v>
      </c>
      <c r="H164" s="26">
        <f t="shared" ref="H164:I165" si="88">H165</f>
        <v>255</v>
      </c>
      <c r="I164" s="26">
        <f t="shared" si="88"/>
        <v>255</v>
      </c>
      <c r="J164" s="249"/>
      <c r="K164" s="111"/>
      <c r="L164" s="111"/>
    </row>
    <row r="165" spans="1:12" s="230" customFormat="1" ht="15.75" x14ac:dyDescent="0.25">
      <c r="A165" s="25" t="s">
        <v>150</v>
      </c>
      <c r="B165" s="16">
        <v>902</v>
      </c>
      <c r="C165" s="20" t="s">
        <v>165</v>
      </c>
      <c r="D165" s="20" t="s">
        <v>249</v>
      </c>
      <c r="E165" s="20" t="s">
        <v>929</v>
      </c>
      <c r="F165" s="20" t="s">
        <v>160</v>
      </c>
      <c r="G165" s="415">
        <f>G166</f>
        <v>255</v>
      </c>
      <c r="H165" s="26">
        <f t="shared" si="88"/>
        <v>255</v>
      </c>
      <c r="I165" s="26">
        <f t="shared" si="88"/>
        <v>255</v>
      </c>
      <c r="J165" s="249"/>
      <c r="K165" s="111"/>
      <c r="L165" s="111"/>
    </row>
    <row r="166" spans="1:12" s="230" customFormat="1" ht="31.5" x14ac:dyDescent="0.25">
      <c r="A166" s="25" t="s">
        <v>199</v>
      </c>
      <c r="B166" s="16">
        <v>902</v>
      </c>
      <c r="C166" s="20" t="s">
        <v>165</v>
      </c>
      <c r="D166" s="20" t="s">
        <v>249</v>
      </c>
      <c r="E166" s="20" t="s">
        <v>929</v>
      </c>
      <c r="F166" s="20" t="s">
        <v>175</v>
      </c>
      <c r="G166" s="415">
        <v>255</v>
      </c>
      <c r="H166" s="26">
        <f>G166</f>
        <v>255</v>
      </c>
      <c r="I166" s="26">
        <f>H166</f>
        <v>255</v>
      </c>
      <c r="J166" s="249"/>
      <c r="K166" s="111"/>
      <c r="L166" s="111"/>
    </row>
    <row r="167" spans="1:12" s="230" customFormat="1" ht="31.5" x14ac:dyDescent="0.25">
      <c r="A167" s="342" t="s">
        <v>1166</v>
      </c>
      <c r="B167" s="19">
        <v>902</v>
      </c>
      <c r="C167" s="24" t="s">
        <v>165</v>
      </c>
      <c r="D167" s="24" t="s">
        <v>249</v>
      </c>
      <c r="E167" s="214" t="s">
        <v>928</v>
      </c>
      <c r="F167" s="285"/>
      <c r="G167" s="416">
        <f>G168</f>
        <v>50</v>
      </c>
      <c r="H167" s="21">
        <f t="shared" ref="H167:I169" si="89">H168</f>
        <v>99</v>
      </c>
      <c r="I167" s="21">
        <f t="shared" si="89"/>
        <v>99</v>
      </c>
      <c r="J167" s="249"/>
      <c r="K167" s="111"/>
      <c r="L167" s="111"/>
    </row>
    <row r="168" spans="1:12" s="230" customFormat="1" ht="15.75" x14ac:dyDescent="0.25">
      <c r="A168" s="25" t="s">
        <v>927</v>
      </c>
      <c r="B168" s="16">
        <v>902</v>
      </c>
      <c r="C168" s="20" t="s">
        <v>165</v>
      </c>
      <c r="D168" s="20" t="s">
        <v>249</v>
      </c>
      <c r="E168" s="5" t="s">
        <v>971</v>
      </c>
      <c r="F168" s="32"/>
      <c r="G168" s="415">
        <f>G169</f>
        <v>50</v>
      </c>
      <c r="H168" s="26">
        <f t="shared" si="89"/>
        <v>99</v>
      </c>
      <c r="I168" s="26">
        <f t="shared" si="89"/>
        <v>99</v>
      </c>
      <c r="J168" s="249"/>
      <c r="K168" s="111"/>
      <c r="L168" s="111"/>
    </row>
    <row r="169" spans="1:12" s="230" customFormat="1" ht="15.75" x14ac:dyDescent="0.25">
      <c r="A169" s="29" t="s">
        <v>150</v>
      </c>
      <c r="B169" s="16">
        <v>902</v>
      </c>
      <c r="C169" s="20" t="s">
        <v>165</v>
      </c>
      <c r="D169" s="20" t="s">
        <v>249</v>
      </c>
      <c r="E169" s="5" t="s">
        <v>971</v>
      </c>
      <c r="F169" s="32" t="s">
        <v>160</v>
      </c>
      <c r="G169" s="415">
        <f>G170</f>
        <v>50</v>
      </c>
      <c r="H169" s="26">
        <f t="shared" si="89"/>
        <v>99</v>
      </c>
      <c r="I169" s="26">
        <f t="shared" si="89"/>
        <v>99</v>
      </c>
      <c r="J169" s="249"/>
      <c r="K169" s="111"/>
      <c r="L169" s="111"/>
    </row>
    <row r="170" spans="1:12" s="230" customFormat="1" ht="31.5" x14ac:dyDescent="0.25">
      <c r="A170" s="29" t="s">
        <v>199</v>
      </c>
      <c r="B170" s="16">
        <v>902</v>
      </c>
      <c r="C170" s="20" t="s">
        <v>165</v>
      </c>
      <c r="D170" s="20" t="s">
        <v>249</v>
      </c>
      <c r="E170" s="5" t="s">
        <v>971</v>
      </c>
      <c r="F170" s="32" t="s">
        <v>175</v>
      </c>
      <c r="G170" s="415">
        <v>50</v>
      </c>
      <c r="H170" s="26">
        <v>99</v>
      </c>
      <c r="I170" s="26">
        <v>99</v>
      </c>
      <c r="J170" s="249"/>
      <c r="K170" s="111"/>
      <c r="L170" s="111"/>
    </row>
    <row r="171" spans="1:12" ht="15.75" x14ac:dyDescent="0.25">
      <c r="A171" s="23" t="s">
        <v>252</v>
      </c>
      <c r="B171" s="19">
        <v>902</v>
      </c>
      <c r="C171" s="24" t="s">
        <v>165</v>
      </c>
      <c r="D171" s="24" t="s">
        <v>253</v>
      </c>
      <c r="E171" s="24"/>
      <c r="F171" s="24"/>
      <c r="G171" s="416">
        <f>G172+G179</f>
        <v>288.8</v>
      </c>
      <c r="H171" s="21">
        <f t="shared" ref="H171:I171" si="90">H172+H179</f>
        <v>901.3</v>
      </c>
      <c r="I171" s="21">
        <f t="shared" si="90"/>
        <v>901.3</v>
      </c>
      <c r="L171" s="111"/>
    </row>
    <row r="172" spans="1:12" ht="15.75" x14ac:dyDescent="0.25">
      <c r="A172" s="23" t="s">
        <v>992</v>
      </c>
      <c r="B172" s="19">
        <v>902</v>
      </c>
      <c r="C172" s="24" t="s">
        <v>165</v>
      </c>
      <c r="D172" s="24" t="s">
        <v>253</v>
      </c>
      <c r="E172" s="24" t="s">
        <v>906</v>
      </c>
      <c r="F172" s="24"/>
      <c r="G172" s="416">
        <f>G173</f>
        <v>288.8</v>
      </c>
      <c r="H172" s="21">
        <f t="shared" ref="H172:I172" si="91">H173</f>
        <v>901.3</v>
      </c>
      <c r="I172" s="21">
        <f t="shared" si="91"/>
        <v>901.3</v>
      </c>
      <c r="L172" s="111"/>
    </row>
    <row r="173" spans="1:12" ht="31.5" x14ac:dyDescent="0.25">
      <c r="A173" s="23" t="s">
        <v>934</v>
      </c>
      <c r="B173" s="19">
        <v>902</v>
      </c>
      <c r="C173" s="24" t="s">
        <v>165</v>
      </c>
      <c r="D173" s="24" t="s">
        <v>253</v>
      </c>
      <c r="E173" s="24" t="s">
        <v>911</v>
      </c>
      <c r="F173" s="24"/>
      <c r="G173" s="416">
        <f>G174+G184</f>
        <v>288.8</v>
      </c>
      <c r="H173" s="21">
        <f t="shared" ref="H173:I173" si="92">H174+H184</f>
        <v>901.3</v>
      </c>
      <c r="I173" s="21">
        <f t="shared" si="92"/>
        <v>901.3</v>
      </c>
      <c r="L173" s="111"/>
    </row>
    <row r="174" spans="1:12" ht="69.75" customHeight="1" x14ac:dyDescent="0.25">
      <c r="A174" s="31" t="s">
        <v>256</v>
      </c>
      <c r="B174" s="16">
        <v>902</v>
      </c>
      <c r="C174" s="20" t="s">
        <v>165</v>
      </c>
      <c r="D174" s="20" t="s">
        <v>253</v>
      </c>
      <c r="E174" s="20" t="s">
        <v>1001</v>
      </c>
      <c r="F174" s="20"/>
      <c r="G174" s="415">
        <f>G175+G177</f>
        <v>288.8</v>
      </c>
      <c r="H174" s="26">
        <f t="shared" ref="H174:I174" si="93">H175+H177</f>
        <v>901.3</v>
      </c>
      <c r="I174" s="26">
        <f t="shared" si="93"/>
        <v>901.3</v>
      </c>
      <c r="J174" s="242"/>
      <c r="L174" s="111"/>
    </row>
    <row r="175" spans="1:12" ht="47.25" x14ac:dyDescent="0.25">
      <c r="A175" s="25" t="s">
        <v>142</v>
      </c>
      <c r="B175" s="16">
        <v>902</v>
      </c>
      <c r="C175" s="20" t="s">
        <v>165</v>
      </c>
      <c r="D175" s="20" t="s">
        <v>253</v>
      </c>
      <c r="E175" s="20" t="s">
        <v>1001</v>
      </c>
      <c r="F175" s="20" t="s">
        <v>143</v>
      </c>
      <c r="G175" s="415">
        <f>G176</f>
        <v>187</v>
      </c>
      <c r="H175" s="26">
        <f t="shared" ref="H175:I175" si="94">H176</f>
        <v>689.3599999999999</v>
      </c>
      <c r="I175" s="26">
        <f t="shared" si="94"/>
        <v>689.3599999999999</v>
      </c>
      <c r="L175" s="111"/>
    </row>
    <row r="176" spans="1:12" ht="15.75" x14ac:dyDescent="0.25">
      <c r="A176" s="25" t="s">
        <v>144</v>
      </c>
      <c r="B176" s="16">
        <v>902</v>
      </c>
      <c r="C176" s="20" t="s">
        <v>165</v>
      </c>
      <c r="D176" s="20" t="s">
        <v>253</v>
      </c>
      <c r="E176" s="20" t="s">
        <v>1001</v>
      </c>
      <c r="F176" s="20" t="s">
        <v>145</v>
      </c>
      <c r="G176" s="415">
        <v>187</v>
      </c>
      <c r="H176" s="26">
        <f t="shared" ref="H176:I176" si="95">901.3-361.1+239.5-90.34</f>
        <v>689.3599999999999</v>
      </c>
      <c r="I176" s="26">
        <f t="shared" si="95"/>
        <v>689.3599999999999</v>
      </c>
      <c r="J176" s="241"/>
      <c r="L176" s="111"/>
    </row>
    <row r="177" spans="1:12" ht="15.75" x14ac:dyDescent="0.25">
      <c r="A177" s="25" t="s">
        <v>146</v>
      </c>
      <c r="B177" s="16">
        <v>902</v>
      </c>
      <c r="C177" s="20" t="s">
        <v>165</v>
      </c>
      <c r="D177" s="20" t="s">
        <v>253</v>
      </c>
      <c r="E177" s="20" t="s">
        <v>1001</v>
      </c>
      <c r="F177" s="20" t="s">
        <v>147</v>
      </c>
      <c r="G177" s="415">
        <f>G178</f>
        <v>101.8</v>
      </c>
      <c r="H177" s="26">
        <f t="shared" ref="H177:I177" si="96">H178</f>
        <v>211.94000000000003</v>
      </c>
      <c r="I177" s="26">
        <f t="shared" si="96"/>
        <v>211.94000000000003</v>
      </c>
      <c r="L177" s="111"/>
    </row>
    <row r="178" spans="1:12" ht="31.5" x14ac:dyDescent="0.25">
      <c r="A178" s="25" t="s">
        <v>148</v>
      </c>
      <c r="B178" s="16">
        <v>902</v>
      </c>
      <c r="C178" s="20" t="s">
        <v>165</v>
      </c>
      <c r="D178" s="20" t="s">
        <v>253</v>
      </c>
      <c r="E178" s="20" t="s">
        <v>1001</v>
      </c>
      <c r="F178" s="20" t="s">
        <v>149</v>
      </c>
      <c r="G178" s="415">
        <v>101.8</v>
      </c>
      <c r="H178" s="26">
        <f t="shared" ref="H178:I178" si="97">361.1-239.5+90.34</f>
        <v>211.94000000000003</v>
      </c>
      <c r="I178" s="26">
        <f t="shared" si="97"/>
        <v>211.94000000000003</v>
      </c>
      <c r="J178" s="241"/>
      <c r="L178" s="111"/>
    </row>
    <row r="179" spans="1:12" s="230" customFormat="1" ht="47.25" hidden="1" x14ac:dyDescent="0.25">
      <c r="A179" s="23" t="s">
        <v>1250</v>
      </c>
      <c r="B179" s="19">
        <v>902</v>
      </c>
      <c r="C179" s="24" t="s">
        <v>165</v>
      </c>
      <c r="D179" s="24" t="s">
        <v>253</v>
      </c>
      <c r="E179" s="24" t="s">
        <v>171</v>
      </c>
      <c r="F179" s="24"/>
      <c r="G179" s="416">
        <f>G180</f>
        <v>0</v>
      </c>
      <c r="H179" s="21">
        <f t="shared" ref="H179:I179" si="98">H180</f>
        <v>0</v>
      </c>
      <c r="I179" s="21">
        <f t="shared" si="98"/>
        <v>0</v>
      </c>
      <c r="J179" s="265"/>
      <c r="K179" s="111"/>
      <c r="L179" s="111"/>
    </row>
    <row r="180" spans="1:12" s="230" customFormat="1" ht="31.5" hidden="1" x14ac:dyDescent="0.25">
      <c r="A180" s="23" t="s">
        <v>1254</v>
      </c>
      <c r="B180" s="19">
        <v>902</v>
      </c>
      <c r="C180" s="24" t="s">
        <v>165</v>
      </c>
      <c r="D180" s="24" t="s">
        <v>253</v>
      </c>
      <c r="E180" s="24" t="s">
        <v>1251</v>
      </c>
      <c r="F180" s="24"/>
      <c r="G180" s="416">
        <f>G181+G184</f>
        <v>0</v>
      </c>
      <c r="H180" s="21">
        <f t="shared" ref="H180:I180" si="99">H181+H184</f>
        <v>0</v>
      </c>
      <c r="I180" s="21">
        <f t="shared" si="99"/>
        <v>0</v>
      </c>
      <c r="J180" s="265"/>
      <c r="K180" s="111"/>
      <c r="L180" s="111"/>
    </row>
    <row r="181" spans="1:12" s="230" customFormat="1" ht="15.75" hidden="1" x14ac:dyDescent="0.25">
      <c r="A181" s="25" t="s">
        <v>1255</v>
      </c>
      <c r="B181" s="16">
        <v>902</v>
      </c>
      <c r="C181" s="20" t="s">
        <v>165</v>
      </c>
      <c r="D181" s="20" t="s">
        <v>253</v>
      </c>
      <c r="E181" s="20" t="s">
        <v>1252</v>
      </c>
      <c r="F181" s="20"/>
      <c r="G181" s="415">
        <f>G182</f>
        <v>0</v>
      </c>
      <c r="H181" s="26">
        <f t="shared" ref="H181:I182" si="100">H182</f>
        <v>0</v>
      </c>
      <c r="I181" s="26">
        <f t="shared" si="100"/>
        <v>0</v>
      </c>
      <c r="J181" s="265"/>
      <c r="K181" s="111"/>
      <c r="L181" s="111"/>
    </row>
    <row r="182" spans="1:12" s="230" customFormat="1" ht="15.75" hidden="1" x14ac:dyDescent="0.25">
      <c r="A182" s="25" t="s">
        <v>150</v>
      </c>
      <c r="B182" s="16">
        <v>902</v>
      </c>
      <c r="C182" s="20" t="s">
        <v>165</v>
      </c>
      <c r="D182" s="20" t="s">
        <v>253</v>
      </c>
      <c r="E182" s="20" t="s">
        <v>1252</v>
      </c>
      <c r="F182" s="20" t="s">
        <v>160</v>
      </c>
      <c r="G182" s="415">
        <f>G183</f>
        <v>0</v>
      </c>
      <c r="H182" s="26">
        <f t="shared" si="100"/>
        <v>0</v>
      </c>
      <c r="I182" s="26">
        <f t="shared" si="100"/>
        <v>0</v>
      </c>
      <c r="J182" s="265"/>
      <c r="K182" s="111"/>
      <c r="L182" s="111"/>
    </row>
    <row r="183" spans="1:12" s="230" customFormat="1" ht="31.5" hidden="1" x14ac:dyDescent="0.25">
      <c r="A183" s="25" t="s">
        <v>199</v>
      </c>
      <c r="B183" s="16">
        <v>902</v>
      </c>
      <c r="C183" s="20" t="s">
        <v>165</v>
      </c>
      <c r="D183" s="20" t="s">
        <v>253</v>
      </c>
      <c r="E183" s="20" t="s">
        <v>1252</v>
      </c>
      <c r="F183" s="20" t="s">
        <v>175</v>
      </c>
      <c r="G183" s="415">
        <v>0</v>
      </c>
      <c r="H183" s="26">
        <v>0</v>
      </c>
      <c r="I183" s="26">
        <v>0</v>
      </c>
      <c r="J183" s="265"/>
      <c r="K183" s="111"/>
      <c r="L183" s="111"/>
    </row>
    <row r="184" spans="1:12" s="230" customFormat="1" ht="31.5" hidden="1" x14ac:dyDescent="0.25">
      <c r="A184" s="25" t="s">
        <v>254</v>
      </c>
      <c r="B184" s="16">
        <v>902</v>
      </c>
      <c r="C184" s="20" t="s">
        <v>165</v>
      </c>
      <c r="D184" s="20" t="s">
        <v>253</v>
      </c>
      <c r="E184" s="20" t="s">
        <v>1253</v>
      </c>
      <c r="F184" s="24"/>
      <c r="G184" s="415">
        <f>G185</f>
        <v>0</v>
      </c>
      <c r="H184" s="26">
        <f t="shared" ref="H184:I185" si="101">H185</f>
        <v>0</v>
      </c>
      <c r="I184" s="26">
        <f t="shared" si="101"/>
        <v>0</v>
      </c>
      <c r="J184" s="265"/>
      <c r="K184" s="111"/>
      <c r="L184" s="111"/>
    </row>
    <row r="185" spans="1:12" s="230" customFormat="1" ht="15.75" hidden="1" x14ac:dyDescent="0.25">
      <c r="A185" s="25" t="s">
        <v>150</v>
      </c>
      <c r="B185" s="16">
        <v>902</v>
      </c>
      <c r="C185" s="20" t="s">
        <v>165</v>
      </c>
      <c r="D185" s="20" t="s">
        <v>253</v>
      </c>
      <c r="E185" s="20" t="s">
        <v>1253</v>
      </c>
      <c r="F185" s="20" t="s">
        <v>160</v>
      </c>
      <c r="G185" s="415">
        <f>G186</f>
        <v>0</v>
      </c>
      <c r="H185" s="26">
        <f t="shared" si="101"/>
        <v>0</v>
      </c>
      <c r="I185" s="26">
        <f t="shared" si="101"/>
        <v>0</v>
      </c>
      <c r="J185" s="265"/>
      <c r="K185" s="111"/>
      <c r="L185" s="111"/>
    </row>
    <row r="186" spans="1:12" s="230" customFormat="1" ht="31.5" hidden="1" x14ac:dyDescent="0.25">
      <c r="A186" s="25" t="s">
        <v>199</v>
      </c>
      <c r="B186" s="16">
        <v>902</v>
      </c>
      <c r="C186" s="20" t="s">
        <v>165</v>
      </c>
      <c r="D186" s="20" t="s">
        <v>253</v>
      </c>
      <c r="E186" s="20" t="s">
        <v>1253</v>
      </c>
      <c r="F186" s="20" t="s">
        <v>175</v>
      </c>
      <c r="G186" s="415">
        <v>0</v>
      </c>
      <c r="H186" s="26">
        <v>0</v>
      </c>
      <c r="I186" s="26">
        <v>0</v>
      </c>
      <c r="J186" s="265"/>
      <c r="K186" s="111"/>
      <c r="L186" s="111"/>
    </row>
    <row r="187" spans="1:12" ht="16.5" customHeight="1" x14ac:dyDescent="0.25">
      <c r="A187" s="23" t="s">
        <v>258</v>
      </c>
      <c r="B187" s="19">
        <v>902</v>
      </c>
      <c r="C187" s="24" t="s">
        <v>259</v>
      </c>
      <c r="D187" s="24"/>
      <c r="E187" s="24"/>
      <c r="F187" s="24"/>
      <c r="G187" s="416">
        <f>G188+G194+G200</f>
        <v>13087.4</v>
      </c>
      <c r="H187" s="21">
        <f t="shared" ref="H187:I187" si="102">H188+H194+H200</f>
        <v>12340.3</v>
      </c>
      <c r="I187" s="21">
        <f t="shared" si="102"/>
        <v>12340.3</v>
      </c>
      <c r="L187" s="111"/>
    </row>
    <row r="188" spans="1:12" ht="15.75" x14ac:dyDescent="0.25">
      <c r="A188" s="23" t="s">
        <v>260</v>
      </c>
      <c r="B188" s="19">
        <v>902</v>
      </c>
      <c r="C188" s="24" t="s">
        <v>259</v>
      </c>
      <c r="D188" s="24" t="s">
        <v>133</v>
      </c>
      <c r="E188" s="24"/>
      <c r="F188" s="24"/>
      <c r="G188" s="416">
        <f>G189</f>
        <v>9456</v>
      </c>
      <c r="H188" s="21">
        <f t="shared" ref="H188:I192" si="103">H189</f>
        <v>9066.4</v>
      </c>
      <c r="I188" s="21">
        <f t="shared" si="103"/>
        <v>9066.4</v>
      </c>
      <c r="L188" s="111"/>
    </row>
    <row r="189" spans="1:12" ht="15.75" x14ac:dyDescent="0.25">
      <c r="A189" s="23" t="s">
        <v>156</v>
      </c>
      <c r="B189" s="19">
        <v>902</v>
      </c>
      <c r="C189" s="24" t="s">
        <v>259</v>
      </c>
      <c r="D189" s="24" t="s">
        <v>133</v>
      </c>
      <c r="E189" s="24" t="s">
        <v>914</v>
      </c>
      <c r="F189" s="24"/>
      <c r="G189" s="416">
        <f>G190</f>
        <v>9456</v>
      </c>
      <c r="H189" s="21">
        <f t="shared" si="103"/>
        <v>9066.4</v>
      </c>
      <c r="I189" s="21">
        <f t="shared" si="103"/>
        <v>9066.4</v>
      </c>
      <c r="L189" s="111"/>
    </row>
    <row r="190" spans="1:12" ht="31.5" x14ac:dyDescent="0.25">
      <c r="A190" s="23" t="s">
        <v>918</v>
      </c>
      <c r="B190" s="19">
        <v>902</v>
      </c>
      <c r="C190" s="24" t="s">
        <v>259</v>
      </c>
      <c r="D190" s="24" t="s">
        <v>133</v>
      </c>
      <c r="E190" s="24" t="s">
        <v>913</v>
      </c>
      <c r="F190" s="24"/>
      <c r="G190" s="416">
        <f>G191</f>
        <v>9456</v>
      </c>
      <c r="H190" s="21">
        <f t="shared" si="103"/>
        <v>9066.4</v>
      </c>
      <c r="I190" s="21">
        <f t="shared" si="103"/>
        <v>9066.4</v>
      </c>
      <c r="L190" s="111"/>
    </row>
    <row r="191" spans="1:12" ht="15.75" x14ac:dyDescent="0.25">
      <c r="A191" s="25" t="s">
        <v>261</v>
      </c>
      <c r="B191" s="16">
        <v>902</v>
      </c>
      <c r="C191" s="20" t="s">
        <v>259</v>
      </c>
      <c r="D191" s="20" t="s">
        <v>133</v>
      </c>
      <c r="E191" s="20" t="s">
        <v>930</v>
      </c>
      <c r="F191" s="20"/>
      <c r="G191" s="415">
        <f>G192</f>
        <v>9456</v>
      </c>
      <c r="H191" s="26">
        <f t="shared" si="103"/>
        <v>9066.4</v>
      </c>
      <c r="I191" s="26">
        <f t="shared" si="103"/>
        <v>9066.4</v>
      </c>
      <c r="L191" s="111"/>
    </row>
    <row r="192" spans="1:12" ht="15.75" x14ac:dyDescent="0.25">
      <c r="A192" s="25" t="s">
        <v>263</v>
      </c>
      <c r="B192" s="16">
        <v>902</v>
      </c>
      <c r="C192" s="20" t="s">
        <v>259</v>
      </c>
      <c r="D192" s="20" t="s">
        <v>133</v>
      </c>
      <c r="E192" s="20" t="s">
        <v>930</v>
      </c>
      <c r="F192" s="20" t="s">
        <v>264</v>
      </c>
      <c r="G192" s="415">
        <f>G193</f>
        <v>9456</v>
      </c>
      <c r="H192" s="26">
        <f t="shared" si="103"/>
        <v>9066.4</v>
      </c>
      <c r="I192" s="26">
        <f t="shared" si="103"/>
        <v>9066.4</v>
      </c>
      <c r="L192" s="111"/>
    </row>
    <row r="193" spans="1:12" ht="31.5" x14ac:dyDescent="0.25">
      <c r="A193" s="25" t="s">
        <v>265</v>
      </c>
      <c r="B193" s="16">
        <v>902</v>
      </c>
      <c r="C193" s="20" t="s">
        <v>259</v>
      </c>
      <c r="D193" s="20" t="s">
        <v>133</v>
      </c>
      <c r="E193" s="20" t="s">
        <v>930</v>
      </c>
      <c r="F193" s="20" t="s">
        <v>266</v>
      </c>
      <c r="G193" s="419">
        <f>9066.4+389.6</f>
        <v>9456</v>
      </c>
      <c r="H193" s="27">
        <v>9066.4</v>
      </c>
      <c r="I193" s="27">
        <v>9066.4</v>
      </c>
      <c r="L193" s="111"/>
    </row>
    <row r="194" spans="1:12" ht="15.75" x14ac:dyDescent="0.25">
      <c r="A194" s="23" t="s">
        <v>267</v>
      </c>
      <c r="B194" s="19">
        <v>902</v>
      </c>
      <c r="C194" s="24" t="s">
        <v>259</v>
      </c>
      <c r="D194" s="24" t="s">
        <v>230</v>
      </c>
      <c r="E194" s="20"/>
      <c r="F194" s="20"/>
      <c r="G194" s="416">
        <f>G195</f>
        <v>10</v>
      </c>
      <c r="H194" s="21">
        <f t="shared" ref="H194:I194" si="104">H195</f>
        <v>10</v>
      </c>
      <c r="I194" s="21">
        <f t="shared" si="104"/>
        <v>10</v>
      </c>
      <c r="L194" s="111"/>
    </row>
    <row r="195" spans="1:12" ht="47.25" x14ac:dyDescent="0.25">
      <c r="A195" s="23" t="s">
        <v>268</v>
      </c>
      <c r="B195" s="19">
        <v>902</v>
      </c>
      <c r="C195" s="24" t="s">
        <v>259</v>
      </c>
      <c r="D195" s="24" t="s">
        <v>230</v>
      </c>
      <c r="E195" s="24" t="s">
        <v>269</v>
      </c>
      <c r="F195" s="24"/>
      <c r="G195" s="416">
        <f>G197</f>
        <v>10</v>
      </c>
      <c r="H195" s="21">
        <f t="shared" ref="H195:I195" si="105">H197</f>
        <v>10</v>
      </c>
      <c r="I195" s="21">
        <f t="shared" si="105"/>
        <v>10</v>
      </c>
      <c r="L195" s="111"/>
    </row>
    <row r="196" spans="1:12" s="230" customFormat="1" ht="31.5" x14ac:dyDescent="0.25">
      <c r="A196" s="34" t="s">
        <v>933</v>
      </c>
      <c r="B196" s="19">
        <v>902</v>
      </c>
      <c r="C196" s="24" t="s">
        <v>259</v>
      </c>
      <c r="D196" s="24" t="s">
        <v>230</v>
      </c>
      <c r="E196" s="24" t="s">
        <v>931</v>
      </c>
      <c r="F196" s="24"/>
      <c r="G196" s="416">
        <f>G197</f>
        <v>10</v>
      </c>
      <c r="H196" s="21">
        <f t="shared" ref="H196:I198" si="106">H197</f>
        <v>10</v>
      </c>
      <c r="I196" s="21">
        <f t="shared" si="106"/>
        <v>10</v>
      </c>
      <c r="J196" s="212"/>
      <c r="K196" s="111"/>
      <c r="L196" s="111"/>
    </row>
    <row r="197" spans="1:12" ht="18.75" customHeight="1" x14ac:dyDescent="0.25">
      <c r="A197" s="25" t="s">
        <v>932</v>
      </c>
      <c r="B197" s="16">
        <v>902</v>
      </c>
      <c r="C197" s="20" t="s">
        <v>259</v>
      </c>
      <c r="D197" s="20" t="s">
        <v>230</v>
      </c>
      <c r="E197" s="20" t="s">
        <v>1155</v>
      </c>
      <c r="F197" s="20"/>
      <c r="G197" s="415">
        <f>G198</f>
        <v>10</v>
      </c>
      <c r="H197" s="26">
        <f t="shared" si="106"/>
        <v>10</v>
      </c>
      <c r="I197" s="26">
        <f t="shared" si="106"/>
        <v>10</v>
      </c>
      <c r="L197" s="111"/>
    </row>
    <row r="198" spans="1:12" ht="15.75" x14ac:dyDescent="0.25">
      <c r="A198" s="25" t="s">
        <v>263</v>
      </c>
      <c r="B198" s="16">
        <v>902</v>
      </c>
      <c r="C198" s="20" t="s">
        <v>259</v>
      </c>
      <c r="D198" s="20" t="s">
        <v>230</v>
      </c>
      <c r="E198" s="20" t="s">
        <v>1155</v>
      </c>
      <c r="F198" s="20" t="s">
        <v>264</v>
      </c>
      <c r="G198" s="415">
        <f>G199</f>
        <v>10</v>
      </c>
      <c r="H198" s="26">
        <f t="shared" si="106"/>
        <v>10</v>
      </c>
      <c r="I198" s="26">
        <f t="shared" si="106"/>
        <v>10</v>
      </c>
      <c r="L198" s="111"/>
    </row>
    <row r="199" spans="1:12" ht="31.5" x14ac:dyDescent="0.25">
      <c r="A199" s="25" t="s">
        <v>265</v>
      </c>
      <c r="B199" s="16">
        <v>902</v>
      </c>
      <c r="C199" s="20" t="s">
        <v>259</v>
      </c>
      <c r="D199" s="20" t="s">
        <v>230</v>
      </c>
      <c r="E199" s="20" t="s">
        <v>1155</v>
      </c>
      <c r="F199" s="20" t="s">
        <v>266</v>
      </c>
      <c r="G199" s="415">
        <v>10</v>
      </c>
      <c r="H199" s="26">
        <v>10</v>
      </c>
      <c r="I199" s="26">
        <v>10</v>
      </c>
      <c r="L199" s="111"/>
    </row>
    <row r="200" spans="1:12" ht="15.75" x14ac:dyDescent="0.25">
      <c r="A200" s="23" t="s">
        <v>273</v>
      </c>
      <c r="B200" s="19">
        <v>902</v>
      </c>
      <c r="C200" s="24" t="s">
        <v>259</v>
      </c>
      <c r="D200" s="24" t="s">
        <v>135</v>
      </c>
      <c r="E200" s="24"/>
      <c r="F200" s="24"/>
      <c r="G200" s="416">
        <f>G201</f>
        <v>3621.4</v>
      </c>
      <c r="H200" s="21">
        <f t="shared" ref="H200:I202" si="107">H201</f>
        <v>3263.9</v>
      </c>
      <c r="I200" s="21">
        <f t="shared" si="107"/>
        <v>3263.9</v>
      </c>
      <c r="L200" s="111"/>
    </row>
    <row r="201" spans="1:12" ht="15.75" x14ac:dyDescent="0.25">
      <c r="A201" s="23" t="s">
        <v>992</v>
      </c>
      <c r="B201" s="19">
        <v>902</v>
      </c>
      <c r="C201" s="24" t="s">
        <v>259</v>
      </c>
      <c r="D201" s="24" t="s">
        <v>135</v>
      </c>
      <c r="E201" s="24" t="s">
        <v>906</v>
      </c>
      <c r="F201" s="24"/>
      <c r="G201" s="416">
        <f>G202</f>
        <v>3621.4</v>
      </c>
      <c r="H201" s="21">
        <f t="shared" si="107"/>
        <v>3263.9</v>
      </c>
      <c r="I201" s="21">
        <f t="shared" si="107"/>
        <v>3263.9</v>
      </c>
      <c r="L201" s="111"/>
    </row>
    <row r="202" spans="1:12" ht="31.5" x14ac:dyDescent="0.25">
      <c r="A202" s="23" t="s">
        <v>934</v>
      </c>
      <c r="B202" s="19">
        <v>902</v>
      </c>
      <c r="C202" s="24" t="s">
        <v>259</v>
      </c>
      <c r="D202" s="24" t="s">
        <v>135</v>
      </c>
      <c r="E202" s="24" t="s">
        <v>911</v>
      </c>
      <c r="F202" s="24"/>
      <c r="G202" s="416">
        <f>G203</f>
        <v>3621.4</v>
      </c>
      <c r="H202" s="21">
        <f t="shared" si="107"/>
        <v>3263.9</v>
      </c>
      <c r="I202" s="21">
        <f t="shared" si="107"/>
        <v>3263.9</v>
      </c>
      <c r="L202" s="111"/>
    </row>
    <row r="203" spans="1:12" ht="47.25" customHeight="1" x14ac:dyDescent="0.25">
      <c r="A203" s="31" t="s">
        <v>274</v>
      </c>
      <c r="B203" s="16">
        <v>902</v>
      </c>
      <c r="C203" s="20" t="s">
        <v>259</v>
      </c>
      <c r="D203" s="20" t="s">
        <v>135</v>
      </c>
      <c r="E203" s="20" t="s">
        <v>1002</v>
      </c>
      <c r="F203" s="20"/>
      <c r="G203" s="415">
        <f>G204+G206</f>
        <v>3621.4</v>
      </c>
      <c r="H203" s="26">
        <f t="shared" ref="H203:I203" si="108">H204+H206</f>
        <v>3263.9</v>
      </c>
      <c r="I203" s="26">
        <f t="shared" si="108"/>
        <v>3263.9</v>
      </c>
      <c r="L203" s="111"/>
    </row>
    <row r="204" spans="1:12" ht="47.25" x14ac:dyDescent="0.25">
      <c r="A204" s="25" t="s">
        <v>142</v>
      </c>
      <c r="B204" s="16">
        <v>902</v>
      </c>
      <c r="C204" s="20" t="s">
        <v>259</v>
      </c>
      <c r="D204" s="20" t="s">
        <v>135</v>
      </c>
      <c r="E204" s="20" t="s">
        <v>1002</v>
      </c>
      <c r="F204" s="20" t="s">
        <v>143</v>
      </c>
      <c r="G204" s="415">
        <f>G205</f>
        <v>3353.3</v>
      </c>
      <c r="H204" s="26">
        <f t="shared" ref="H204:I204" si="109">H205</f>
        <v>2995.8</v>
      </c>
      <c r="I204" s="26">
        <f t="shared" si="109"/>
        <v>2995.8</v>
      </c>
      <c r="L204" s="111"/>
    </row>
    <row r="205" spans="1:12" ht="15.75" x14ac:dyDescent="0.25">
      <c r="A205" s="25" t="s">
        <v>144</v>
      </c>
      <c r="B205" s="16">
        <v>902</v>
      </c>
      <c r="C205" s="20" t="s">
        <v>259</v>
      </c>
      <c r="D205" s="20" t="s">
        <v>135</v>
      </c>
      <c r="E205" s="20" t="s">
        <v>1002</v>
      </c>
      <c r="F205" s="20" t="s">
        <v>145</v>
      </c>
      <c r="G205" s="419">
        <f>2972.5+23.3+357.5</f>
        <v>3353.3</v>
      </c>
      <c r="H205" s="27">
        <f t="shared" ref="H205:I205" si="110">2972.5+23.3</f>
        <v>2995.8</v>
      </c>
      <c r="I205" s="27">
        <f t="shared" si="110"/>
        <v>2995.8</v>
      </c>
      <c r="J205" s="241"/>
      <c r="L205" s="111"/>
    </row>
    <row r="206" spans="1:12" ht="15.75" x14ac:dyDescent="0.25">
      <c r="A206" s="25" t="s">
        <v>146</v>
      </c>
      <c r="B206" s="16">
        <v>902</v>
      </c>
      <c r="C206" s="20" t="s">
        <v>259</v>
      </c>
      <c r="D206" s="20" t="s">
        <v>135</v>
      </c>
      <c r="E206" s="20" t="s">
        <v>1002</v>
      </c>
      <c r="F206" s="20" t="s">
        <v>147</v>
      </c>
      <c r="G206" s="415">
        <f>G207</f>
        <v>268.09999999999997</v>
      </c>
      <c r="H206" s="26">
        <f t="shared" ref="H206:I206" si="111">H207</f>
        <v>268.09999999999997</v>
      </c>
      <c r="I206" s="26">
        <f t="shared" si="111"/>
        <v>268.09999999999997</v>
      </c>
      <c r="L206" s="111"/>
    </row>
    <row r="207" spans="1:12" ht="31.5" x14ac:dyDescent="0.25">
      <c r="A207" s="25" t="s">
        <v>148</v>
      </c>
      <c r="B207" s="16">
        <v>902</v>
      </c>
      <c r="C207" s="20" t="s">
        <v>259</v>
      </c>
      <c r="D207" s="20" t="s">
        <v>135</v>
      </c>
      <c r="E207" s="20" t="s">
        <v>1002</v>
      </c>
      <c r="F207" s="20" t="s">
        <v>149</v>
      </c>
      <c r="G207" s="419">
        <f>291.4-23.3</f>
        <v>268.09999999999997</v>
      </c>
      <c r="H207" s="27">
        <f t="shared" ref="H207:I207" si="112">291.4-23.3</f>
        <v>268.09999999999997</v>
      </c>
      <c r="I207" s="27">
        <f t="shared" si="112"/>
        <v>268.09999999999997</v>
      </c>
      <c r="J207" s="241"/>
      <c r="L207" s="111"/>
    </row>
    <row r="208" spans="1:12" ht="48.75" customHeight="1" x14ac:dyDescent="0.25">
      <c r="A208" s="19" t="s">
        <v>276</v>
      </c>
      <c r="B208" s="19">
        <v>903</v>
      </c>
      <c r="C208" s="20"/>
      <c r="D208" s="20"/>
      <c r="E208" s="20"/>
      <c r="F208" s="20"/>
      <c r="G208" s="416">
        <f>G271+G332+G432+G209+G242+G461</f>
        <v>96115.53</v>
      </c>
      <c r="H208" s="21" t="e">
        <f>H271+H332+H432+H209+H242</f>
        <v>#REF!</v>
      </c>
      <c r="I208" s="21" t="e">
        <f>I271+I332+I432+I209+I242</f>
        <v>#REF!</v>
      </c>
      <c r="J208" s="242">
        <f>G214+G220+G237+G247+G254+G261+G275+G283+G287+G293+G307+G315+G322+G328+G336+G344+G350+G363+G371+G375+G380+G393+G398+G405+G415+G428+G436+G440+G445+G456</f>
        <v>84360.9</v>
      </c>
      <c r="K208" s="116"/>
      <c r="L208" s="111"/>
    </row>
    <row r="209" spans="1:12" ht="15.75" x14ac:dyDescent="0.25">
      <c r="A209" s="23" t="s">
        <v>132</v>
      </c>
      <c r="B209" s="19">
        <v>903</v>
      </c>
      <c r="C209" s="24" t="s">
        <v>133</v>
      </c>
      <c r="D209" s="20"/>
      <c r="E209" s="20"/>
      <c r="F209" s="20"/>
      <c r="G209" s="416">
        <f>G210</f>
        <v>120</v>
      </c>
      <c r="H209" s="21">
        <f t="shared" ref="H209:I209" si="113">H210</f>
        <v>746</v>
      </c>
      <c r="I209" s="21">
        <f t="shared" si="113"/>
        <v>746</v>
      </c>
      <c r="L209" s="111"/>
    </row>
    <row r="210" spans="1:12" ht="15.75" x14ac:dyDescent="0.25">
      <c r="A210" s="23" t="s">
        <v>154</v>
      </c>
      <c r="B210" s="19">
        <v>903</v>
      </c>
      <c r="C210" s="24" t="s">
        <v>133</v>
      </c>
      <c r="D210" s="24" t="s">
        <v>155</v>
      </c>
      <c r="E210" s="20"/>
      <c r="F210" s="20"/>
      <c r="G210" s="416">
        <f>G211+G220+G237</f>
        <v>120</v>
      </c>
      <c r="H210" s="21">
        <f t="shared" ref="H210:I210" si="114">H211+H220+H237</f>
        <v>746</v>
      </c>
      <c r="I210" s="21">
        <f t="shared" si="114"/>
        <v>746</v>
      </c>
      <c r="L210" s="111"/>
    </row>
    <row r="211" spans="1:12" ht="31.5" x14ac:dyDescent="0.25">
      <c r="A211" s="23" t="s">
        <v>358</v>
      </c>
      <c r="B211" s="19">
        <v>903</v>
      </c>
      <c r="C211" s="8" t="s">
        <v>133</v>
      </c>
      <c r="D211" s="8" t="s">
        <v>155</v>
      </c>
      <c r="E211" s="214" t="s">
        <v>359</v>
      </c>
      <c r="F211" s="8"/>
      <c r="G211" s="416">
        <f>G212</f>
        <v>60</v>
      </c>
      <c r="H211" s="21">
        <f t="shared" ref="H211:I212" si="115">H212</f>
        <v>486</v>
      </c>
      <c r="I211" s="21">
        <f t="shared" si="115"/>
        <v>486</v>
      </c>
      <c r="L211" s="111"/>
    </row>
    <row r="212" spans="1:12" ht="81.75" customHeight="1" x14ac:dyDescent="0.25">
      <c r="A212" s="41" t="s">
        <v>395</v>
      </c>
      <c r="B212" s="19">
        <v>903</v>
      </c>
      <c r="C212" s="7" t="s">
        <v>133</v>
      </c>
      <c r="D212" s="7" t="s">
        <v>155</v>
      </c>
      <c r="E212" s="7" t="s">
        <v>396</v>
      </c>
      <c r="F212" s="7"/>
      <c r="G212" s="416">
        <f>G213</f>
        <v>60</v>
      </c>
      <c r="H212" s="21">
        <f t="shared" si="115"/>
        <v>486</v>
      </c>
      <c r="I212" s="21">
        <f t="shared" si="115"/>
        <v>486</v>
      </c>
      <c r="L212" s="111"/>
    </row>
    <row r="213" spans="1:12" s="230" customFormat="1" ht="47.25" x14ac:dyDescent="0.25">
      <c r="A213" s="349" t="s">
        <v>1230</v>
      </c>
      <c r="B213" s="19">
        <v>903</v>
      </c>
      <c r="C213" s="7" t="s">
        <v>133</v>
      </c>
      <c r="D213" s="7" t="s">
        <v>155</v>
      </c>
      <c r="E213" s="7" t="s">
        <v>935</v>
      </c>
      <c r="F213" s="7"/>
      <c r="G213" s="416">
        <f>G214+G217</f>
        <v>60</v>
      </c>
      <c r="H213" s="21">
        <f t="shared" ref="H213:I213" si="116">H214+H217</f>
        <v>486</v>
      </c>
      <c r="I213" s="21">
        <f t="shared" si="116"/>
        <v>486</v>
      </c>
      <c r="J213" s="212"/>
      <c r="K213" s="111"/>
      <c r="L213" s="111"/>
    </row>
    <row r="214" spans="1:12" ht="31.5" x14ac:dyDescent="0.25">
      <c r="A214" s="101" t="s">
        <v>1311</v>
      </c>
      <c r="B214" s="16">
        <v>903</v>
      </c>
      <c r="C214" s="40" t="s">
        <v>133</v>
      </c>
      <c r="D214" s="40" t="s">
        <v>155</v>
      </c>
      <c r="E214" s="40" t="s">
        <v>936</v>
      </c>
      <c r="F214" s="40"/>
      <c r="G214" s="415">
        <f>G215</f>
        <v>60</v>
      </c>
      <c r="H214" s="26">
        <f t="shared" ref="H214:I215" si="117">H215</f>
        <v>350</v>
      </c>
      <c r="I214" s="26">
        <f t="shared" si="117"/>
        <v>350</v>
      </c>
      <c r="L214" s="111"/>
    </row>
    <row r="215" spans="1:12" ht="15.75" x14ac:dyDescent="0.25">
      <c r="A215" s="29" t="s">
        <v>146</v>
      </c>
      <c r="B215" s="16">
        <v>903</v>
      </c>
      <c r="C215" s="40" t="s">
        <v>133</v>
      </c>
      <c r="D215" s="40" t="s">
        <v>155</v>
      </c>
      <c r="E215" s="40" t="s">
        <v>936</v>
      </c>
      <c r="F215" s="40" t="s">
        <v>147</v>
      </c>
      <c r="G215" s="415">
        <f>G216</f>
        <v>60</v>
      </c>
      <c r="H215" s="26">
        <f t="shared" si="117"/>
        <v>350</v>
      </c>
      <c r="I215" s="26">
        <f t="shared" si="117"/>
        <v>350</v>
      </c>
      <c r="J215" s="244"/>
      <c r="L215" s="111"/>
    </row>
    <row r="216" spans="1:12" ht="31.5" x14ac:dyDescent="0.25">
      <c r="A216" s="29" t="s">
        <v>148</v>
      </c>
      <c r="B216" s="16">
        <v>903</v>
      </c>
      <c r="C216" s="40" t="s">
        <v>133</v>
      </c>
      <c r="D216" s="40" t="s">
        <v>155</v>
      </c>
      <c r="E216" s="40" t="s">
        <v>936</v>
      </c>
      <c r="F216" s="40" t="s">
        <v>149</v>
      </c>
      <c r="G216" s="415">
        <v>60</v>
      </c>
      <c r="H216" s="26">
        <f t="shared" ref="H216:I216" si="118">200+150</f>
        <v>350</v>
      </c>
      <c r="I216" s="26">
        <f t="shared" si="118"/>
        <v>350</v>
      </c>
      <c r="J216" s="244"/>
      <c r="L216" s="111"/>
    </row>
    <row r="217" spans="1:12" s="230" customFormat="1" ht="31.5" hidden="1" x14ac:dyDescent="0.25">
      <c r="A217" s="35" t="s">
        <v>938</v>
      </c>
      <c r="B217" s="16">
        <v>903</v>
      </c>
      <c r="C217" s="20" t="s">
        <v>133</v>
      </c>
      <c r="D217" s="20" t="s">
        <v>155</v>
      </c>
      <c r="E217" s="20" t="s">
        <v>937</v>
      </c>
      <c r="F217" s="24"/>
      <c r="G217" s="415">
        <f>G218</f>
        <v>0</v>
      </c>
      <c r="H217" s="26">
        <f t="shared" ref="H217:I218" si="119">H218</f>
        <v>136</v>
      </c>
      <c r="I217" s="26">
        <f t="shared" si="119"/>
        <v>136</v>
      </c>
      <c r="J217" s="266"/>
      <c r="K217" s="111"/>
      <c r="L217" s="111"/>
    </row>
    <row r="218" spans="1:12" s="230" customFormat="1" ht="15.75" hidden="1" x14ac:dyDescent="0.25">
      <c r="A218" s="25" t="s">
        <v>146</v>
      </c>
      <c r="B218" s="16">
        <v>903</v>
      </c>
      <c r="C218" s="20" t="s">
        <v>133</v>
      </c>
      <c r="D218" s="20" t="s">
        <v>155</v>
      </c>
      <c r="E218" s="20" t="s">
        <v>937</v>
      </c>
      <c r="F218" s="20" t="s">
        <v>147</v>
      </c>
      <c r="G218" s="415">
        <f>G219</f>
        <v>0</v>
      </c>
      <c r="H218" s="26">
        <f t="shared" si="119"/>
        <v>136</v>
      </c>
      <c r="I218" s="26">
        <f t="shared" si="119"/>
        <v>136</v>
      </c>
      <c r="J218" s="266"/>
      <c r="K218" s="111"/>
      <c r="L218" s="111"/>
    </row>
    <row r="219" spans="1:12" s="230" customFormat="1" ht="31.5" hidden="1" x14ac:dyDescent="0.25">
      <c r="A219" s="25" t="s">
        <v>148</v>
      </c>
      <c r="B219" s="16">
        <v>903</v>
      </c>
      <c r="C219" s="20" t="s">
        <v>133</v>
      </c>
      <c r="D219" s="20" t="s">
        <v>155</v>
      </c>
      <c r="E219" s="20" t="s">
        <v>937</v>
      </c>
      <c r="F219" s="20" t="s">
        <v>149</v>
      </c>
      <c r="G219" s="415">
        <v>0</v>
      </c>
      <c r="H219" s="26">
        <v>136</v>
      </c>
      <c r="I219" s="26">
        <v>136</v>
      </c>
      <c r="J219" s="266"/>
      <c r="K219" s="111"/>
      <c r="L219" s="111"/>
    </row>
    <row r="220" spans="1:12" ht="31.5" x14ac:dyDescent="0.25">
      <c r="A220" s="23" t="s">
        <v>349</v>
      </c>
      <c r="B220" s="19">
        <v>903</v>
      </c>
      <c r="C220" s="24" t="s">
        <v>133</v>
      </c>
      <c r="D220" s="24" t="s">
        <v>155</v>
      </c>
      <c r="E220" s="24" t="s">
        <v>350</v>
      </c>
      <c r="F220" s="24"/>
      <c r="G220" s="416">
        <f>G221</f>
        <v>55</v>
      </c>
      <c r="H220" s="21">
        <f t="shared" ref="H220:I220" si="120">H221</f>
        <v>255</v>
      </c>
      <c r="I220" s="21">
        <f t="shared" si="120"/>
        <v>255</v>
      </c>
      <c r="L220" s="111"/>
    </row>
    <row r="221" spans="1:12" s="230" customFormat="1" ht="31.5" x14ac:dyDescent="0.25">
      <c r="A221" s="23" t="s">
        <v>1236</v>
      </c>
      <c r="B221" s="19">
        <v>903</v>
      </c>
      <c r="C221" s="24" t="s">
        <v>133</v>
      </c>
      <c r="D221" s="24" t="s">
        <v>155</v>
      </c>
      <c r="E221" s="24" t="s">
        <v>1237</v>
      </c>
      <c r="F221" s="24"/>
      <c r="G221" s="416">
        <f>G222+G225+G228+G231+G234</f>
        <v>55</v>
      </c>
      <c r="H221" s="21">
        <f t="shared" ref="H221:I221" si="121">H222+H225+H228+H231+H234</f>
        <v>255</v>
      </c>
      <c r="I221" s="21">
        <f t="shared" si="121"/>
        <v>255</v>
      </c>
      <c r="J221" s="212"/>
      <c r="K221" s="111"/>
      <c r="L221" s="111"/>
    </row>
    <row r="222" spans="1:12" ht="15.75" hidden="1" x14ac:dyDescent="0.25">
      <c r="A222" s="100" t="s">
        <v>351</v>
      </c>
      <c r="B222" s="16">
        <v>903</v>
      </c>
      <c r="C222" s="20" t="s">
        <v>133</v>
      </c>
      <c r="D222" s="20" t="s">
        <v>155</v>
      </c>
      <c r="E222" s="20" t="s">
        <v>1238</v>
      </c>
      <c r="F222" s="20"/>
      <c r="G222" s="415">
        <f>G223</f>
        <v>0</v>
      </c>
      <c r="H222" s="26">
        <f t="shared" ref="H222:I223" si="122">H223</f>
        <v>230</v>
      </c>
      <c r="I222" s="26">
        <f t="shared" si="122"/>
        <v>230</v>
      </c>
      <c r="L222" s="111"/>
    </row>
    <row r="223" spans="1:12" ht="15.75" hidden="1" x14ac:dyDescent="0.25">
      <c r="A223" s="25" t="s">
        <v>146</v>
      </c>
      <c r="B223" s="16">
        <v>903</v>
      </c>
      <c r="C223" s="20" t="s">
        <v>133</v>
      </c>
      <c r="D223" s="20" t="s">
        <v>155</v>
      </c>
      <c r="E223" s="20" t="s">
        <v>1238</v>
      </c>
      <c r="F223" s="20" t="s">
        <v>147</v>
      </c>
      <c r="G223" s="415">
        <f>G224</f>
        <v>0</v>
      </c>
      <c r="H223" s="26">
        <f t="shared" si="122"/>
        <v>230</v>
      </c>
      <c r="I223" s="26">
        <f t="shared" si="122"/>
        <v>230</v>
      </c>
      <c r="L223" s="111"/>
    </row>
    <row r="224" spans="1:12" ht="31.5" hidden="1" x14ac:dyDescent="0.25">
      <c r="A224" s="25" t="s">
        <v>148</v>
      </c>
      <c r="B224" s="16">
        <v>903</v>
      </c>
      <c r="C224" s="20" t="s">
        <v>133</v>
      </c>
      <c r="D224" s="20" t="s">
        <v>155</v>
      </c>
      <c r="E224" s="20" t="s">
        <v>1238</v>
      </c>
      <c r="F224" s="20" t="s">
        <v>149</v>
      </c>
      <c r="G224" s="415">
        <v>0</v>
      </c>
      <c r="H224" s="26">
        <v>230</v>
      </c>
      <c r="I224" s="26">
        <v>230</v>
      </c>
      <c r="L224" s="111"/>
    </row>
    <row r="225" spans="1:12" ht="15.75" x14ac:dyDescent="0.25">
      <c r="A225" s="25" t="s">
        <v>353</v>
      </c>
      <c r="B225" s="16">
        <v>903</v>
      </c>
      <c r="C225" s="20" t="s">
        <v>133</v>
      </c>
      <c r="D225" s="20" t="s">
        <v>155</v>
      </c>
      <c r="E225" s="20" t="s">
        <v>1239</v>
      </c>
      <c r="F225" s="20"/>
      <c r="G225" s="415">
        <f>G226</f>
        <v>25</v>
      </c>
      <c r="H225" s="26">
        <f t="shared" ref="H225:I226" si="123">H226</f>
        <v>25</v>
      </c>
      <c r="I225" s="26">
        <f t="shared" si="123"/>
        <v>25</v>
      </c>
      <c r="L225" s="111"/>
    </row>
    <row r="226" spans="1:12" ht="15.75" x14ac:dyDescent="0.25">
      <c r="A226" s="25" t="s">
        <v>146</v>
      </c>
      <c r="B226" s="16">
        <v>903</v>
      </c>
      <c r="C226" s="20" t="s">
        <v>133</v>
      </c>
      <c r="D226" s="20" t="s">
        <v>155</v>
      </c>
      <c r="E226" s="20" t="s">
        <v>1239</v>
      </c>
      <c r="F226" s="20" t="s">
        <v>147</v>
      </c>
      <c r="G226" s="415">
        <f>G227</f>
        <v>25</v>
      </c>
      <c r="H226" s="26">
        <f t="shared" si="123"/>
        <v>25</v>
      </c>
      <c r="I226" s="26">
        <f t="shared" si="123"/>
        <v>25</v>
      </c>
      <c r="L226" s="111"/>
    </row>
    <row r="227" spans="1:12" ht="31.5" x14ac:dyDescent="0.25">
      <c r="A227" s="25" t="s">
        <v>148</v>
      </c>
      <c r="B227" s="16">
        <v>903</v>
      </c>
      <c r="C227" s="20" t="s">
        <v>133</v>
      </c>
      <c r="D227" s="20" t="s">
        <v>155</v>
      </c>
      <c r="E227" s="20" t="s">
        <v>1239</v>
      </c>
      <c r="F227" s="20" t="s">
        <v>149</v>
      </c>
      <c r="G227" s="415">
        <v>25</v>
      </c>
      <c r="H227" s="26">
        <v>25</v>
      </c>
      <c r="I227" s="26">
        <v>25</v>
      </c>
      <c r="L227" s="111"/>
    </row>
    <row r="228" spans="1:12" ht="31.5" x14ac:dyDescent="0.25">
      <c r="A228" s="31" t="s">
        <v>793</v>
      </c>
      <c r="B228" s="16">
        <v>903</v>
      </c>
      <c r="C228" s="20" t="s">
        <v>133</v>
      </c>
      <c r="D228" s="20" t="s">
        <v>155</v>
      </c>
      <c r="E228" s="20" t="s">
        <v>1240</v>
      </c>
      <c r="F228" s="20"/>
      <c r="G228" s="415">
        <f>G229</f>
        <v>10</v>
      </c>
      <c r="H228" s="26">
        <f t="shared" ref="H228:I229" si="124">H229</f>
        <v>0</v>
      </c>
      <c r="I228" s="26">
        <f t="shared" si="124"/>
        <v>0</v>
      </c>
      <c r="L228" s="111"/>
    </row>
    <row r="229" spans="1:12" ht="15.75" x14ac:dyDescent="0.25">
      <c r="A229" s="25" t="s">
        <v>146</v>
      </c>
      <c r="B229" s="16">
        <v>903</v>
      </c>
      <c r="C229" s="20" t="s">
        <v>133</v>
      </c>
      <c r="D229" s="20" t="s">
        <v>155</v>
      </c>
      <c r="E229" s="20" t="s">
        <v>1240</v>
      </c>
      <c r="F229" s="20" t="s">
        <v>147</v>
      </c>
      <c r="G229" s="415">
        <f>G230</f>
        <v>10</v>
      </c>
      <c r="H229" s="26">
        <f t="shared" si="124"/>
        <v>0</v>
      </c>
      <c r="I229" s="26">
        <f t="shared" si="124"/>
        <v>0</v>
      </c>
      <c r="L229" s="111"/>
    </row>
    <row r="230" spans="1:12" ht="31.5" x14ac:dyDescent="0.25">
      <c r="A230" s="25" t="s">
        <v>148</v>
      </c>
      <c r="B230" s="16">
        <v>903</v>
      </c>
      <c r="C230" s="20" t="s">
        <v>133</v>
      </c>
      <c r="D230" s="20" t="s">
        <v>155</v>
      </c>
      <c r="E230" s="20" t="s">
        <v>1240</v>
      </c>
      <c r="F230" s="20" t="s">
        <v>149</v>
      </c>
      <c r="G230" s="415">
        <v>10</v>
      </c>
      <c r="H230" s="26">
        <v>0</v>
      </c>
      <c r="I230" s="26">
        <v>0</v>
      </c>
      <c r="L230" s="111"/>
    </row>
    <row r="231" spans="1:12" ht="15.75" hidden="1" x14ac:dyDescent="0.25">
      <c r="A231" s="25" t="s">
        <v>1149</v>
      </c>
      <c r="B231" s="16">
        <v>903</v>
      </c>
      <c r="C231" s="20" t="s">
        <v>133</v>
      </c>
      <c r="D231" s="20" t="s">
        <v>155</v>
      </c>
      <c r="E231" s="20" t="s">
        <v>1241</v>
      </c>
      <c r="F231" s="20"/>
      <c r="G231" s="415">
        <f>G232</f>
        <v>0</v>
      </c>
      <c r="H231" s="26">
        <f t="shared" ref="H231:I232" si="125">H232</f>
        <v>0</v>
      </c>
      <c r="I231" s="26">
        <f t="shared" si="125"/>
        <v>0</v>
      </c>
      <c r="L231" s="111"/>
    </row>
    <row r="232" spans="1:12" ht="15.75" hidden="1" x14ac:dyDescent="0.25">
      <c r="A232" s="25" t="s">
        <v>146</v>
      </c>
      <c r="B232" s="16">
        <v>903</v>
      </c>
      <c r="C232" s="20" t="s">
        <v>133</v>
      </c>
      <c r="D232" s="20" t="s">
        <v>155</v>
      </c>
      <c r="E232" s="20" t="s">
        <v>1241</v>
      </c>
      <c r="F232" s="20" t="s">
        <v>147</v>
      </c>
      <c r="G232" s="415">
        <f>G233</f>
        <v>0</v>
      </c>
      <c r="H232" s="26">
        <f t="shared" si="125"/>
        <v>0</v>
      </c>
      <c r="I232" s="26">
        <f t="shared" si="125"/>
        <v>0</v>
      </c>
      <c r="L232" s="111"/>
    </row>
    <row r="233" spans="1:12" ht="31.5" hidden="1" x14ac:dyDescent="0.25">
      <c r="A233" s="25" t="s">
        <v>148</v>
      </c>
      <c r="B233" s="16">
        <v>903</v>
      </c>
      <c r="C233" s="20" t="s">
        <v>133</v>
      </c>
      <c r="D233" s="20" t="s">
        <v>155</v>
      </c>
      <c r="E233" s="20" t="s">
        <v>1241</v>
      </c>
      <c r="F233" s="20" t="s">
        <v>149</v>
      </c>
      <c r="G233" s="415">
        <v>0</v>
      </c>
      <c r="H233" s="26">
        <v>0</v>
      </c>
      <c r="I233" s="26">
        <v>0</v>
      </c>
      <c r="L233" s="111"/>
    </row>
    <row r="234" spans="1:12" ht="47.25" customHeight="1" x14ac:dyDescent="0.25">
      <c r="A234" s="31" t="s">
        <v>794</v>
      </c>
      <c r="B234" s="16">
        <v>903</v>
      </c>
      <c r="C234" s="20" t="s">
        <v>133</v>
      </c>
      <c r="D234" s="20" t="s">
        <v>155</v>
      </c>
      <c r="E234" s="20" t="s">
        <v>1242</v>
      </c>
      <c r="F234" s="20"/>
      <c r="G234" s="415">
        <f>G235</f>
        <v>20</v>
      </c>
      <c r="H234" s="26">
        <f t="shared" ref="H234:I235" si="126">H235</f>
        <v>0</v>
      </c>
      <c r="I234" s="26">
        <f t="shared" si="126"/>
        <v>0</v>
      </c>
      <c r="L234" s="111"/>
    </row>
    <row r="235" spans="1:12" ht="15.75" x14ac:dyDescent="0.25">
      <c r="A235" s="25" t="s">
        <v>146</v>
      </c>
      <c r="B235" s="16">
        <v>903</v>
      </c>
      <c r="C235" s="20" t="s">
        <v>133</v>
      </c>
      <c r="D235" s="20" t="s">
        <v>155</v>
      </c>
      <c r="E235" s="20" t="s">
        <v>1242</v>
      </c>
      <c r="F235" s="20" t="s">
        <v>147</v>
      </c>
      <c r="G235" s="415">
        <f>G236</f>
        <v>20</v>
      </c>
      <c r="H235" s="26">
        <f t="shared" si="126"/>
        <v>0</v>
      </c>
      <c r="I235" s="26">
        <f t="shared" si="126"/>
        <v>0</v>
      </c>
      <c r="L235" s="111"/>
    </row>
    <row r="236" spans="1:12" ht="31.5" x14ac:dyDescent="0.25">
      <c r="A236" s="25" t="s">
        <v>148</v>
      </c>
      <c r="B236" s="16">
        <v>903</v>
      </c>
      <c r="C236" s="20" t="s">
        <v>133</v>
      </c>
      <c r="D236" s="20" t="s">
        <v>155</v>
      </c>
      <c r="E236" s="20" t="s">
        <v>1242</v>
      </c>
      <c r="F236" s="20" t="s">
        <v>149</v>
      </c>
      <c r="G236" s="415">
        <v>20</v>
      </c>
      <c r="H236" s="26">
        <v>0</v>
      </c>
      <c r="I236" s="26">
        <v>0</v>
      </c>
      <c r="L236" s="111"/>
    </row>
    <row r="237" spans="1:12" ht="31.5" x14ac:dyDescent="0.25">
      <c r="A237" s="41" t="s">
        <v>1185</v>
      </c>
      <c r="B237" s="19">
        <v>903</v>
      </c>
      <c r="C237" s="24" t="s">
        <v>133</v>
      </c>
      <c r="D237" s="24" t="s">
        <v>155</v>
      </c>
      <c r="E237" s="24" t="s">
        <v>727</v>
      </c>
      <c r="F237" s="24"/>
      <c r="G237" s="416">
        <f>G239</f>
        <v>5</v>
      </c>
      <c r="H237" s="21">
        <f t="shared" ref="H237:I237" si="127">H239</f>
        <v>5</v>
      </c>
      <c r="I237" s="21">
        <f t="shared" si="127"/>
        <v>5</v>
      </c>
      <c r="J237" s="212" t="s">
        <v>1186</v>
      </c>
      <c r="L237" s="111"/>
    </row>
    <row r="238" spans="1:12" s="230" customFormat="1" ht="44.25" customHeight="1" x14ac:dyDescent="0.25">
      <c r="A238" s="273" t="s">
        <v>894</v>
      </c>
      <c r="B238" s="19">
        <v>903</v>
      </c>
      <c r="C238" s="24" t="s">
        <v>133</v>
      </c>
      <c r="D238" s="24" t="s">
        <v>155</v>
      </c>
      <c r="E238" s="24" t="s">
        <v>900</v>
      </c>
      <c r="F238" s="24"/>
      <c r="G238" s="416">
        <f>G239</f>
        <v>5</v>
      </c>
      <c r="H238" s="21">
        <f t="shared" ref="H238:I240" si="128">H239</f>
        <v>5</v>
      </c>
      <c r="I238" s="21">
        <f t="shared" si="128"/>
        <v>5</v>
      </c>
      <c r="J238" s="212"/>
      <c r="K238" s="111"/>
      <c r="L238" s="111"/>
    </row>
    <row r="239" spans="1:12" ht="31.5" x14ac:dyDescent="0.25">
      <c r="A239" s="101" t="s">
        <v>798</v>
      </c>
      <c r="B239" s="16">
        <v>903</v>
      </c>
      <c r="C239" s="20" t="s">
        <v>133</v>
      </c>
      <c r="D239" s="20" t="s">
        <v>155</v>
      </c>
      <c r="E239" s="20" t="s">
        <v>895</v>
      </c>
      <c r="F239" s="20"/>
      <c r="G239" s="415">
        <f>G240</f>
        <v>5</v>
      </c>
      <c r="H239" s="26">
        <f t="shared" si="128"/>
        <v>5</v>
      </c>
      <c r="I239" s="26">
        <f t="shared" si="128"/>
        <v>5</v>
      </c>
      <c r="L239" s="111"/>
    </row>
    <row r="240" spans="1:12" ht="15.75" x14ac:dyDescent="0.25">
      <c r="A240" s="25" t="s">
        <v>146</v>
      </c>
      <c r="B240" s="16">
        <v>903</v>
      </c>
      <c r="C240" s="20" t="s">
        <v>133</v>
      </c>
      <c r="D240" s="20" t="s">
        <v>155</v>
      </c>
      <c r="E240" s="20" t="s">
        <v>895</v>
      </c>
      <c r="F240" s="20" t="s">
        <v>147</v>
      </c>
      <c r="G240" s="415">
        <f>G241</f>
        <v>5</v>
      </c>
      <c r="H240" s="26">
        <f t="shared" si="128"/>
        <v>5</v>
      </c>
      <c r="I240" s="26">
        <f t="shared" si="128"/>
        <v>5</v>
      </c>
      <c r="L240" s="111"/>
    </row>
    <row r="241" spans="1:12" ht="31.5" x14ac:dyDescent="0.25">
      <c r="A241" s="25" t="s">
        <v>148</v>
      </c>
      <c r="B241" s="16">
        <v>903</v>
      </c>
      <c r="C241" s="20" t="s">
        <v>133</v>
      </c>
      <c r="D241" s="20" t="s">
        <v>155</v>
      </c>
      <c r="E241" s="20" t="s">
        <v>895</v>
      </c>
      <c r="F241" s="20" t="s">
        <v>149</v>
      </c>
      <c r="G241" s="415">
        <v>5</v>
      </c>
      <c r="H241" s="26">
        <v>5</v>
      </c>
      <c r="I241" s="26">
        <v>5</v>
      </c>
      <c r="L241" s="111"/>
    </row>
    <row r="242" spans="1:12" ht="21" customHeight="1" x14ac:dyDescent="0.25">
      <c r="A242" s="279" t="s">
        <v>247</v>
      </c>
      <c r="B242" s="19">
        <v>903</v>
      </c>
      <c r="C242" s="24" t="s">
        <v>165</v>
      </c>
      <c r="D242" s="20"/>
      <c r="E242" s="20"/>
      <c r="F242" s="32"/>
      <c r="G242" s="416">
        <f>G243</f>
        <v>570</v>
      </c>
      <c r="H242" s="21">
        <f t="shared" ref="H242:I244" si="129">H243</f>
        <v>20</v>
      </c>
      <c r="I242" s="21">
        <f t="shared" si="129"/>
        <v>20</v>
      </c>
      <c r="J242" s="246"/>
      <c r="L242" s="111"/>
    </row>
    <row r="243" spans="1:12" ht="21" customHeight="1" x14ac:dyDescent="0.25">
      <c r="A243" s="23" t="s">
        <v>252</v>
      </c>
      <c r="B243" s="19">
        <v>903</v>
      </c>
      <c r="C243" s="24" t="s">
        <v>165</v>
      </c>
      <c r="D243" s="24" t="s">
        <v>253</v>
      </c>
      <c r="E243" s="20"/>
      <c r="F243" s="32"/>
      <c r="G243" s="416">
        <f>G244</f>
        <v>570</v>
      </c>
      <c r="H243" s="21">
        <f t="shared" si="129"/>
        <v>20</v>
      </c>
      <c r="I243" s="21">
        <f t="shared" si="129"/>
        <v>20</v>
      </c>
      <c r="J243" s="246"/>
      <c r="L243" s="111"/>
    </row>
    <row r="244" spans="1:12" ht="47.25" customHeight="1" x14ac:dyDescent="0.25">
      <c r="A244" s="23" t="s">
        <v>358</v>
      </c>
      <c r="B244" s="19">
        <v>903</v>
      </c>
      <c r="C244" s="24" t="s">
        <v>165</v>
      </c>
      <c r="D244" s="24" t="s">
        <v>253</v>
      </c>
      <c r="E244" s="24" t="s">
        <v>359</v>
      </c>
      <c r="F244" s="285"/>
      <c r="G244" s="416">
        <f>G245</f>
        <v>570</v>
      </c>
      <c r="H244" s="21">
        <f t="shared" si="129"/>
        <v>20</v>
      </c>
      <c r="I244" s="21">
        <f t="shared" si="129"/>
        <v>20</v>
      </c>
      <c r="J244" s="246"/>
      <c r="L244" s="111"/>
    </row>
    <row r="245" spans="1:12" ht="53.25" customHeight="1" x14ac:dyDescent="0.25">
      <c r="A245" s="23" t="s">
        <v>382</v>
      </c>
      <c r="B245" s="19">
        <v>903</v>
      </c>
      <c r="C245" s="24" t="s">
        <v>165</v>
      </c>
      <c r="D245" s="24" t="s">
        <v>253</v>
      </c>
      <c r="E245" s="24" t="s">
        <v>383</v>
      </c>
      <c r="F245" s="24"/>
      <c r="G245" s="416">
        <f>G246+G253+G260+G267</f>
        <v>570</v>
      </c>
      <c r="H245" s="21">
        <f t="shared" ref="H245:I245" si="130">H246+H253+H260</f>
        <v>20</v>
      </c>
      <c r="I245" s="21">
        <f t="shared" si="130"/>
        <v>20</v>
      </c>
      <c r="J245" s="246"/>
      <c r="L245" s="111"/>
    </row>
    <row r="246" spans="1:12" s="230" customFormat="1" ht="33" hidden="1" customHeight="1" x14ac:dyDescent="0.25">
      <c r="A246" s="277" t="s">
        <v>1222</v>
      </c>
      <c r="B246" s="19">
        <v>903</v>
      </c>
      <c r="C246" s="24" t="s">
        <v>165</v>
      </c>
      <c r="D246" s="24" t="s">
        <v>253</v>
      </c>
      <c r="E246" s="24" t="s">
        <v>939</v>
      </c>
      <c r="F246" s="24"/>
      <c r="G246" s="416">
        <f>G247+G250</f>
        <v>0</v>
      </c>
      <c r="H246" s="21">
        <f t="shared" ref="H246:I246" si="131">H247+H250</f>
        <v>10</v>
      </c>
      <c r="I246" s="21">
        <f t="shared" si="131"/>
        <v>10</v>
      </c>
      <c r="J246" s="246"/>
      <c r="K246" s="111"/>
      <c r="L246" s="111"/>
    </row>
    <row r="247" spans="1:12" ht="47.25" hidden="1" customHeight="1" x14ac:dyDescent="0.25">
      <c r="A247" s="25" t="s">
        <v>1309</v>
      </c>
      <c r="B247" s="16">
        <v>903</v>
      </c>
      <c r="C247" s="20" t="s">
        <v>165</v>
      </c>
      <c r="D247" s="20" t="s">
        <v>253</v>
      </c>
      <c r="E247" s="20" t="s">
        <v>1223</v>
      </c>
      <c r="F247" s="20"/>
      <c r="G247" s="415">
        <f>G248</f>
        <v>0</v>
      </c>
      <c r="H247" s="26">
        <f t="shared" ref="H247:I248" si="132">H248</f>
        <v>10</v>
      </c>
      <c r="I247" s="26">
        <f t="shared" si="132"/>
        <v>10</v>
      </c>
      <c r="J247" s="246"/>
      <c r="L247" s="111"/>
    </row>
    <row r="248" spans="1:12" ht="21" hidden="1" customHeight="1" x14ac:dyDescent="0.25">
      <c r="A248" s="25" t="s">
        <v>263</v>
      </c>
      <c r="B248" s="16">
        <v>903</v>
      </c>
      <c r="C248" s="20" t="s">
        <v>165</v>
      </c>
      <c r="D248" s="20" t="s">
        <v>253</v>
      </c>
      <c r="E248" s="20" t="s">
        <v>1223</v>
      </c>
      <c r="F248" s="20" t="s">
        <v>264</v>
      </c>
      <c r="G248" s="415">
        <f>G249</f>
        <v>0</v>
      </c>
      <c r="H248" s="26">
        <f t="shared" si="132"/>
        <v>10</v>
      </c>
      <c r="I248" s="26">
        <f t="shared" si="132"/>
        <v>10</v>
      </c>
      <c r="J248" s="246"/>
      <c r="L248" s="111"/>
    </row>
    <row r="249" spans="1:12" ht="29.25" hidden="1" customHeight="1" x14ac:dyDescent="0.25">
      <c r="A249" s="25" t="s">
        <v>265</v>
      </c>
      <c r="B249" s="16">
        <v>903</v>
      </c>
      <c r="C249" s="20" t="s">
        <v>165</v>
      </c>
      <c r="D249" s="20" t="s">
        <v>253</v>
      </c>
      <c r="E249" s="20" t="s">
        <v>1223</v>
      </c>
      <c r="F249" s="20" t="s">
        <v>266</v>
      </c>
      <c r="G249" s="415">
        <v>0</v>
      </c>
      <c r="H249" s="26">
        <v>10</v>
      </c>
      <c r="I249" s="26">
        <v>10</v>
      </c>
      <c r="J249" s="246"/>
      <c r="L249" s="111"/>
    </row>
    <row r="250" spans="1:12" s="230" customFormat="1" ht="50.25" hidden="1" customHeight="1" x14ac:dyDescent="0.25">
      <c r="A250" s="25" t="s">
        <v>390</v>
      </c>
      <c r="B250" s="16">
        <v>903</v>
      </c>
      <c r="C250" s="20" t="s">
        <v>165</v>
      </c>
      <c r="D250" s="20" t="s">
        <v>253</v>
      </c>
      <c r="E250" s="20" t="s">
        <v>1224</v>
      </c>
      <c r="F250" s="20"/>
      <c r="G250" s="415">
        <f>G251</f>
        <v>0</v>
      </c>
      <c r="H250" s="26">
        <f t="shared" ref="H250:I251" si="133">H251</f>
        <v>0</v>
      </c>
      <c r="I250" s="26">
        <f t="shared" si="133"/>
        <v>0</v>
      </c>
      <c r="J250" s="246"/>
      <c r="K250" s="111"/>
      <c r="L250" s="111"/>
    </row>
    <row r="251" spans="1:12" s="230" customFormat="1" ht="21.75" hidden="1" customHeight="1" x14ac:dyDescent="0.25">
      <c r="A251" s="25" t="s">
        <v>263</v>
      </c>
      <c r="B251" s="16">
        <v>903</v>
      </c>
      <c r="C251" s="20" t="s">
        <v>165</v>
      </c>
      <c r="D251" s="20" t="s">
        <v>253</v>
      </c>
      <c r="E251" s="20" t="s">
        <v>1224</v>
      </c>
      <c r="F251" s="20" t="s">
        <v>264</v>
      </c>
      <c r="G251" s="415">
        <f>G252</f>
        <v>0</v>
      </c>
      <c r="H251" s="26">
        <f t="shared" si="133"/>
        <v>0</v>
      </c>
      <c r="I251" s="26">
        <f t="shared" si="133"/>
        <v>0</v>
      </c>
      <c r="J251" s="246"/>
      <c r="K251" s="111"/>
      <c r="L251" s="111"/>
    </row>
    <row r="252" spans="1:12" s="230" customFormat="1" ht="29.25" hidden="1" customHeight="1" x14ac:dyDescent="0.25">
      <c r="A252" s="25" t="s">
        <v>265</v>
      </c>
      <c r="B252" s="16">
        <v>903</v>
      </c>
      <c r="C252" s="20" t="s">
        <v>165</v>
      </c>
      <c r="D252" s="20" t="s">
        <v>253</v>
      </c>
      <c r="E252" s="20" t="s">
        <v>1224</v>
      </c>
      <c r="F252" s="20" t="s">
        <v>266</v>
      </c>
      <c r="G252" s="415">
        <v>0</v>
      </c>
      <c r="H252" s="26">
        <v>0</v>
      </c>
      <c r="I252" s="26">
        <v>0</v>
      </c>
      <c r="J252" s="246"/>
      <c r="K252" s="111"/>
      <c r="L252" s="111"/>
    </row>
    <row r="253" spans="1:12" s="230" customFormat="1" ht="33" customHeight="1" x14ac:dyDescent="0.25">
      <c r="A253" s="23" t="s">
        <v>1220</v>
      </c>
      <c r="B253" s="19">
        <v>903</v>
      </c>
      <c r="C253" s="24" t="s">
        <v>165</v>
      </c>
      <c r="D253" s="24" t="s">
        <v>253</v>
      </c>
      <c r="E253" s="24" t="s">
        <v>940</v>
      </c>
      <c r="F253" s="24"/>
      <c r="G253" s="416">
        <f>G254+G257</f>
        <v>560</v>
      </c>
      <c r="H253" s="21">
        <f t="shared" ref="H253:I253" si="134">H254+H257</f>
        <v>10</v>
      </c>
      <c r="I253" s="21">
        <f t="shared" si="134"/>
        <v>10</v>
      </c>
      <c r="J253" s="246"/>
      <c r="K253" s="111"/>
      <c r="L253" s="111"/>
    </row>
    <row r="254" spans="1:12" s="230" customFormat="1" ht="18" customHeight="1" x14ac:dyDescent="0.25">
      <c r="A254" s="25" t="s">
        <v>1221</v>
      </c>
      <c r="B254" s="16">
        <v>903</v>
      </c>
      <c r="C254" s="20" t="s">
        <v>165</v>
      </c>
      <c r="D254" s="20" t="s">
        <v>253</v>
      </c>
      <c r="E254" s="20" t="s">
        <v>1225</v>
      </c>
      <c r="F254" s="20"/>
      <c r="G254" s="415">
        <f>G255</f>
        <v>60</v>
      </c>
      <c r="H254" s="26">
        <f t="shared" ref="H254:I255" si="135">H255</f>
        <v>10</v>
      </c>
      <c r="I254" s="26">
        <f t="shared" si="135"/>
        <v>10</v>
      </c>
      <c r="J254" s="246"/>
      <c r="K254" s="111"/>
      <c r="L254" s="111"/>
    </row>
    <row r="255" spans="1:12" s="230" customFormat="1" ht="39" customHeight="1" x14ac:dyDescent="0.25">
      <c r="A255" s="25" t="s">
        <v>287</v>
      </c>
      <c r="B255" s="16">
        <v>903</v>
      </c>
      <c r="C255" s="20" t="s">
        <v>165</v>
      </c>
      <c r="D255" s="20" t="s">
        <v>253</v>
      </c>
      <c r="E255" s="20" t="s">
        <v>1225</v>
      </c>
      <c r="F255" s="20" t="s">
        <v>288</v>
      </c>
      <c r="G255" s="415">
        <f>G256</f>
        <v>60</v>
      </c>
      <c r="H255" s="26">
        <f t="shared" si="135"/>
        <v>10</v>
      </c>
      <c r="I255" s="26">
        <f t="shared" si="135"/>
        <v>10</v>
      </c>
      <c r="J255" s="246"/>
      <c r="K255" s="111"/>
      <c r="L255" s="111"/>
    </row>
    <row r="256" spans="1:12" s="230" customFormat="1" ht="73.5" customHeight="1" x14ac:dyDescent="0.25">
      <c r="A256" s="25" t="s">
        <v>1303</v>
      </c>
      <c r="B256" s="16">
        <v>903</v>
      </c>
      <c r="C256" s="20" t="s">
        <v>165</v>
      </c>
      <c r="D256" s="20" t="s">
        <v>253</v>
      </c>
      <c r="E256" s="20" t="s">
        <v>1225</v>
      </c>
      <c r="F256" s="20" t="s">
        <v>387</v>
      </c>
      <c r="G256" s="415">
        <v>60</v>
      </c>
      <c r="H256" s="26">
        <v>10</v>
      </c>
      <c r="I256" s="26">
        <v>10</v>
      </c>
      <c r="J256" s="246"/>
      <c r="K256" s="111"/>
      <c r="L256" s="111"/>
    </row>
    <row r="257" spans="1:12" s="230" customFormat="1" ht="93" customHeight="1" x14ac:dyDescent="0.25">
      <c r="A257" s="25" t="s">
        <v>388</v>
      </c>
      <c r="B257" s="16">
        <v>903</v>
      </c>
      <c r="C257" s="20" t="s">
        <v>165</v>
      </c>
      <c r="D257" s="20" t="s">
        <v>253</v>
      </c>
      <c r="E257" s="20" t="s">
        <v>1226</v>
      </c>
      <c r="F257" s="20"/>
      <c r="G257" s="415">
        <f>G258</f>
        <v>500</v>
      </c>
      <c r="H257" s="26">
        <f t="shared" ref="H257:I258" si="136">H258</f>
        <v>0</v>
      </c>
      <c r="I257" s="26">
        <f t="shared" si="136"/>
        <v>0</v>
      </c>
      <c r="J257" s="246"/>
      <c r="K257" s="111"/>
      <c r="L257" s="111"/>
    </row>
    <row r="258" spans="1:12" s="230" customFormat="1" ht="39.75" customHeight="1" x14ac:dyDescent="0.25">
      <c r="A258" s="25" t="s">
        <v>287</v>
      </c>
      <c r="B258" s="16">
        <v>903</v>
      </c>
      <c r="C258" s="20" t="s">
        <v>165</v>
      </c>
      <c r="D258" s="20" t="s">
        <v>253</v>
      </c>
      <c r="E258" s="20" t="s">
        <v>1226</v>
      </c>
      <c r="F258" s="20" t="s">
        <v>288</v>
      </c>
      <c r="G258" s="415">
        <f>G259</f>
        <v>500</v>
      </c>
      <c r="H258" s="26">
        <f t="shared" si="136"/>
        <v>0</v>
      </c>
      <c r="I258" s="26">
        <f t="shared" si="136"/>
        <v>0</v>
      </c>
      <c r="J258" s="246"/>
      <c r="K258" s="111"/>
      <c r="L258" s="111"/>
    </row>
    <row r="259" spans="1:12" s="230" customFormat="1" ht="61.5" customHeight="1" x14ac:dyDescent="0.25">
      <c r="A259" s="25" t="s">
        <v>1303</v>
      </c>
      <c r="B259" s="16">
        <v>903</v>
      </c>
      <c r="C259" s="20" t="s">
        <v>165</v>
      </c>
      <c r="D259" s="20" t="s">
        <v>253</v>
      </c>
      <c r="E259" s="20" t="s">
        <v>1226</v>
      </c>
      <c r="F259" s="20" t="s">
        <v>387</v>
      </c>
      <c r="G259" s="415">
        <v>500</v>
      </c>
      <c r="H259" s="26">
        <v>0</v>
      </c>
      <c r="I259" s="26">
        <v>0</v>
      </c>
      <c r="J259" s="246"/>
      <c r="K259" s="111"/>
      <c r="L259" s="111"/>
    </row>
    <row r="260" spans="1:12" s="230" customFormat="1" ht="21" hidden="1" customHeight="1" x14ac:dyDescent="0.25">
      <c r="A260" s="23" t="s">
        <v>1150</v>
      </c>
      <c r="B260" s="19">
        <v>903</v>
      </c>
      <c r="C260" s="24" t="s">
        <v>165</v>
      </c>
      <c r="D260" s="24" t="s">
        <v>253</v>
      </c>
      <c r="E260" s="24" t="s">
        <v>941</v>
      </c>
      <c r="F260" s="24"/>
      <c r="G260" s="416">
        <f>G261+G264</f>
        <v>0</v>
      </c>
      <c r="H260" s="21">
        <f t="shared" ref="H260:I260" si="137">H261+H264</f>
        <v>0</v>
      </c>
      <c r="I260" s="21">
        <f t="shared" si="137"/>
        <v>0</v>
      </c>
      <c r="J260" s="246"/>
      <c r="K260" s="111"/>
      <c r="L260" s="111"/>
    </row>
    <row r="261" spans="1:12" s="230" customFormat="1" ht="41.25" hidden="1" customHeight="1" x14ac:dyDescent="0.25">
      <c r="A261" s="351" t="s">
        <v>1229</v>
      </c>
      <c r="B261" s="16">
        <v>903</v>
      </c>
      <c r="C261" s="20" t="s">
        <v>165</v>
      </c>
      <c r="D261" s="20" t="s">
        <v>253</v>
      </c>
      <c r="E261" s="20" t="s">
        <v>1227</v>
      </c>
      <c r="F261" s="20"/>
      <c r="G261" s="415">
        <f>G262</f>
        <v>0</v>
      </c>
      <c r="H261" s="26">
        <f t="shared" ref="H261:I262" si="138">H262</f>
        <v>0</v>
      </c>
      <c r="I261" s="26">
        <f t="shared" si="138"/>
        <v>0</v>
      </c>
      <c r="J261" s="246"/>
      <c r="K261" s="111"/>
      <c r="L261" s="111"/>
    </row>
    <row r="262" spans="1:12" s="230" customFormat="1" ht="29.25" hidden="1" customHeight="1" x14ac:dyDescent="0.25">
      <c r="A262" s="25" t="s">
        <v>146</v>
      </c>
      <c r="B262" s="16">
        <v>903</v>
      </c>
      <c r="C262" s="20" t="s">
        <v>165</v>
      </c>
      <c r="D262" s="20" t="s">
        <v>253</v>
      </c>
      <c r="E262" s="20" t="s">
        <v>1227</v>
      </c>
      <c r="F262" s="20" t="s">
        <v>147</v>
      </c>
      <c r="G262" s="415">
        <f>G263</f>
        <v>0</v>
      </c>
      <c r="H262" s="26">
        <f t="shared" si="138"/>
        <v>0</v>
      </c>
      <c r="I262" s="26">
        <f t="shared" si="138"/>
        <v>0</v>
      </c>
      <c r="J262" s="246"/>
      <c r="K262" s="111"/>
      <c r="L262" s="111"/>
    </row>
    <row r="263" spans="1:12" s="230" customFormat="1" ht="29.25" hidden="1" customHeight="1" x14ac:dyDescent="0.25">
      <c r="A263" s="25" t="s">
        <v>148</v>
      </c>
      <c r="B263" s="16">
        <v>903</v>
      </c>
      <c r="C263" s="20" t="s">
        <v>165</v>
      </c>
      <c r="D263" s="20" t="s">
        <v>253</v>
      </c>
      <c r="E263" s="20" t="s">
        <v>1227</v>
      </c>
      <c r="F263" s="20" t="s">
        <v>149</v>
      </c>
      <c r="G263" s="415">
        <v>0</v>
      </c>
      <c r="H263" s="26">
        <v>0</v>
      </c>
      <c r="I263" s="26">
        <v>0</v>
      </c>
      <c r="J263" s="246"/>
      <c r="K263" s="111"/>
      <c r="L263" s="111"/>
    </row>
    <row r="264" spans="1:12" s="230" customFormat="1" ht="29.25" hidden="1" customHeight="1" x14ac:dyDescent="0.25">
      <c r="A264" s="25" t="s">
        <v>392</v>
      </c>
      <c r="B264" s="16">
        <v>903</v>
      </c>
      <c r="C264" s="20" t="s">
        <v>165</v>
      </c>
      <c r="D264" s="20" t="s">
        <v>253</v>
      </c>
      <c r="E264" s="20" t="s">
        <v>1228</v>
      </c>
      <c r="F264" s="20"/>
      <c r="G264" s="415">
        <f>G265</f>
        <v>0</v>
      </c>
      <c r="H264" s="26">
        <f t="shared" ref="H264:I265" si="139">H265</f>
        <v>0</v>
      </c>
      <c r="I264" s="26">
        <f t="shared" si="139"/>
        <v>0</v>
      </c>
      <c r="J264" s="246"/>
      <c r="K264" s="111"/>
      <c r="L264" s="111"/>
    </row>
    <row r="265" spans="1:12" s="230" customFormat="1" ht="29.25" hidden="1" customHeight="1" x14ac:dyDescent="0.25">
      <c r="A265" s="25" t="s">
        <v>146</v>
      </c>
      <c r="B265" s="16">
        <v>903</v>
      </c>
      <c r="C265" s="20" t="s">
        <v>165</v>
      </c>
      <c r="D265" s="20" t="s">
        <v>253</v>
      </c>
      <c r="E265" s="20" t="s">
        <v>1228</v>
      </c>
      <c r="F265" s="20" t="s">
        <v>147</v>
      </c>
      <c r="G265" s="415">
        <f>G266</f>
        <v>0</v>
      </c>
      <c r="H265" s="26">
        <f t="shared" si="139"/>
        <v>0</v>
      </c>
      <c r="I265" s="26">
        <f t="shared" si="139"/>
        <v>0</v>
      </c>
      <c r="J265" s="246"/>
      <c r="K265" s="111"/>
      <c r="L265" s="111"/>
    </row>
    <row r="266" spans="1:12" s="230" customFormat="1" ht="29.25" hidden="1" customHeight="1" x14ac:dyDescent="0.25">
      <c r="A266" s="25" t="s">
        <v>148</v>
      </c>
      <c r="B266" s="16">
        <v>903</v>
      </c>
      <c r="C266" s="20" t="s">
        <v>165</v>
      </c>
      <c r="D266" s="20" t="s">
        <v>253</v>
      </c>
      <c r="E266" s="20" t="s">
        <v>1228</v>
      </c>
      <c r="F266" s="20" t="s">
        <v>149</v>
      </c>
      <c r="G266" s="415">
        <v>0</v>
      </c>
      <c r="H266" s="26">
        <v>0</v>
      </c>
      <c r="I266" s="26">
        <v>0</v>
      </c>
      <c r="J266" s="246"/>
      <c r="K266" s="111"/>
      <c r="L266" s="111"/>
    </row>
    <row r="267" spans="1:12" s="230" customFormat="1" ht="33.75" customHeight="1" x14ac:dyDescent="0.25">
      <c r="A267" s="274" t="s">
        <v>1323</v>
      </c>
      <c r="B267" s="19">
        <v>903</v>
      </c>
      <c r="C267" s="24" t="s">
        <v>165</v>
      </c>
      <c r="D267" s="24" t="s">
        <v>253</v>
      </c>
      <c r="E267" s="24" t="s">
        <v>1322</v>
      </c>
      <c r="F267" s="24"/>
      <c r="G267" s="416">
        <f>G268</f>
        <v>10</v>
      </c>
      <c r="H267" s="26"/>
      <c r="I267" s="26"/>
      <c r="J267" s="246"/>
      <c r="K267" s="111"/>
      <c r="L267" s="111"/>
    </row>
    <row r="268" spans="1:12" s="230" customFormat="1" ht="29.25" customHeight="1" x14ac:dyDescent="0.25">
      <c r="A268" s="303" t="s">
        <v>1391</v>
      </c>
      <c r="B268" s="16">
        <v>903</v>
      </c>
      <c r="C268" s="20" t="s">
        <v>165</v>
      </c>
      <c r="D268" s="20" t="s">
        <v>253</v>
      </c>
      <c r="E268" s="20" t="s">
        <v>1381</v>
      </c>
      <c r="F268" s="20"/>
      <c r="G268" s="415">
        <f>G269</f>
        <v>10</v>
      </c>
      <c r="H268" s="26"/>
      <c r="I268" s="26"/>
      <c r="J268" s="246"/>
      <c r="K268" s="111"/>
      <c r="L268" s="111"/>
    </row>
    <row r="269" spans="1:12" s="230" customFormat="1" ht="29.25" customHeight="1" x14ac:dyDescent="0.25">
      <c r="A269" s="25" t="s">
        <v>146</v>
      </c>
      <c r="B269" s="16">
        <v>903</v>
      </c>
      <c r="C269" s="20" t="s">
        <v>165</v>
      </c>
      <c r="D269" s="20" t="s">
        <v>253</v>
      </c>
      <c r="E269" s="20" t="s">
        <v>1381</v>
      </c>
      <c r="F269" s="20" t="s">
        <v>147</v>
      </c>
      <c r="G269" s="415">
        <f>G270</f>
        <v>10</v>
      </c>
      <c r="H269" s="26"/>
      <c r="I269" s="26"/>
      <c r="J269" s="246"/>
      <c r="K269" s="111"/>
      <c r="L269" s="111"/>
    </row>
    <row r="270" spans="1:12" s="230" customFormat="1" ht="29.25" customHeight="1" x14ac:dyDescent="0.25">
      <c r="A270" s="25" t="s">
        <v>148</v>
      </c>
      <c r="B270" s="16">
        <v>903</v>
      </c>
      <c r="C270" s="20" t="s">
        <v>165</v>
      </c>
      <c r="D270" s="20" t="s">
        <v>253</v>
      </c>
      <c r="E270" s="20" t="s">
        <v>1381</v>
      </c>
      <c r="F270" s="20" t="s">
        <v>149</v>
      </c>
      <c r="G270" s="415">
        <v>10</v>
      </c>
      <c r="H270" s="26"/>
      <c r="I270" s="26"/>
      <c r="J270" s="246"/>
      <c r="K270" s="111"/>
      <c r="L270" s="111"/>
    </row>
    <row r="271" spans="1:12" ht="15.75" x14ac:dyDescent="0.25">
      <c r="A271" s="23" t="s">
        <v>278</v>
      </c>
      <c r="B271" s="19">
        <v>903</v>
      </c>
      <c r="C271" s="24" t="s">
        <v>279</v>
      </c>
      <c r="D271" s="20"/>
      <c r="E271" s="20"/>
      <c r="F271" s="20"/>
      <c r="G271" s="416">
        <f>G272+G312</f>
        <v>17624.63</v>
      </c>
      <c r="H271" s="21">
        <f t="shared" ref="H271:I271" si="140">H272+H312</f>
        <v>17722.400000000001</v>
      </c>
      <c r="I271" s="21">
        <f t="shared" si="140"/>
        <v>17722.400000000001</v>
      </c>
      <c r="L271" s="111"/>
    </row>
    <row r="272" spans="1:12" ht="15.75" x14ac:dyDescent="0.25">
      <c r="A272" s="23" t="s">
        <v>280</v>
      </c>
      <c r="B272" s="19">
        <v>903</v>
      </c>
      <c r="C272" s="24" t="s">
        <v>279</v>
      </c>
      <c r="D272" s="24" t="s">
        <v>230</v>
      </c>
      <c r="E272" s="24"/>
      <c r="F272" s="24"/>
      <c r="G272" s="416">
        <f>G273+G307</f>
        <v>16864.63</v>
      </c>
      <c r="H272" s="21">
        <f>H273+H307</f>
        <v>16822.400000000001</v>
      </c>
      <c r="I272" s="21">
        <f>I273+I307</f>
        <v>16822.400000000001</v>
      </c>
      <c r="L272" s="111"/>
    </row>
    <row r="273" spans="1:13" ht="31.5" x14ac:dyDescent="0.25">
      <c r="A273" s="23" t="s">
        <v>281</v>
      </c>
      <c r="B273" s="19">
        <v>903</v>
      </c>
      <c r="C273" s="24" t="s">
        <v>279</v>
      </c>
      <c r="D273" s="24" t="s">
        <v>230</v>
      </c>
      <c r="E273" s="24" t="s">
        <v>282</v>
      </c>
      <c r="F273" s="24"/>
      <c r="G273" s="416">
        <f>G274</f>
        <v>16643.63</v>
      </c>
      <c r="H273" s="21">
        <f t="shared" ref="H273:I273" si="141">H274</f>
        <v>16601.400000000001</v>
      </c>
      <c r="I273" s="21">
        <f t="shared" si="141"/>
        <v>16601.400000000001</v>
      </c>
      <c r="L273" s="111"/>
    </row>
    <row r="274" spans="1:13" ht="31.5" x14ac:dyDescent="0.25">
      <c r="A274" s="23" t="s">
        <v>283</v>
      </c>
      <c r="B274" s="19">
        <v>903</v>
      </c>
      <c r="C274" s="24" t="s">
        <v>279</v>
      </c>
      <c r="D274" s="24" t="s">
        <v>230</v>
      </c>
      <c r="E274" s="24" t="s">
        <v>284</v>
      </c>
      <c r="F274" s="24"/>
      <c r="G274" s="416">
        <f>G275+G283+G287+G297+G293</f>
        <v>16643.63</v>
      </c>
      <c r="H274" s="21">
        <f>H275+H283+H287+H297+H293</f>
        <v>16601.400000000001</v>
      </c>
      <c r="I274" s="21">
        <f>I275+I283+I287+I297+I293</f>
        <v>16601.400000000001</v>
      </c>
      <c r="L274" s="111"/>
    </row>
    <row r="275" spans="1:13" s="230" customFormat="1" ht="31.5" x14ac:dyDescent="0.25">
      <c r="A275" s="23" t="s">
        <v>943</v>
      </c>
      <c r="B275" s="19">
        <v>903</v>
      </c>
      <c r="C275" s="24" t="s">
        <v>279</v>
      </c>
      <c r="D275" s="24" t="s">
        <v>230</v>
      </c>
      <c r="E275" s="24" t="s">
        <v>944</v>
      </c>
      <c r="F275" s="24"/>
      <c r="G275" s="315">
        <f>G276</f>
        <v>15011</v>
      </c>
      <c r="H275" s="44">
        <f t="shared" ref="H275:I275" si="142">H276</f>
        <v>15344.4</v>
      </c>
      <c r="I275" s="44">
        <f t="shared" si="142"/>
        <v>15344.4</v>
      </c>
      <c r="J275" s="212"/>
      <c r="K275" s="111"/>
      <c r="L275" s="111"/>
    </row>
    <row r="276" spans="1:13" s="230" customFormat="1" ht="15.75" x14ac:dyDescent="0.25">
      <c r="A276" s="25" t="s">
        <v>832</v>
      </c>
      <c r="B276" s="16">
        <v>903</v>
      </c>
      <c r="C276" s="20" t="s">
        <v>279</v>
      </c>
      <c r="D276" s="20" t="s">
        <v>230</v>
      </c>
      <c r="E276" s="20" t="s">
        <v>942</v>
      </c>
      <c r="F276" s="20"/>
      <c r="G276" s="419">
        <f>G277+G279+G281</f>
        <v>15011</v>
      </c>
      <c r="H276" s="27">
        <f t="shared" ref="H276:I276" si="143">H277+H279+H281</f>
        <v>15344.4</v>
      </c>
      <c r="I276" s="27">
        <f t="shared" si="143"/>
        <v>15344.4</v>
      </c>
      <c r="J276" s="212"/>
      <c r="K276" s="111"/>
      <c r="L276" s="111"/>
    </row>
    <row r="277" spans="1:13" s="230" customFormat="1" ht="47.25" x14ac:dyDescent="0.25">
      <c r="A277" s="25" t="s">
        <v>142</v>
      </c>
      <c r="B277" s="16">
        <v>903</v>
      </c>
      <c r="C277" s="20" t="s">
        <v>279</v>
      </c>
      <c r="D277" s="20" t="s">
        <v>230</v>
      </c>
      <c r="E277" s="20" t="s">
        <v>942</v>
      </c>
      <c r="F277" s="20" t="s">
        <v>143</v>
      </c>
      <c r="G277" s="419">
        <f>G278</f>
        <v>13393</v>
      </c>
      <c r="H277" s="27">
        <f t="shared" ref="H277:I277" si="144">H278</f>
        <v>13065.1</v>
      </c>
      <c r="I277" s="27">
        <f t="shared" si="144"/>
        <v>13065.1</v>
      </c>
      <c r="J277" s="212"/>
      <c r="K277" s="111"/>
      <c r="L277" s="111"/>
    </row>
    <row r="278" spans="1:13" s="230" customFormat="1" ht="30" x14ac:dyDescent="0.25">
      <c r="A278" s="46" t="s">
        <v>357</v>
      </c>
      <c r="B278" s="16">
        <v>903</v>
      </c>
      <c r="C278" s="20" t="s">
        <v>279</v>
      </c>
      <c r="D278" s="20" t="s">
        <v>230</v>
      </c>
      <c r="E278" s="20" t="s">
        <v>942</v>
      </c>
      <c r="F278" s="20" t="s">
        <v>224</v>
      </c>
      <c r="G278" s="419">
        <v>13393</v>
      </c>
      <c r="H278" s="27">
        <v>13065.1</v>
      </c>
      <c r="I278" s="27">
        <v>13065.1</v>
      </c>
      <c r="J278" s="312" t="s">
        <v>888</v>
      </c>
      <c r="K278" s="111">
        <v>1.04</v>
      </c>
      <c r="L278" s="332">
        <v>13393</v>
      </c>
      <c r="M278" s="230" t="s">
        <v>1392</v>
      </c>
    </row>
    <row r="279" spans="1:13" s="230" customFormat="1" ht="15.75" x14ac:dyDescent="0.25">
      <c r="A279" s="25" t="s">
        <v>146</v>
      </c>
      <c r="B279" s="16">
        <v>903</v>
      </c>
      <c r="C279" s="20" t="s">
        <v>279</v>
      </c>
      <c r="D279" s="20" t="s">
        <v>230</v>
      </c>
      <c r="E279" s="20" t="s">
        <v>942</v>
      </c>
      <c r="F279" s="20" t="s">
        <v>147</v>
      </c>
      <c r="G279" s="419">
        <f>G280</f>
        <v>1540</v>
      </c>
      <c r="H279" s="27">
        <f t="shared" ref="H279:I279" si="145">H280</f>
        <v>2200.6999999999998</v>
      </c>
      <c r="I279" s="27">
        <f t="shared" si="145"/>
        <v>2200.6999999999998</v>
      </c>
      <c r="J279" s="212"/>
      <c r="K279" s="111"/>
      <c r="L279" s="111"/>
    </row>
    <row r="280" spans="1:13" s="230" customFormat="1" ht="31.5" x14ac:dyDescent="0.25">
      <c r="A280" s="25" t="s">
        <v>148</v>
      </c>
      <c r="B280" s="16">
        <v>903</v>
      </c>
      <c r="C280" s="20" t="s">
        <v>279</v>
      </c>
      <c r="D280" s="20" t="s">
        <v>230</v>
      </c>
      <c r="E280" s="20" t="s">
        <v>942</v>
      </c>
      <c r="F280" s="20" t="s">
        <v>149</v>
      </c>
      <c r="G280" s="419">
        <v>1540</v>
      </c>
      <c r="H280" s="27">
        <v>2200.6999999999998</v>
      </c>
      <c r="I280" s="27">
        <v>2200.6999999999998</v>
      </c>
      <c r="J280" s="212"/>
      <c r="K280" s="111"/>
      <c r="L280" s="111"/>
    </row>
    <row r="281" spans="1:13" s="230" customFormat="1" ht="15.75" x14ac:dyDescent="0.25">
      <c r="A281" s="25" t="s">
        <v>150</v>
      </c>
      <c r="B281" s="16">
        <v>903</v>
      </c>
      <c r="C281" s="20" t="s">
        <v>279</v>
      </c>
      <c r="D281" s="20" t="s">
        <v>230</v>
      </c>
      <c r="E281" s="20" t="s">
        <v>942</v>
      </c>
      <c r="F281" s="20" t="s">
        <v>160</v>
      </c>
      <c r="G281" s="419">
        <f>G282</f>
        <v>78</v>
      </c>
      <c r="H281" s="27">
        <f t="shared" ref="H281:I281" si="146">H282</f>
        <v>78.599999999999994</v>
      </c>
      <c r="I281" s="27">
        <f t="shared" si="146"/>
        <v>78.599999999999994</v>
      </c>
      <c r="J281" s="212"/>
      <c r="K281" s="111"/>
      <c r="L281" s="111"/>
    </row>
    <row r="282" spans="1:13" s="230" customFormat="1" ht="15.75" x14ac:dyDescent="0.25">
      <c r="A282" s="25" t="s">
        <v>726</v>
      </c>
      <c r="B282" s="16">
        <v>903</v>
      </c>
      <c r="C282" s="20" t="s">
        <v>279</v>
      </c>
      <c r="D282" s="20" t="s">
        <v>230</v>
      </c>
      <c r="E282" s="20" t="s">
        <v>942</v>
      </c>
      <c r="F282" s="20" t="s">
        <v>153</v>
      </c>
      <c r="G282" s="419">
        <f>78.6-0.6</f>
        <v>78</v>
      </c>
      <c r="H282" s="27">
        <v>78.599999999999994</v>
      </c>
      <c r="I282" s="27">
        <v>78.599999999999994</v>
      </c>
      <c r="J282" s="212"/>
      <c r="K282" s="111"/>
      <c r="L282" s="111"/>
    </row>
    <row r="283" spans="1:13" s="230" customFormat="1" ht="31.5" x14ac:dyDescent="0.25">
      <c r="A283" s="278" t="s">
        <v>1196</v>
      </c>
      <c r="B283" s="19">
        <v>903</v>
      </c>
      <c r="C283" s="24" t="s">
        <v>279</v>
      </c>
      <c r="D283" s="24" t="s">
        <v>230</v>
      </c>
      <c r="E283" s="24" t="s">
        <v>946</v>
      </c>
      <c r="F283" s="24"/>
      <c r="G283" s="315">
        <f>G284</f>
        <v>45</v>
      </c>
      <c r="H283" s="44">
        <f t="shared" ref="H283:I285" si="147">H284</f>
        <v>45</v>
      </c>
      <c r="I283" s="44">
        <f t="shared" si="147"/>
        <v>45</v>
      </c>
      <c r="J283" s="212"/>
      <c r="K283" s="111"/>
      <c r="L283" s="111"/>
    </row>
    <row r="284" spans="1:13" ht="15.75" x14ac:dyDescent="0.25">
      <c r="A284" s="216" t="s">
        <v>831</v>
      </c>
      <c r="B284" s="16">
        <v>903</v>
      </c>
      <c r="C284" s="20" t="s">
        <v>279</v>
      </c>
      <c r="D284" s="20" t="s">
        <v>230</v>
      </c>
      <c r="E284" s="20" t="s">
        <v>945</v>
      </c>
      <c r="F284" s="20"/>
      <c r="G284" s="419">
        <f>G285</f>
        <v>45</v>
      </c>
      <c r="H284" s="27">
        <f t="shared" si="147"/>
        <v>45</v>
      </c>
      <c r="I284" s="27">
        <f t="shared" si="147"/>
        <v>45</v>
      </c>
      <c r="L284" s="111"/>
    </row>
    <row r="285" spans="1:13" ht="15.75" x14ac:dyDescent="0.25">
      <c r="A285" s="25" t="s">
        <v>263</v>
      </c>
      <c r="B285" s="16">
        <v>903</v>
      </c>
      <c r="C285" s="20" t="s">
        <v>279</v>
      </c>
      <c r="D285" s="20" t="s">
        <v>230</v>
      </c>
      <c r="E285" s="20" t="s">
        <v>945</v>
      </c>
      <c r="F285" s="20" t="s">
        <v>264</v>
      </c>
      <c r="G285" s="419">
        <f>G286</f>
        <v>45</v>
      </c>
      <c r="H285" s="27">
        <f t="shared" si="147"/>
        <v>45</v>
      </c>
      <c r="I285" s="27">
        <f t="shared" si="147"/>
        <v>45</v>
      </c>
      <c r="L285" s="111"/>
    </row>
    <row r="286" spans="1:13" ht="15.75" x14ac:dyDescent="0.25">
      <c r="A286" s="25" t="s">
        <v>866</v>
      </c>
      <c r="B286" s="16">
        <v>903</v>
      </c>
      <c r="C286" s="20" t="s">
        <v>279</v>
      </c>
      <c r="D286" s="20" t="s">
        <v>230</v>
      </c>
      <c r="E286" s="20" t="s">
        <v>945</v>
      </c>
      <c r="F286" s="20" t="s">
        <v>865</v>
      </c>
      <c r="G286" s="419">
        <v>45</v>
      </c>
      <c r="H286" s="27">
        <v>45</v>
      </c>
      <c r="I286" s="27">
        <v>45</v>
      </c>
      <c r="L286" s="111"/>
    </row>
    <row r="287" spans="1:13" s="230" customFormat="1" ht="45" customHeight="1" x14ac:dyDescent="0.25">
      <c r="A287" s="283" t="s">
        <v>1174</v>
      </c>
      <c r="B287" s="19">
        <v>903</v>
      </c>
      <c r="C287" s="24" t="s">
        <v>279</v>
      </c>
      <c r="D287" s="24" t="s">
        <v>230</v>
      </c>
      <c r="E287" s="24" t="s">
        <v>947</v>
      </c>
      <c r="F287" s="24"/>
      <c r="G287" s="416">
        <f>G288</f>
        <v>250.00000000000003</v>
      </c>
      <c r="H287" s="21">
        <f t="shared" ref="H287:I287" si="148">H288</f>
        <v>264.60000000000002</v>
      </c>
      <c r="I287" s="21">
        <f t="shared" si="148"/>
        <v>264.60000000000002</v>
      </c>
      <c r="J287" s="212"/>
      <c r="K287" s="111"/>
      <c r="L287" s="111"/>
    </row>
    <row r="288" spans="1:13" ht="36" customHeight="1" x14ac:dyDescent="0.25">
      <c r="A288" s="31" t="s">
        <v>861</v>
      </c>
      <c r="B288" s="16">
        <v>903</v>
      </c>
      <c r="C288" s="20" t="s">
        <v>279</v>
      </c>
      <c r="D288" s="20" t="s">
        <v>230</v>
      </c>
      <c r="E288" s="20" t="s">
        <v>948</v>
      </c>
      <c r="F288" s="20"/>
      <c r="G288" s="419">
        <f>G291+G289</f>
        <v>250.00000000000003</v>
      </c>
      <c r="H288" s="27">
        <f t="shared" ref="H288:I288" si="149">H291+H289</f>
        <v>264.60000000000002</v>
      </c>
      <c r="I288" s="27">
        <f t="shared" si="149"/>
        <v>264.60000000000002</v>
      </c>
      <c r="L288" s="111"/>
    </row>
    <row r="289" spans="1:14" ht="47.25" x14ac:dyDescent="0.25">
      <c r="A289" s="25" t="s">
        <v>142</v>
      </c>
      <c r="B289" s="16">
        <v>903</v>
      </c>
      <c r="C289" s="20" t="s">
        <v>279</v>
      </c>
      <c r="D289" s="20" t="s">
        <v>230</v>
      </c>
      <c r="E289" s="20" t="s">
        <v>948</v>
      </c>
      <c r="F289" s="20" t="s">
        <v>143</v>
      </c>
      <c r="G289" s="419">
        <f>G290</f>
        <v>250.00000000000003</v>
      </c>
      <c r="H289" s="27">
        <f t="shared" ref="H289:I289" si="150">H290</f>
        <v>264.60000000000002</v>
      </c>
      <c r="I289" s="27">
        <f t="shared" si="150"/>
        <v>264.60000000000002</v>
      </c>
      <c r="L289" s="111"/>
    </row>
    <row r="290" spans="1:14" ht="24.75" customHeight="1" x14ac:dyDescent="0.25">
      <c r="A290" s="46" t="s">
        <v>357</v>
      </c>
      <c r="B290" s="16">
        <v>903</v>
      </c>
      <c r="C290" s="20" t="s">
        <v>279</v>
      </c>
      <c r="D290" s="20" t="s">
        <v>230</v>
      </c>
      <c r="E290" s="20" t="s">
        <v>948</v>
      </c>
      <c r="F290" s="20" t="s">
        <v>224</v>
      </c>
      <c r="G290" s="419">
        <f>264.6-14.6</f>
        <v>250.00000000000003</v>
      </c>
      <c r="H290" s="27">
        <v>264.60000000000002</v>
      </c>
      <c r="I290" s="27">
        <v>264.60000000000002</v>
      </c>
      <c r="J290" s="240"/>
      <c r="L290" s="111"/>
    </row>
    <row r="291" spans="1:14" ht="30.75" hidden="1" customHeight="1" x14ac:dyDescent="0.25">
      <c r="A291" s="25" t="s">
        <v>146</v>
      </c>
      <c r="B291" s="16">
        <v>903</v>
      </c>
      <c r="C291" s="20" t="s">
        <v>279</v>
      </c>
      <c r="D291" s="20" t="s">
        <v>230</v>
      </c>
      <c r="E291" s="20" t="s">
        <v>948</v>
      </c>
      <c r="F291" s="20" t="s">
        <v>147</v>
      </c>
      <c r="G291" s="419">
        <f>G292</f>
        <v>0</v>
      </c>
      <c r="H291" s="27">
        <f t="shared" ref="H291:I291" si="151">H292</f>
        <v>0</v>
      </c>
      <c r="I291" s="27">
        <f t="shared" si="151"/>
        <v>0</v>
      </c>
      <c r="L291" s="111"/>
    </row>
    <row r="292" spans="1:14" ht="39" hidden="1" customHeight="1" x14ac:dyDescent="0.25">
      <c r="A292" s="25" t="s">
        <v>148</v>
      </c>
      <c r="B292" s="16">
        <v>903</v>
      </c>
      <c r="C292" s="20" t="s">
        <v>279</v>
      </c>
      <c r="D292" s="20" t="s">
        <v>230</v>
      </c>
      <c r="E292" s="20" t="s">
        <v>948</v>
      </c>
      <c r="F292" s="20" t="s">
        <v>149</v>
      </c>
      <c r="G292" s="419">
        <f>300-300</f>
        <v>0</v>
      </c>
      <c r="H292" s="27">
        <f t="shared" ref="H292:I292" si="152">300-300</f>
        <v>0</v>
      </c>
      <c r="I292" s="27">
        <f t="shared" si="152"/>
        <v>0</v>
      </c>
      <c r="J292" s="240"/>
      <c r="L292" s="111"/>
    </row>
    <row r="293" spans="1:14" s="230" customFormat="1" ht="39" customHeight="1" x14ac:dyDescent="0.25">
      <c r="A293" s="23" t="s">
        <v>1081</v>
      </c>
      <c r="B293" s="19">
        <v>903</v>
      </c>
      <c r="C293" s="24" t="s">
        <v>279</v>
      </c>
      <c r="D293" s="24" t="s">
        <v>230</v>
      </c>
      <c r="E293" s="24" t="s">
        <v>953</v>
      </c>
      <c r="F293" s="24"/>
      <c r="G293" s="315">
        <f>G294</f>
        <v>336</v>
      </c>
      <c r="H293" s="44">
        <f t="shared" ref="H293" si="153">H294</f>
        <v>0</v>
      </c>
      <c r="I293" s="44">
        <f t="shared" ref="I293" si="154">I294</f>
        <v>0</v>
      </c>
      <c r="J293" s="249"/>
      <c r="K293" s="111"/>
      <c r="L293" s="111"/>
    </row>
    <row r="294" spans="1:14" s="230" customFormat="1" ht="39" customHeight="1" x14ac:dyDescent="0.25">
      <c r="A294" s="25" t="s">
        <v>886</v>
      </c>
      <c r="B294" s="16">
        <v>903</v>
      </c>
      <c r="C294" s="20" t="s">
        <v>279</v>
      </c>
      <c r="D294" s="20" t="s">
        <v>230</v>
      </c>
      <c r="E294" s="20" t="s">
        <v>1274</v>
      </c>
      <c r="F294" s="20"/>
      <c r="G294" s="415">
        <f>G295</f>
        <v>336</v>
      </c>
      <c r="H294" s="26">
        <f t="shared" ref="H294:H295" si="155">H295</f>
        <v>0</v>
      </c>
      <c r="I294" s="26">
        <f t="shared" ref="I294:I295" si="156">I295</f>
        <v>0</v>
      </c>
      <c r="J294" s="249"/>
      <c r="K294" s="111"/>
      <c r="L294" s="111"/>
    </row>
    <row r="295" spans="1:14" s="230" customFormat="1" ht="70.5" customHeight="1" x14ac:dyDescent="0.25">
      <c r="A295" s="25" t="s">
        <v>142</v>
      </c>
      <c r="B295" s="16">
        <v>903</v>
      </c>
      <c r="C295" s="20" t="s">
        <v>279</v>
      </c>
      <c r="D295" s="20" t="s">
        <v>230</v>
      </c>
      <c r="E295" s="20" t="s">
        <v>1274</v>
      </c>
      <c r="F295" s="20" t="s">
        <v>143</v>
      </c>
      <c r="G295" s="415">
        <f>G296</f>
        <v>336</v>
      </c>
      <c r="H295" s="26">
        <f t="shared" si="155"/>
        <v>0</v>
      </c>
      <c r="I295" s="26">
        <f t="shared" si="156"/>
        <v>0</v>
      </c>
      <c r="J295" s="249"/>
      <c r="K295" s="111"/>
      <c r="L295" s="111"/>
    </row>
    <row r="296" spans="1:14" s="230" customFormat="1" ht="25.5" customHeight="1" x14ac:dyDescent="0.25">
      <c r="A296" s="25" t="s">
        <v>357</v>
      </c>
      <c r="B296" s="16">
        <v>903</v>
      </c>
      <c r="C296" s="20" t="s">
        <v>279</v>
      </c>
      <c r="D296" s="20" t="s">
        <v>230</v>
      </c>
      <c r="E296" s="20" t="s">
        <v>1274</v>
      </c>
      <c r="F296" s="20" t="s">
        <v>224</v>
      </c>
      <c r="G296" s="415">
        <v>336</v>
      </c>
      <c r="H296" s="26"/>
      <c r="I296" s="26"/>
      <c r="J296" s="249"/>
      <c r="K296" s="111"/>
      <c r="L296" s="111"/>
    </row>
    <row r="297" spans="1:14" s="230" customFormat="1" ht="39" customHeight="1" x14ac:dyDescent="0.25">
      <c r="A297" s="23" t="s">
        <v>973</v>
      </c>
      <c r="B297" s="19">
        <v>903</v>
      </c>
      <c r="C297" s="24" t="s">
        <v>279</v>
      </c>
      <c r="D297" s="24" t="s">
        <v>230</v>
      </c>
      <c r="E297" s="24" t="s">
        <v>1275</v>
      </c>
      <c r="F297" s="24"/>
      <c r="G297" s="315">
        <f>G298+G301+G304</f>
        <v>1001.6300000000001</v>
      </c>
      <c r="H297" s="44">
        <f t="shared" ref="H297:I297" si="157">H298+H301+H304</f>
        <v>947.40000000000009</v>
      </c>
      <c r="I297" s="44">
        <f t="shared" si="157"/>
        <v>947.40000000000009</v>
      </c>
      <c r="J297" s="249"/>
      <c r="K297" s="111"/>
      <c r="L297" s="111"/>
    </row>
    <row r="298" spans="1:14" s="230" customFormat="1" ht="54" customHeight="1" x14ac:dyDescent="0.25">
      <c r="A298" s="31" t="s">
        <v>304</v>
      </c>
      <c r="B298" s="16">
        <v>903</v>
      </c>
      <c r="C298" s="20" t="s">
        <v>279</v>
      </c>
      <c r="D298" s="20" t="s">
        <v>230</v>
      </c>
      <c r="E298" s="20" t="s">
        <v>1276</v>
      </c>
      <c r="F298" s="20"/>
      <c r="G298" s="415">
        <f>G299</f>
        <v>100.8</v>
      </c>
      <c r="H298" s="26">
        <f t="shared" ref="H298:I299" si="158">H299</f>
        <v>65.5</v>
      </c>
      <c r="I298" s="26">
        <f t="shared" si="158"/>
        <v>65.5</v>
      </c>
      <c r="J298" s="301">
        <f>G298+G552+G626+G699</f>
        <v>2075.4</v>
      </c>
      <c r="K298" s="111">
        <v>1348.6</v>
      </c>
      <c r="L298" s="121">
        <f>K298-J298</f>
        <v>-726.80000000000018</v>
      </c>
      <c r="M298" s="230">
        <v>2075.4</v>
      </c>
      <c r="N298" s="231">
        <f>J300+J554+J628+J701</f>
        <v>2075.4001334717486</v>
      </c>
    </row>
    <row r="299" spans="1:14" s="230" customFormat="1" ht="70.5" customHeight="1" x14ac:dyDescent="0.25">
      <c r="A299" s="25" t="s">
        <v>142</v>
      </c>
      <c r="B299" s="16">
        <v>903</v>
      </c>
      <c r="C299" s="20" t="s">
        <v>279</v>
      </c>
      <c r="D299" s="20" t="s">
        <v>230</v>
      </c>
      <c r="E299" s="20" t="s">
        <v>1276</v>
      </c>
      <c r="F299" s="20" t="s">
        <v>143</v>
      </c>
      <c r="G299" s="415">
        <f>G300</f>
        <v>100.8</v>
      </c>
      <c r="H299" s="26">
        <f t="shared" si="158"/>
        <v>65.5</v>
      </c>
      <c r="I299" s="26">
        <f t="shared" si="158"/>
        <v>65.5</v>
      </c>
      <c r="J299" s="249"/>
      <c r="K299" s="111"/>
      <c r="L299" s="111"/>
    </row>
    <row r="300" spans="1:14" s="230" customFormat="1" ht="21.75" customHeight="1" x14ac:dyDescent="0.25">
      <c r="A300" s="46" t="s">
        <v>357</v>
      </c>
      <c r="B300" s="16">
        <v>903</v>
      </c>
      <c r="C300" s="20" t="s">
        <v>279</v>
      </c>
      <c r="D300" s="20" t="s">
        <v>230</v>
      </c>
      <c r="E300" s="20" t="s">
        <v>1276</v>
      </c>
      <c r="F300" s="20" t="s">
        <v>224</v>
      </c>
      <c r="G300" s="415">
        <v>100.8</v>
      </c>
      <c r="H300" s="26">
        <f t="shared" ref="H300:I300" si="159">126.7-61.2</f>
        <v>65.5</v>
      </c>
      <c r="I300" s="26">
        <f t="shared" si="159"/>
        <v>65.5</v>
      </c>
      <c r="J300" s="359">
        <f>M298/J298*G300</f>
        <v>100.8</v>
      </c>
      <c r="K300" s="111"/>
      <c r="L300" s="111"/>
    </row>
    <row r="301" spans="1:14" s="230" customFormat="1" ht="67.5" customHeight="1" x14ac:dyDescent="0.25">
      <c r="A301" s="31" t="s">
        <v>306</v>
      </c>
      <c r="B301" s="16">
        <v>903</v>
      </c>
      <c r="C301" s="20" t="s">
        <v>279</v>
      </c>
      <c r="D301" s="20" t="s">
        <v>230</v>
      </c>
      <c r="E301" s="20" t="s">
        <v>1277</v>
      </c>
      <c r="F301" s="20"/>
      <c r="G301" s="415">
        <f>G302</f>
        <v>298.35000000000002</v>
      </c>
      <c r="H301" s="26">
        <f t="shared" ref="H301:I302" si="160">H302</f>
        <v>321.50000000000006</v>
      </c>
      <c r="I301" s="26">
        <f t="shared" si="160"/>
        <v>321.50000000000006</v>
      </c>
      <c r="J301" s="301">
        <f>G555+G629+G702+G301</f>
        <v>4743.8999999999996</v>
      </c>
      <c r="K301" s="111">
        <v>5112</v>
      </c>
      <c r="L301" s="121">
        <f>K301-J301</f>
        <v>368.10000000000036</v>
      </c>
      <c r="N301" s="231">
        <f>J303+J557+J631+J704</f>
        <v>4743.9002640845074</v>
      </c>
    </row>
    <row r="302" spans="1:14" s="230" customFormat="1" ht="69.75" customHeight="1" x14ac:dyDescent="0.25">
      <c r="A302" s="25" t="s">
        <v>142</v>
      </c>
      <c r="B302" s="16">
        <v>903</v>
      </c>
      <c r="C302" s="20" t="s">
        <v>279</v>
      </c>
      <c r="D302" s="20" t="s">
        <v>230</v>
      </c>
      <c r="E302" s="20" t="s">
        <v>1277</v>
      </c>
      <c r="F302" s="20" t="s">
        <v>143</v>
      </c>
      <c r="G302" s="415">
        <f>G303</f>
        <v>298.35000000000002</v>
      </c>
      <c r="H302" s="26">
        <f t="shared" si="160"/>
        <v>321.50000000000006</v>
      </c>
      <c r="I302" s="26">
        <f t="shared" si="160"/>
        <v>321.50000000000006</v>
      </c>
      <c r="J302" s="301"/>
      <c r="K302" s="111"/>
      <c r="L302" s="111"/>
    </row>
    <row r="303" spans="1:14" s="230" customFormat="1" ht="21" customHeight="1" x14ac:dyDescent="0.25">
      <c r="A303" s="46" t="s">
        <v>357</v>
      </c>
      <c r="B303" s="16">
        <v>903</v>
      </c>
      <c r="C303" s="20" t="s">
        <v>279</v>
      </c>
      <c r="D303" s="20" t="s">
        <v>230</v>
      </c>
      <c r="E303" s="20" t="s">
        <v>1277</v>
      </c>
      <c r="F303" s="20" t="s">
        <v>224</v>
      </c>
      <c r="G303" s="415">
        <v>298.35000000000002</v>
      </c>
      <c r="H303" s="26">
        <f t="shared" ref="H303:I303" si="161">393.3-82.6+10.8</f>
        <v>321.50000000000006</v>
      </c>
      <c r="I303" s="26">
        <f t="shared" si="161"/>
        <v>321.50000000000006</v>
      </c>
      <c r="J303" s="359">
        <f>M303/J301*G303</f>
        <v>298.35000000000002</v>
      </c>
      <c r="K303" s="111"/>
      <c r="L303" s="111"/>
      <c r="M303" s="230">
        <v>4743.8999999999996</v>
      </c>
    </row>
    <row r="304" spans="1:14" s="230" customFormat="1" ht="87.75" customHeight="1" x14ac:dyDescent="0.25">
      <c r="A304" s="31" t="s">
        <v>308</v>
      </c>
      <c r="B304" s="16">
        <v>903</v>
      </c>
      <c r="C304" s="20" t="s">
        <v>279</v>
      </c>
      <c r="D304" s="20" t="s">
        <v>230</v>
      </c>
      <c r="E304" s="20" t="s">
        <v>1278</v>
      </c>
      <c r="F304" s="20"/>
      <c r="G304" s="415">
        <f>G305</f>
        <v>602.48</v>
      </c>
      <c r="H304" s="26">
        <f t="shared" ref="H304:I305" si="162">H305</f>
        <v>560.4</v>
      </c>
      <c r="I304" s="26">
        <f t="shared" si="162"/>
        <v>560.4</v>
      </c>
      <c r="J304" s="301">
        <f>G304+G355+G390+G561+G635+G705+G799</f>
        <v>12177.099999999999</v>
      </c>
      <c r="K304" s="331">
        <f>G304+G561+G635+G705</f>
        <v>9262.9999999999982</v>
      </c>
      <c r="L304" s="331">
        <f>G355+G390</f>
        <v>2100.6</v>
      </c>
      <c r="M304" s="230">
        <v>12177.1</v>
      </c>
      <c r="N304" s="231">
        <f>J306+J392+J357+J563+J637+J707+J801</f>
        <v>12177.1</v>
      </c>
    </row>
    <row r="305" spans="1:12" s="230" customFormat="1" ht="62.25" customHeight="1" x14ac:dyDescent="0.25">
      <c r="A305" s="25" t="s">
        <v>142</v>
      </c>
      <c r="B305" s="16">
        <v>903</v>
      </c>
      <c r="C305" s="20" t="s">
        <v>279</v>
      </c>
      <c r="D305" s="20" t="s">
        <v>230</v>
      </c>
      <c r="E305" s="20" t="s">
        <v>1278</v>
      </c>
      <c r="F305" s="20" t="s">
        <v>143</v>
      </c>
      <c r="G305" s="415">
        <f>G306</f>
        <v>602.48</v>
      </c>
      <c r="H305" s="26">
        <f t="shared" si="162"/>
        <v>560.4</v>
      </c>
      <c r="I305" s="26">
        <f t="shared" si="162"/>
        <v>560.4</v>
      </c>
      <c r="J305" s="249"/>
      <c r="K305" s="111"/>
      <c r="L305" s="111"/>
    </row>
    <row r="306" spans="1:12" s="230" customFormat="1" ht="16.5" customHeight="1" x14ac:dyDescent="0.25">
      <c r="A306" s="46" t="s">
        <v>357</v>
      </c>
      <c r="B306" s="16">
        <v>903</v>
      </c>
      <c r="C306" s="20" t="s">
        <v>279</v>
      </c>
      <c r="D306" s="20" t="s">
        <v>230</v>
      </c>
      <c r="E306" s="20" t="s">
        <v>1278</v>
      </c>
      <c r="F306" s="20" t="s">
        <v>224</v>
      </c>
      <c r="G306" s="415">
        <v>602.48</v>
      </c>
      <c r="H306" s="26">
        <f t="shared" ref="H306:I306" si="163">600-0.3-10.2-29.1</f>
        <v>560.4</v>
      </c>
      <c r="I306" s="26">
        <f t="shared" si="163"/>
        <v>560.4</v>
      </c>
      <c r="J306" s="359">
        <f>12177.1/11326.6*560.4</f>
        <v>602.47972383592605</v>
      </c>
      <c r="K306" s="111"/>
      <c r="L306" s="111"/>
    </row>
    <row r="307" spans="1:12" ht="51" customHeight="1" x14ac:dyDescent="0.25">
      <c r="A307" s="41" t="s">
        <v>729</v>
      </c>
      <c r="B307" s="19">
        <v>903</v>
      </c>
      <c r="C307" s="24" t="s">
        <v>279</v>
      </c>
      <c r="D307" s="24" t="s">
        <v>230</v>
      </c>
      <c r="E307" s="24" t="s">
        <v>727</v>
      </c>
      <c r="F307" s="24"/>
      <c r="G307" s="416">
        <f>G309</f>
        <v>221</v>
      </c>
      <c r="H307" s="21">
        <f t="shared" ref="H307:I307" si="164">H309</f>
        <v>221</v>
      </c>
      <c r="I307" s="21">
        <f t="shared" si="164"/>
        <v>221</v>
      </c>
      <c r="L307" s="111"/>
    </row>
    <row r="308" spans="1:12" s="230" customFormat="1" ht="48.75" customHeight="1" x14ac:dyDescent="0.25">
      <c r="A308" s="41" t="s">
        <v>951</v>
      </c>
      <c r="B308" s="19">
        <v>903</v>
      </c>
      <c r="C308" s="24" t="s">
        <v>279</v>
      </c>
      <c r="D308" s="24" t="s">
        <v>230</v>
      </c>
      <c r="E308" s="24" t="s">
        <v>949</v>
      </c>
      <c r="F308" s="24"/>
      <c r="G308" s="416">
        <f>G309</f>
        <v>221</v>
      </c>
      <c r="H308" s="21">
        <f t="shared" ref="H308:I310" si="165">H309</f>
        <v>221</v>
      </c>
      <c r="I308" s="21">
        <f t="shared" si="165"/>
        <v>221</v>
      </c>
      <c r="J308" s="212"/>
      <c r="K308" s="111"/>
      <c r="L308" s="111"/>
    </row>
    <row r="309" spans="1:12" ht="32.25" customHeight="1" x14ac:dyDescent="0.25">
      <c r="A309" s="101" t="s">
        <v>1163</v>
      </c>
      <c r="B309" s="20" t="s">
        <v>643</v>
      </c>
      <c r="C309" s="20" t="s">
        <v>279</v>
      </c>
      <c r="D309" s="20" t="s">
        <v>230</v>
      </c>
      <c r="E309" s="20" t="s">
        <v>950</v>
      </c>
      <c r="F309" s="32"/>
      <c r="G309" s="415">
        <f>G310</f>
        <v>221</v>
      </c>
      <c r="H309" s="26">
        <f t="shared" si="165"/>
        <v>221</v>
      </c>
      <c r="I309" s="26">
        <f t="shared" si="165"/>
        <v>221</v>
      </c>
      <c r="L309" s="111"/>
    </row>
    <row r="310" spans="1:12" ht="33" customHeight="1" x14ac:dyDescent="0.25">
      <c r="A310" s="25" t="s">
        <v>146</v>
      </c>
      <c r="B310" s="16">
        <v>903</v>
      </c>
      <c r="C310" s="20" t="s">
        <v>279</v>
      </c>
      <c r="D310" s="20" t="s">
        <v>230</v>
      </c>
      <c r="E310" s="20" t="s">
        <v>950</v>
      </c>
      <c r="F310" s="32" t="s">
        <v>147</v>
      </c>
      <c r="G310" s="415">
        <f>G311</f>
        <v>221</v>
      </c>
      <c r="H310" s="26">
        <f t="shared" si="165"/>
        <v>221</v>
      </c>
      <c r="I310" s="26">
        <f t="shared" si="165"/>
        <v>221</v>
      </c>
      <c r="L310" s="111"/>
    </row>
    <row r="311" spans="1:12" ht="34.5" customHeight="1" x14ac:dyDescent="0.25">
      <c r="A311" s="25" t="s">
        <v>148</v>
      </c>
      <c r="B311" s="16">
        <v>903</v>
      </c>
      <c r="C311" s="20" t="s">
        <v>279</v>
      </c>
      <c r="D311" s="20" t="s">
        <v>230</v>
      </c>
      <c r="E311" s="20" t="s">
        <v>950</v>
      </c>
      <c r="F311" s="32" t="s">
        <v>149</v>
      </c>
      <c r="G311" s="415">
        <v>221</v>
      </c>
      <c r="H311" s="26">
        <v>221</v>
      </c>
      <c r="I311" s="26">
        <v>221</v>
      </c>
      <c r="L311" s="111"/>
    </row>
    <row r="312" spans="1:12" ht="19.5" customHeight="1" x14ac:dyDescent="0.25">
      <c r="A312" s="23" t="s">
        <v>481</v>
      </c>
      <c r="B312" s="19">
        <v>903</v>
      </c>
      <c r="C312" s="24" t="s">
        <v>279</v>
      </c>
      <c r="D312" s="24" t="s">
        <v>279</v>
      </c>
      <c r="E312" s="20"/>
      <c r="F312" s="20"/>
      <c r="G312" s="416">
        <f>G313</f>
        <v>760</v>
      </c>
      <c r="H312" s="21">
        <f t="shared" ref="H312:I313" si="166">H313</f>
        <v>900</v>
      </c>
      <c r="I312" s="21">
        <f t="shared" si="166"/>
        <v>900</v>
      </c>
      <c r="L312" s="111"/>
    </row>
    <row r="313" spans="1:12" ht="52.5" customHeight="1" x14ac:dyDescent="0.25">
      <c r="A313" s="23" t="s">
        <v>358</v>
      </c>
      <c r="B313" s="19">
        <v>903</v>
      </c>
      <c r="C313" s="24" t="s">
        <v>279</v>
      </c>
      <c r="D313" s="24" t="s">
        <v>279</v>
      </c>
      <c r="E313" s="24" t="s">
        <v>359</v>
      </c>
      <c r="F313" s="24"/>
      <c r="G313" s="416">
        <f>G314</f>
        <v>760</v>
      </c>
      <c r="H313" s="21">
        <f t="shared" si="166"/>
        <v>900</v>
      </c>
      <c r="I313" s="21">
        <f t="shared" si="166"/>
        <v>900</v>
      </c>
      <c r="L313" s="111"/>
    </row>
    <row r="314" spans="1:12" ht="32.25" customHeight="1" x14ac:dyDescent="0.25">
      <c r="A314" s="23" t="s">
        <v>360</v>
      </c>
      <c r="B314" s="19">
        <v>903</v>
      </c>
      <c r="C314" s="24" t="s">
        <v>279</v>
      </c>
      <c r="D314" s="24" t="s">
        <v>279</v>
      </c>
      <c r="E314" s="24" t="s">
        <v>361</v>
      </c>
      <c r="F314" s="24"/>
      <c r="G314" s="416">
        <f>G315+G322+G328</f>
        <v>760</v>
      </c>
      <c r="H314" s="21">
        <f t="shared" ref="H314:I314" si="167">H315+H322+H328</f>
        <v>900</v>
      </c>
      <c r="I314" s="21">
        <f t="shared" si="167"/>
        <v>900</v>
      </c>
      <c r="L314" s="111"/>
    </row>
    <row r="315" spans="1:12" s="230" customFormat="1" ht="48.75" customHeight="1" x14ac:dyDescent="0.25">
      <c r="A315" s="273" t="s">
        <v>1207</v>
      </c>
      <c r="B315" s="19">
        <v>903</v>
      </c>
      <c r="C315" s="24" t="s">
        <v>279</v>
      </c>
      <c r="D315" s="24" t="s">
        <v>279</v>
      </c>
      <c r="E315" s="24" t="s">
        <v>954</v>
      </c>
      <c r="F315" s="24"/>
      <c r="G315" s="416">
        <f>G316+G319</f>
        <v>280</v>
      </c>
      <c r="H315" s="21">
        <f t="shared" ref="H315:I315" si="168">H316+H319</f>
        <v>298.60000000000002</v>
      </c>
      <c r="I315" s="21">
        <f t="shared" si="168"/>
        <v>298.60000000000002</v>
      </c>
      <c r="J315" s="212"/>
      <c r="K315" s="111"/>
      <c r="L315" s="111"/>
    </row>
    <row r="316" spans="1:12" s="230" customFormat="1" ht="23.25" customHeight="1" x14ac:dyDescent="0.25">
      <c r="A316" s="101" t="s">
        <v>1213</v>
      </c>
      <c r="B316" s="16">
        <v>903</v>
      </c>
      <c r="C316" s="20" t="s">
        <v>279</v>
      </c>
      <c r="D316" s="20" t="s">
        <v>279</v>
      </c>
      <c r="E316" s="20" t="s">
        <v>955</v>
      </c>
      <c r="F316" s="20"/>
      <c r="G316" s="415">
        <f>G317</f>
        <v>280</v>
      </c>
      <c r="H316" s="26">
        <f t="shared" ref="H316:I317" si="169">H317</f>
        <v>298.60000000000002</v>
      </c>
      <c r="I316" s="26">
        <f t="shared" si="169"/>
        <v>298.60000000000002</v>
      </c>
      <c r="J316" s="212" t="s">
        <v>1199</v>
      </c>
      <c r="K316" s="111"/>
      <c r="L316" s="111"/>
    </row>
    <row r="317" spans="1:12" s="230" customFormat="1" ht="72" customHeight="1" x14ac:dyDescent="0.25">
      <c r="A317" s="25" t="s">
        <v>142</v>
      </c>
      <c r="B317" s="16">
        <v>903</v>
      </c>
      <c r="C317" s="20" t="s">
        <v>279</v>
      </c>
      <c r="D317" s="20" t="s">
        <v>279</v>
      </c>
      <c r="E317" s="20" t="s">
        <v>955</v>
      </c>
      <c r="F317" s="20" t="s">
        <v>143</v>
      </c>
      <c r="G317" s="415">
        <f>G318</f>
        <v>280</v>
      </c>
      <c r="H317" s="26">
        <f t="shared" si="169"/>
        <v>298.60000000000002</v>
      </c>
      <c r="I317" s="26">
        <f t="shared" si="169"/>
        <v>298.60000000000002</v>
      </c>
      <c r="J317" s="212"/>
      <c r="K317" s="111"/>
      <c r="L317" s="111"/>
    </row>
    <row r="318" spans="1:12" s="230" customFormat="1" ht="18" customHeight="1" x14ac:dyDescent="0.25">
      <c r="A318" s="25" t="s">
        <v>357</v>
      </c>
      <c r="B318" s="16">
        <v>903</v>
      </c>
      <c r="C318" s="20" t="s">
        <v>279</v>
      </c>
      <c r="D318" s="20" t="s">
        <v>279</v>
      </c>
      <c r="E318" s="20" t="s">
        <v>955</v>
      </c>
      <c r="F318" s="20" t="s">
        <v>224</v>
      </c>
      <c r="G318" s="415">
        <v>280</v>
      </c>
      <c r="H318" s="26">
        <v>298.60000000000002</v>
      </c>
      <c r="I318" s="26">
        <v>298.60000000000002</v>
      </c>
      <c r="J318" s="212"/>
      <c r="K318" s="111"/>
      <c r="L318" s="111"/>
    </row>
    <row r="319" spans="1:12" s="230" customFormat="1" ht="19.5" hidden="1" customHeight="1" x14ac:dyDescent="0.25">
      <c r="A319" s="25" t="s">
        <v>1208</v>
      </c>
      <c r="B319" s="16">
        <v>903</v>
      </c>
      <c r="C319" s="20" t="s">
        <v>279</v>
      </c>
      <c r="D319" s="20" t="s">
        <v>279</v>
      </c>
      <c r="E319" s="20" t="s">
        <v>1232</v>
      </c>
      <c r="F319" s="20"/>
      <c r="G319" s="415">
        <f>G320</f>
        <v>0</v>
      </c>
      <c r="H319" s="26">
        <f t="shared" ref="H319:I320" si="170">H320</f>
        <v>0</v>
      </c>
      <c r="I319" s="26">
        <f t="shared" si="170"/>
        <v>0</v>
      </c>
      <c r="J319" s="212"/>
      <c r="K319" s="111"/>
      <c r="L319" s="111"/>
    </row>
    <row r="320" spans="1:12" s="230" customFormat="1" ht="32.25" hidden="1" customHeight="1" x14ac:dyDescent="0.25">
      <c r="A320" s="25" t="s">
        <v>146</v>
      </c>
      <c r="B320" s="16">
        <v>903</v>
      </c>
      <c r="C320" s="20" t="s">
        <v>279</v>
      </c>
      <c r="D320" s="20" t="s">
        <v>279</v>
      </c>
      <c r="E320" s="20" t="s">
        <v>1232</v>
      </c>
      <c r="F320" s="20" t="s">
        <v>147</v>
      </c>
      <c r="G320" s="415">
        <f>G321</f>
        <v>0</v>
      </c>
      <c r="H320" s="26">
        <f t="shared" si="170"/>
        <v>0</v>
      </c>
      <c r="I320" s="26">
        <f t="shared" si="170"/>
        <v>0</v>
      </c>
      <c r="J320" s="212"/>
      <c r="K320" s="111"/>
      <c r="L320" s="111"/>
    </row>
    <row r="321" spans="1:12" s="230" customFormat="1" ht="37.5" hidden="1" customHeight="1" x14ac:dyDescent="0.25">
      <c r="A321" s="25" t="s">
        <v>148</v>
      </c>
      <c r="B321" s="16">
        <v>903</v>
      </c>
      <c r="C321" s="20" t="s">
        <v>279</v>
      </c>
      <c r="D321" s="20" t="s">
        <v>279</v>
      </c>
      <c r="E321" s="20" t="s">
        <v>1232</v>
      </c>
      <c r="F321" s="20" t="s">
        <v>149</v>
      </c>
      <c r="G321" s="415">
        <v>0</v>
      </c>
      <c r="H321" s="26">
        <v>0</v>
      </c>
      <c r="I321" s="26">
        <v>0</v>
      </c>
      <c r="J321" s="212"/>
      <c r="K321" s="111"/>
      <c r="L321" s="111"/>
    </row>
    <row r="322" spans="1:12" s="230" customFormat="1" ht="64.5" customHeight="1" x14ac:dyDescent="0.25">
      <c r="A322" s="23" t="s">
        <v>1209</v>
      </c>
      <c r="B322" s="19">
        <v>903</v>
      </c>
      <c r="C322" s="24" t="s">
        <v>279</v>
      </c>
      <c r="D322" s="24" t="s">
        <v>279</v>
      </c>
      <c r="E322" s="24" t="s">
        <v>956</v>
      </c>
      <c r="F322" s="24"/>
      <c r="G322" s="416">
        <f>G323</f>
        <v>455</v>
      </c>
      <c r="H322" s="21">
        <f t="shared" ref="H322:I322" si="171">H323</f>
        <v>576.4</v>
      </c>
      <c r="I322" s="21">
        <f t="shared" si="171"/>
        <v>576.4</v>
      </c>
      <c r="J322" s="212"/>
      <c r="K322" s="111"/>
      <c r="L322" s="111"/>
    </row>
    <row r="323" spans="1:12" ht="15.75" customHeight="1" x14ac:dyDescent="0.25">
      <c r="A323" s="25" t="s">
        <v>1210</v>
      </c>
      <c r="B323" s="16">
        <v>903</v>
      </c>
      <c r="C323" s="20" t="s">
        <v>279</v>
      </c>
      <c r="D323" s="20" t="s">
        <v>279</v>
      </c>
      <c r="E323" s="20" t="s">
        <v>974</v>
      </c>
      <c r="F323" s="20"/>
      <c r="G323" s="415">
        <f>G326+G325</f>
        <v>455</v>
      </c>
      <c r="H323" s="26">
        <f t="shared" ref="H323:I323" si="172">H326+H325</f>
        <v>576.4</v>
      </c>
      <c r="I323" s="26">
        <f t="shared" si="172"/>
        <v>576.4</v>
      </c>
      <c r="L323" s="111"/>
    </row>
    <row r="324" spans="1:12" ht="63" customHeight="1" x14ac:dyDescent="0.25">
      <c r="A324" s="25" t="s">
        <v>142</v>
      </c>
      <c r="B324" s="16">
        <v>903</v>
      </c>
      <c r="C324" s="20" t="s">
        <v>279</v>
      </c>
      <c r="D324" s="20" t="s">
        <v>279</v>
      </c>
      <c r="E324" s="20" t="s">
        <v>974</v>
      </c>
      <c r="F324" s="20" t="s">
        <v>143</v>
      </c>
      <c r="G324" s="415">
        <f>G325</f>
        <v>40</v>
      </c>
      <c r="H324" s="26">
        <f t="shared" ref="H324:I324" si="173">H325</f>
        <v>40</v>
      </c>
      <c r="I324" s="26">
        <f t="shared" si="173"/>
        <v>40</v>
      </c>
      <c r="L324" s="111"/>
    </row>
    <row r="325" spans="1:12" ht="20.25" customHeight="1" x14ac:dyDescent="0.25">
      <c r="A325" s="25" t="s">
        <v>357</v>
      </c>
      <c r="B325" s="16">
        <v>903</v>
      </c>
      <c r="C325" s="20" t="s">
        <v>279</v>
      </c>
      <c r="D325" s="20" t="s">
        <v>279</v>
      </c>
      <c r="E325" s="20" t="s">
        <v>974</v>
      </c>
      <c r="F325" s="20" t="s">
        <v>224</v>
      </c>
      <c r="G325" s="415">
        <f>40</f>
        <v>40</v>
      </c>
      <c r="H325" s="26">
        <f>40</f>
        <v>40</v>
      </c>
      <c r="I325" s="26">
        <f>40</f>
        <v>40</v>
      </c>
      <c r="L325" s="111"/>
    </row>
    <row r="326" spans="1:12" ht="27" customHeight="1" x14ac:dyDescent="0.25">
      <c r="A326" s="25" t="s">
        <v>146</v>
      </c>
      <c r="B326" s="16">
        <v>903</v>
      </c>
      <c r="C326" s="20" t="s">
        <v>279</v>
      </c>
      <c r="D326" s="20" t="s">
        <v>279</v>
      </c>
      <c r="E326" s="20" t="s">
        <v>974</v>
      </c>
      <c r="F326" s="20" t="s">
        <v>147</v>
      </c>
      <c r="G326" s="415">
        <f>G327</f>
        <v>415</v>
      </c>
      <c r="H326" s="26">
        <f t="shared" ref="H326:I326" si="174">H327</f>
        <v>536.4</v>
      </c>
      <c r="I326" s="26">
        <f t="shared" si="174"/>
        <v>536.4</v>
      </c>
      <c r="L326" s="111"/>
    </row>
    <row r="327" spans="1:12" ht="39" customHeight="1" x14ac:dyDescent="0.25">
      <c r="A327" s="25" t="s">
        <v>148</v>
      </c>
      <c r="B327" s="16">
        <v>903</v>
      </c>
      <c r="C327" s="20" t="s">
        <v>279</v>
      </c>
      <c r="D327" s="20" t="s">
        <v>279</v>
      </c>
      <c r="E327" s="20" t="s">
        <v>974</v>
      </c>
      <c r="F327" s="20" t="s">
        <v>149</v>
      </c>
      <c r="G327" s="415">
        <v>415</v>
      </c>
      <c r="H327" s="26">
        <v>536.4</v>
      </c>
      <c r="I327" s="26">
        <v>536.4</v>
      </c>
      <c r="L327" s="111"/>
    </row>
    <row r="328" spans="1:12" s="230" customFormat="1" ht="35.25" customHeight="1" x14ac:dyDescent="0.25">
      <c r="A328" s="23" t="s">
        <v>1215</v>
      </c>
      <c r="B328" s="19">
        <v>903</v>
      </c>
      <c r="C328" s="24" t="s">
        <v>279</v>
      </c>
      <c r="D328" s="24" t="s">
        <v>279</v>
      </c>
      <c r="E328" s="24" t="s">
        <v>1211</v>
      </c>
      <c r="F328" s="24"/>
      <c r="G328" s="416">
        <f>G329</f>
        <v>25</v>
      </c>
      <c r="H328" s="21">
        <f t="shared" ref="H328:I330" si="175">H329</f>
        <v>25</v>
      </c>
      <c r="I328" s="21">
        <f t="shared" si="175"/>
        <v>25</v>
      </c>
      <c r="J328" s="212"/>
      <c r="K328" s="111"/>
      <c r="L328" s="111"/>
    </row>
    <row r="329" spans="1:12" s="230" customFormat="1" ht="39.75" customHeight="1" x14ac:dyDescent="0.25">
      <c r="A329" s="303" t="s">
        <v>1212</v>
      </c>
      <c r="B329" s="16">
        <v>903</v>
      </c>
      <c r="C329" s="20" t="s">
        <v>279</v>
      </c>
      <c r="D329" s="20" t="s">
        <v>279</v>
      </c>
      <c r="E329" s="20" t="s">
        <v>1233</v>
      </c>
      <c r="F329" s="20"/>
      <c r="G329" s="415">
        <f>G330</f>
        <v>25</v>
      </c>
      <c r="H329" s="26">
        <f t="shared" si="175"/>
        <v>25</v>
      </c>
      <c r="I329" s="26">
        <f t="shared" si="175"/>
        <v>25</v>
      </c>
      <c r="J329" s="212"/>
      <c r="K329" s="111"/>
      <c r="L329" s="111"/>
    </row>
    <row r="330" spans="1:12" s="230" customFormat="1" ht="17.25" customHeight="1" x14ac:dyDescent="0.25">
      <c r="A330" s="25" t="s">
        <v>263</v>
      </c>
      <c r="B330" s="16">
        <v>903</v>
      </c>
      <c r="C330" s="20" t="s">
        <v>279</v>
      </c>
      <c r="D330" s="20" t="s">
        <v>279</v>
      </c>
      <c r="E330" s="20" t="s">
        <v>1233</v>
      </c>
      <c r="F330" s="20" t="s">
        <v>264</v>
      </c>
      <c r="G330" s="415">
        <f>G331</f>
        <v>25</v>
      </c>
      <c r="H330" s="26">
        <f t="shared" si="175"/>
        <v>25</v>
      </c>
      <c r="I330" s="26">
        <f t="shared" si="175"/>
        <v>25</v>
      </c>
      <c r="J330" s="212"/>
      <c r="K330" s="111"/>
      <c r="L330" s="111"/>
    </row>
    <row r="331" spans="1:12" s="230" customFormat="1" ht="17.25" customHeight="1" x14ac:dyDescent="0.25">
      <c r="A331" s="25" t="s">
        <v>363</v>
      </c>
      <c r="B331" s="16">
        <v>903</v>
      </c>
      <c r="C331" s="20" t="s">
        <v>279</v>
      </c>
      <c r="D331" s="20" t="s">
        <v>279</v>
      </c>
      <c r="E331" s="20" t="s">
        <v>1233</v>
      </c>
      <c r="F331" s="20" t="s">
        <v>364</v>
      </c>
      <c r="G331" s="415">
        <v>25</v>
      </c>
      <c r="H331" s="26">
        <v>25</v>
      </c>
      <c r="I331" s="26">
        <v>25</v>
      </c>
      <c r="J331" s="212"/>
      <c r="K331" s="111"/>
      <c r="L331" s="111"/>
    </row>
    <row r="332" spans="1:12" ht="15.75" x14ac:dyDescent="0.25">
      <c r="A332" s="23" t="s">
        <v>313</v>
      </c>
      <c r="B332" s="19">
        <v>903</v>
      </c>
      <c r="C332" s="24" t="s">
        <v>314</v>
      </c>
      <c r="D332" s="24"/>
      <c r="E332" s="24"/>
      <c r="F332" s="24"/>
      <c r="G332" s="416">
        <f>G333+G403</f>
        <v>69347.7</v>
      </c>
      <c r="H332" s="21" t="e">
        <f>H333+H403</f>
        <v>#REF!</v>
      </c>
      <c r="I332" s="21" t="e">
        <f>I333+I403</f>
        <v>#REF!</v>
      </c>
      <c r="L332" s="111"/>
    </row>
    <row r="333" spans="1:12" ht="15.75" x14ac:dyDescent="0.25">
      <c r="A333" s="23" t="s">
        <v>315</v>
      </c>
      <c r="B333" s="19">
        <v>903</v>
      </c>
      <c r="C333" s="24" t="s">
        <v>314</v>
      </c>
      <c r="D333" s="24" t="s">
        <v>133</v>
      </c>
      <c r="E333" s="24"/>
      <c r="F333" s="24"/>
      <c r="G333" s="416">
        <f>G334+G398+G393</f>
        <v>52008.7</v>
      </c>
      <c r="H333" s="21" t="e">
        <f>H334+H398</f>
        <v>#REF!</v>
      </c>
      <c r="I333" s="21" t="e">
        <f>I334+I398</f>
        <v>#REF!</v>
      </c>
      <c r="J333" s="212">
        <v>49157.2</v>
      </c>
      <c r="K333" s="116">
        <f>J333-G333</f>
        <v>-2851.5</v>
      </c>
      <c r="L333" s="111"/>
    </row>
    <row r="334" spans="1:12" ht="35.25" customHeight="1" x14ac:dyDescent="0.25">
      <c r="A334" s="23" t="s">
        <v>281</v>
      </c>
      <c r="B334" s="19">
        <v>903</v>
      </c>
      <c r="C334" s="24" t="s">
        <v>314</v>
      </c>
      <c r="D334" s="24" t="s">
        <v>133</v>
      </c>
      <c r="E334" s="24" t="s">
        <v>282</v>
      </c>
      <c r="F334" s="24"/>
      <c r="G334" s="416">
        <f>G335+G362</f>
        <v>51115.5</v>
      </c>
      <c r="H334" s="21" t="e">
        <f>H335+H362+H354</f>
        <v>#REF!</v>
      </c>
      <c r="I334" s="21" t="e">
        <f>I335+I362+I354</f>
        <v>#REF!</v>
      </c>
      <c r="J334" s="242"/>
      <c r="L334" s="111"/>
    </row>
    <row r="335" spans="1:12" ht="46.5" customHeight="1" x14ac:dyDescent="0.25">
      <c r="A335" s="23" t="s">
        <v>316</v>
      </c>
      <c r="B335" s="19">
        <v>903</v>
      </c>
      <c r="C335" s="24" t="s">
        <v>314</v>
      </c>
      <c r="D335" s="24" t="s">
        <v>133</v>
      </c>
      <c r="E335" s="24" t="s">
        <v>317</v>
      </c>
      <c r="F335" s="24"/>
      <c r="G335" s="416">
        <f>G336+G344+G350+G354+G358</f>
        <v>26699.79</v>
      </c>
      <c r="H335" s="21">
        <f t="shared" ref="H335:I335" si="176">H336+H344+H350+H354</f>
        <v>25924.600000000002</v>
      </c>
      <c r="I335" s="21">
        <f t="shared" si="176"/>
        <v>25924.600000000002</v>
      </c>
      <c r="J335" s="242">
        <f>G335-G354</f>
        <v>25875.5</v>
      </c>
      <c r="L335" s="111"/>
    </row>
    <row r="336" spans="1:12" s="230" customFormat="1" ht="30" customHeight="1" x14ac:dyDescent="0.25">
      <c r="A336" s="23" t="s">
        <v>958</v>
      </c>
      <c r="B336" s="19">
        <v>903</v>
      </c>
      <c r="C336" s="24" t="s">
        <v>314</v>
      </c>
      <c r="D336" s="24" t="s">
        <v>133</v>
      </c>
      <c r="E336" s="24" t="s">
        <v>959</v>
      </c>
      <c r="F336" s="24"/>
      <c r="G336" s="416">
        <f>G337</f>
        <v>23784</v>
      </c>
      <c r="H336" s="21">
        <f t="shared" ref="H336:I336" si="177">H337</f>
        <v>23289.600000000002</v>
      </c>
      <c r="I336" s="21">
        <f t="shared" si="177"/>
        <v>23289.600000000002</v>
      </c>
      <c r="J336" s="212"/>
      <c r="K336" s="111" t="s">
        <v>1325</v>
      </c>
      <c r="L336" s="111"/>
    </row>
    <row r="337" spans="1:13" s="230" customFormat="1" ht="17.25" customHeight="1" x14ac:dyDescent="0.25">
      <c r="A337" s="25" t="s">
        <v>832</v>
      </c>
      <c r="B337" s="16">
        <v>903</v>
      </c>
      <c r="C337" s="20" t="s">
        <v>314</v>
      </c>
      <c r="D337" s="20" t="s">
        <v>133</v>
      </c>
      <c r="E337" s="20" t="s">
        <v>957</v>
      </c>
      <c r="F337" s="20"/>
      <c r="G337" s="415">
        <f>G338+G340+G342</f>
        <v>23784</v>
      </c>
      <c r="H337" s="26">
        <f t="shared" ref="H337:I337" si="178">H338+H340+H342</f>
        <v>23289.600000000002</v>
      </c>
      <c r="I337" s="26">
        <f t="shared" si="178"/>
        <v>23289.600000000002</v>
      </c>
      <c r="J337" s="212"/>
      <c r="K337" s="111"/>
      <c r="L337" s="111"/>
    </row>
    <row r="338" spans="1:13" s="230" customFormat="1" ht="46.5" customHeight="1" x14ac:dyDescent="0.25">
      <c r="A338" s="25" t="s">
        <v>142</v>
      </c>
      <c r="B338" s="16">
        <v>903</v>
      </c>
      <c r="C338" s="20" t="s">
        <v>314</v>
      </c>
      <c r="D338" s="20" t="s">
        <v>133</v>
      </c>
      <c r="E338" s="20" t="s">
        <v>957</v>
      </c>
      <c r="F338" s="20" t="s">
        <v>143</v>
      </c>
      <c r="G338" s="415">
        <f>G339</f>
        <v>20032</v>
      </c>
      <c r="H338" s="26">
        <f t="shared" ref="H338:I338" si="179">H339</f>
        <v>17500.400000000001</v>
      </c>
      <c r="I338" s="26">
        <f t="shared" si="179"/>
        <v>17500.400000000001</v>
      </c>
      <c r="J338" s="212"/>
      <c r="K338" s="111"/>
      <c r="L338" s="111"/>
    </row>
    <row r="339" spans="1:13" s="230" customFormat="1" ht="33" customHeight="1" x14ac:dyDescent="0.25">
      <c r="A339" s="25" t="s">
        <v>223</v>
      </c>
      <c r="B339" s="16">
        <v>903</v>
      </c>
      <c r="C339" s="20" t="s">
        <v>314</v>
      </c>
      <c r="D339" s="20" t="s">
        <v>133</v>
      </c>
      <c r="E339" s="20" t="s">
        <v>957</v>
      </c>
      <c r="F339" s="20" t="s">
        <v>224</v>
      </c>
      <c r="G339" s="419">
        <v>20032</v>
      </c>
      <c r="H339" s="27">
        <f t="shared" ref="H339:I339" si="180">18085.4-585</f>
        <v>17500.400000000001</v>
      </c>
      <c r="I339" s="27">
        <f t="shared" si="180"/>
        <v>17500.400000000001</v>
      </c>
      <c r="J339" s="312" t="s">
        <v>888</v>
      </c>
      <c r="K339" s="111">
        <v>1.04</v>
      </c>
      <c r="L339" s="332">
        <v>20032</v>
      </c>
      <c r="M339" s="230" t="s">
        <v>1392</v>
      </c>
    </row>
    <row r="340" spans="1:13" s="230" customFormat="1" ht="36.75" customHeight="1" x14ac:dyDescent="0.25">
      <c r="A340" s="25" t="s">
        <v>146</v>
      </c>
      <c r="B340" s="16">
        <v>903</v>
      </c>
      <c r="C340" s="20" t="s">
        <v>314</v>
      </c>
      <c r="D340" s="20" t="s">
        <v>133</v>
      </c>
      <c r="E340" s="20" t="s">
        <v>957</v>
      </c>
      <c r="F340" s="20" t="s">
        <v>147</v>
      </c>
      <c r="G340" s="415">
        <f>G341</f>
        <v>3715</v>
      </c>
      <c r="H340" s="26">
        <f t="shared" ref="H340:I340" si="181">H341</f>
        <v>5681.2</v>
      </c>
      <c r="I340" s="26">
        <f t="shared" si="181"/>
        <v>5681.2</v>
      </c>
      <c r="J340" s="212"/>
      <c r="K340" s="111"/>
      <c r="L340" s="111"/>
    </row>
    <row r="341" spans="1:13" s="230" customFormat="1" ht="33" customHeight="1" x14ac:dyDescent="0.25">
      <c r="A341" s="25" t="s">
        <v>148</v>
      </c>
      <c r="B341" s="16">
        <v>903</v>
      </c>
      <c r="C341" s="20" t="s">
        <v>314</v>
      </c>
      <c r="D341" s="20" t="s">
        <v>133</v>
      </c>
      <c r="E341" s="20" t="s">
        <v>957</v>
      </c>
      <c r="F341" s="20" t="s">
        <v>149</v>
      </c>
      <c r="G341" s="419">
        <f>4715-1000</f>
        <v>3715</v>
      </c>
      <c r="H341" s="27">
        <v>5681.2</v>
      </c>
      <c r="I341" s="27">
        <v>5681.2</v>
      </c>
      <c r="J341" s="212">
        <v>-1000</v>
      </c>
      <c r="K341" s="111"/>
      <c r="L341" s="111"/>
    </row>
    <row r="342" spans="1:13" s="230" customFormat="1" ht="18" customHeight="1" x14ac:dyDescent="0.25">
      <c r="A342" s="25" t="s">
        <v>150</v>
      </c>
      <c r="B342" s="16">
        <v>903</v>
      </c>
      <c r="C342" s="20" t="s">
        <v>314</v>
      </c>
      <c r="D342" s="20" t="s">
        <v>133</v>
      </c>
      <c r="E342" s="20" t="s">
        <v>957</v>
      </c>
      <c r="F342" s="20" t="s">
        <v>160</v>
      </c>
      <c r="G342" s="415">
        <f>G343</f>
        <v>37</v>
      </c>
      <c r="H342" s="26">
        <f t="shared" ref="H342:I342" si="182">H343</f>
        <v>108</v>
      </c>
      <c r="I342" s="26">
        <f t="shared" si="182"/>
        <v>108</v>
      </c>
      <c r="J342" s="212"/>
      <c r="K342" s="111"/>
      <c r="L342" s="111"/>
    </row>
    <row r="343" spans="1:13" s="230" customFormat="1" ht="16.5" customHeight="1" x14ac:dyDescent="0.25">
      <c r="A343" s="25" t="s">
        <v>583</v>
      </c>
      <c r="B343" s="16">
        <v>903</v>
      </c>
      <c r="C343" s="20" t="s">
        <v>314</v>
      </c>
      <c r="D343" s="20" t="s">
        <v>133</v>
      </c>
      <c r="E343" s="20" t="s">
        <v>957</v>
      </c>
      <c r="F343" s="20" t="s">
        <v>153</v>
      </c>
      <c r="G343" s="415">
        <v>37</v>
      </c>
      <c r="H343" s="26">
        <v>108</v>
      </c>
      <c r="I343" s="26">
        <v>108</v>
      </c>
      <c r="J343" s="212"/>
      <c r="K343" s="111"/>
      <c r="L343" s="111"/>
    </row>
    <row r="344" spans="1:13" s="230" customFormat="1" ht="35.25" customHeight="1" x14ac:dyDescent="0.25">
      <c r="A344" s="279" t="s">
        <v>972</v>
      </c>
      <c r="B344" s="19">
        <v>903</v>
      </c>
      <c r="C344" s="24" t="s">
        <v>314</v>
      </c>
      <c r="D344" s="24" t="s">
        <v>133</v>
      </c>
      <c r="E344" s="24" t="s">
        <v>960</v>
      </c>
      <c r="F344" s="24"/>
      <c r="G344" s="416">
        <f>G345</f>
        <v>250</v>
      </c>
      <c r="H344" s="21">
        <f t="shared" ref="H344:I344" si="183">H345</f>
        <v>2050</v>
      </c>
      <c r="I344" s="21">
        <f t="shared" si="183"/>
        <v>2050</v>
      </c>
      <c r="J344" s="212"/>
      <c r="K344" s="111"/>
      <c r="L344" s="111"/>
    </row>
    <row r="345" spans="1:13" ht="35.25" customHeight="1" x14ac:dyDescent="0.25">
      <c r="A345" s="31" t="s">
        <v>861</v>
      </c>
      <c r="B345" s="16">
        <v>903</v>
      </c>
      <c r="C345" s="20" t="s">
        <v>314</v>
      </c>
      <c r="D345" s="20" t="s">
        <v>133</v>
      </c>
      <c r="E345" s="20" t="s">
        <v>961</v>
      </c>
      <c r="F345" s="20"/>
      <c r="G345" s="419">
        <f>G348+G346</f>
        <v>250</v>
      </c>
      <c r="H345" s="27">
        <f t="shared" ref="H345:I345" si="184">H348+H346</f>
        <v>2050</v>
      </c>
      <c r="I345" s="27">
        <f t="shared" si="184"/>
        <v>2050</v>
      </c>
      <c r="L345" s="111"/>
    </row>
    <row r="346" spans="1:13" ht="66" hidden="1" customHeight="1" x14ac:dyDescent="0.25">
      <c r="A346" s="25" t="s">
        <v>142</v>
      </c>
      <c r="B346" s="16">
        <v>903</v>
      </c>
      <c r="C346" s="20" t="s">
        <v>314</v>
      </c>
      <c r="D346" s="20" t="s">
        <v>133</v>
      </c>
      <c r="E346" s="20" t="s">
        <v>961</v>
      </c>
      <c r="F346" s="20" t="s">
        <v>143</v>
      </c>
      <c r="G346" s="419">
        <f>G347</f>
        <v>0</v>
      </c>
      <c r="H346" s="27">
        <f t="shared" ref="H346:I346" si="185">H347</f>
        <v>925</v>
      </c>
      <c r="I346" s="27">
        <f t="shared" si="185"/>
        <v>925</v>
      </c>
      <c r="L346" s="111"/>
    </row>
    <row r="347" spans="1:13" ht="20.25" hidden="1" customHeight="1" x14ac:dyDescent="0.25">
      <c r="A347" s="25" t="s">
        <v>223</v>
      </c>
      <c r="B347" s="16">
        <v>903</v>
      </c>
      <c r="C347" s="20" t="s">
        <v>314</v>
      </c>
      <c r="D347" s="20" t="s">
        <v>133</v>
      </c>
      <c r="E347" s="20" t="s">
        <v>961</v>
      </c>
      <c r="F347" s="20" t="s">
        <v>224</v>
      </c>
      <c r="G347" s="419">
        <v>0</v>
      </c>
      <c r="H347" s="27">
        <v>925</v>
      </c>
      <c r="I347" s="27">
        <v>925</v>
      </c>
      <c r="J347" s="240"/>
      <c r="L347" s="111"/>
    </row>
    <row r="348" spans="1:13" ht="33.75" customHeight="1" x14ac:dyDescent="0.25">
      <c r="A348" s="25" t="s">
        <v>146</v>
      </c>
      <c r="B348" s="16">
        <v>903</v>
      </c>
      <c r="C348" s="20" t="s">
        <v>314</v>
      </c>
      <c r="D348" s="20" t="s">
        <v>133</v>
      </c>
      <c r="E348" s="20" t="s">
        <v>961</v>
      </c>
      <c r="F348" s="20" t="s">
        <v>147</v>
      </c>
      <c r="G348" s="419">
        <f>G349</f>
        <v>250</v>
      </c>
      <c r="H348" s="27">
        <f t="shared" ref="H348:I348" si="186">H349</f>
        <v>1125</v>
      </c>
      <c r="I348" s="27">
        <f t="shared" si="186"/>
        <v>1125</v>
      </c>
      <c r="L348" s="111"/>
    </row>
    <row r="349" spans="1:13" ht="36.75" customHeight="1" x14ac:dyDescent="0.25">
      <c r="A349" s="25" t="s">
        <v>148</v>
      </c>
      <c r="B349" s="16">
        <v>903</v>
      </c>
      <c r="C349" s="20" t="s">
        <v>314</v>
      </c>
      <c r="D349" s="20" t="s">
        <v>133</v>
      </c>
      <c r="E349" s="20" t="s">
        <v>961</v>
      </c>
      <c r="F349" s="20" t="s">
        <v>149</v>
      </c>
      <c r="G349" s="419">
        <v>250</v>
      </c>
      <c r="H349" s="27">
        <v>1125</v>
      </c>
      <c r="I349" s="27">
        <v>1125</v>
      </c>
      <c r="J349" s="241"/>
      <c r="L349" s="111"/>
    </row>
    <row r="350" spans="1:13" s="230" customFormat="1" ht="36.75" customHeight="1" x14ac:dyDescent="0.25">
      <c r="A350" s="23" t="s">
        <v>1081</v>
      </c>
      <c r="B350" s="19">
        <v>903</v>
      </c>
      <c r="C350" s="24" t="s">
        <v>314</v>
      </c>
      <c r="D350" s="24" t="s">
        <v>133</v>
      </c>
      <c r="E350" s="24" t="s">
        <v>1170</v>
      </c>
      <c r="F350" s="24"/>
      <c r="G350" s="315">
        <f>G351</f>
        <v>588</v>
      </c>
      <c r="H350" s="44">
        <f t="shared" ref="H350:I352" si="187">H351</f>
        <v>585</v>
      </c>
      <c r="I350" s="44">
        <f t="shared" si="187"/>
        <v>585</v>
      </c>
      <c r="J350" s="265"/>
      <c r="K350" s="111"/>
      <c r="L350" s="111"/>
    </row>
    <row r="351" spans="1:13" s="230" customFormat="1" ht="36.75" customHeight="1" x14ac:dyDescent="0.25">
      <c r="A351" s="25" t="s">
        <v>886</v>
      </c>
      <c r="B351" s="16">
        <v>903</v>
      </c>
      <c r="C351" s="20" t="s">
        <v>314</v>
      </c>
      <c r="D351" s="20" t="s">
        <v>133</v>
      </c>
      <c r="E351" s="20" t="s">
        <v>1171</v>
      </c>
      <c r="F351" s="20"/>
      <c r="G351" s="415">
        <f>G352</f>
        <v>588</v>
      </c>
      <c r="H351" s="26">
        <f t="shared" si="187"/>
        <v>585</v>
      </c>
      <c r="I351" s="26">
        <f t="shared" si="187"/>
        <v>585</v>
      </c>
      <c r="J351" s="265"/>
      <c r="K351" s="111"/>
      <c r="L351" s="111"/>
    </row>
    <row r="352" spans="1:13" s="230" customFormat="1" ht="62.25" customHeight="1" x14ac:dyDescent="0.25">
      <c r="A352" s="25" t="s">
        <v>142</v>
      </c>
      <c r="B352" s="16">
        <v>903</v>
      </c>
      <c r="C352" s="20" t="s">
        <v>314</v>
      </c>
      <c r="D352" s="20" t="s">
        <v>133</v>
      </c>
      <c r="E352" s="20" t="s">
        <v>1171</v>
      </c>
      <c r="F352" s="20" t="s">
        <v>143</v>
      </c>
      <c r="G352" s="415">
        <f>G353</f>
        <v>588</v>
      </c>
      <c r="H352" s="26">
        <f t="shared" si="187"/>
        <v>585</v>
      </c>
      <c r="I352" s="26">
        <f t="shared" si="187"/>
        <v>585</v>
      </c>
      <c r="J352" s="265"/>
      <c r="K352" s="111"/>
      <c r="L352" s="111"/>
    </row>
    <row r="353" spans="1:13" s="230" customFormat="1" ht="36.75" customHeight="1" x14ac:dyDescent="0.25">
      <c r="A353" s="25" t="s">
        <v>144</v>
      </c>
      <c r="B353" s="16">
        <v>903</v>
      </c>
      <c r="C353" s="20" t="s">
        <v>314</v>
      </c>
      <c r="D353" s="20" t="s">
        <v>133</v>
      </c>
      <c r="E353" s="20" t="s">
        <v>1171</v>
      </c>
      <c r="F353" s="20" t="s">
        <v>224</v>
      </c>
      <c r="G353" s="415">
        <v>588</v>
      </c>
      <c r="H353" s="26">
        <v>585</v>
      </c>
      <c r="I353" s="26">
        <v>585</v>
      </c>
      <c r="J353" s="265"/>
      <c r="K353" s="111"/>
      <c r="L353" s="111"/>
    </row>
    <row r="354" spans="1:13" s="230" customFormat="1" ht="36.75" customHeight="1" x14ac:dyDescent="0.25">
      <c r="A354" s="280" t="s">
        <v>973</v>
      </c>
      <c r="B354" s="19">
        <v>903</v>
      </c>
      <c r="C354" s="24" t="s">
        <v>314</v>
      </c>
      <c r="D354" s="24" t="s">
        <v>133</v>
      </c>
      <c r="E354" s="24" t="s">
        <v>1172</v>
      </c>
      <c r="F354" s="24"/>
      <c r="G354" s="416">
        <f>G355</f>
        <v>824.29</v>
      </c>
      <c r="H354" s="21">
        <f t="shared" ref="H354:I356" si="188">H355</f>
        <v>0</v>
      </c>
      <c r="I354" s="21">
        <f t="shared" si="188"/>
        <v>0</v>
      </c>
      <c r="J354" s="265"/>
      <c r="K354" s="111"/>
      <c r="L354" s="111"/>
    </row>
    <row r="355" spans="1:13" s="230" customFormat="1" ht="79.5" customHeight="1" x14ac:dyDescent="0.25">
      <c r="A355" s="31" t="s">
        <v>308</v>
      </c>
      <c r="B355" s="16">
        <v>903</v>
      </c>
      <c r="C355" s="20" t="s">
        <v>314</v>
      </c>
      <c r="D355" s="20" t="s">
        <v>133</v>
      </c>
      <c r="E355" s="20" t="s">
        <v>1173</v>
      </c>
      <c r="F355" s="20"/>
      <c r="G355" s="415">
        <f>G356</f>
        <v>824.29</v>
      </c>
      <c r="H355" s="26">
        <f t="shared" si="188"/>
        <v>0</v>
      </c>
      <c r="I355" s="26">
        <f t="shared" si="188"/>
        <v>0</v>
      </c>
      <c r="J355" s="265"/>
      <c r="K355" s="111"/>
      <c r="L355" s="111"/>
    </row>
    <row r="356" spans="1:13" s="230" customFormat="1" ht="66" customHeight="1" x14ac:dyDescent="0.25">
      <c r="A356" s="25" t="s">
        <v>142</v>
      </c>
      <c r="B356" s="16">
        <v>903</v>
      </c>
      <c r="C356" s="20" t="s">
        <v>314</v>
      </c>
      <c r="D356" s="20" t="s">
        <v>133</v>
      </c>
      <c r="E356" s="20" t="s">
        <v>1173</v>
      </c>
      <c r="F356" s="20" t="s">
        <v>143</v>
      </c>
      <c r="G356" s="415">
        <f>G357</f>
        <v>824.29</v>
      </c>
      <c r="H356" s="26">
        <f t="shared" si="188"/>
        <v>0</v>
      </c>
      <c r="I356" s="26">
        <f t="shared" si="188"/>
        <v>0</v>
      </c>
      <c r="J356" s="265"/>
      <c r="K356" s="111"/>
      <c r="L356" s="111"/>
    </row>
    <row r="357" spans="1:13" s="230" customFormat="1" ht="21.75" customHeight="1" x14ac:dyDescent="0.25">
      <c r="A357" s="25" t="s">
        <v>223</v>
      </c>
      <c r="B357" s="16">
        <v>903</v>
      </c>
      <c r="C357" s="20" t="s">
        <v>314</v>
      </c>
      <c r="D357" s="20" t="s">
        <v>133</v>
      </c>
      <c r="E357" s="20" t="s">
        <v>1173</v>
      </c>
      <c r="F357" s="20" t="s">
        <v>224</v>
      </c>
      <c r="G357" s="415">
        <f>724.29+100</f>
        <v>824.29</v>
      </c>
      <c r="H357" s="26">
        <v>0</v>
      </c>
      <c r="I357" s="26">
        <v>0</v>
      </c>
      <c r="J357" s="360">
        <f>12177.1/11326.6*673.7</f>
        <v>724.28727685271838</v>
      </c>
      <c r="K357" s="111"/>
      <c r="L357" s="111"/>
    </row>
    <row r="358" spans="1:13" s="230" customFormat="1" ht="31.5" customHeight="1" x14ac:dyDescent="0.25">
      <c r="A358" s="273" t="s">
        <v>1430</v>
      </c>
      <c r="B358" s="19">
        <v>903</v>
      </c>
      <c r="C358" s="24" t="s">
        <v>314</v>
      </c>
      <c r="D358" s="24" t="s">
        <v>133</v>
      </c>
      <c r="E358" s="24" t="s">
        <v>1431</v>
      </c>
      <c r="F358" s="24"/>
      <c r="G358" s="416">
        <f>G359</f>
        <v>1253.5</v>
      </c>
      <c r="H358" s="26"/>
      <c r="I358" s="26"/>
      <c r="J358" s="360"/>
      <c r="K358" s="111"/>
      <c r="L358" s="111"/>
    </row>
    <row r="359" spans="1:13" s="230" customFormat="1" ht="48" customHeight="1" x14ac:dyDescent="0.25">
      <c r="A359" s="101" t="s">
        <v>1432</v>
      </c>
      <c r="B359" s="16">
        <v>903</v>
      </c>
      <c r="C359" s="20" t="s">
        <v>314</v>
      </c>
      <c r="D359" s="20" t="s">
        <v>133</v>
      </c>
      <c r="E359" s="20" t="s">
        <v>1433</v>
      </c>
      <c r="F359" s="20"/>
      <c r="G359" s="415">
        <f>G360</f>
        <v>1253.5</v>
      </c>
      <c r="H359" s="26"/>
      <c r="I359" s="26"/>
      <c r="J359" s="360"/>
      <c r="K359" s="111"/>
      <c r="L359" s="111"/>
    </row>
    <row r="360" spans="1:13" s="230" customFormat="1" ht="35.25" customHeight="1" x14ac:dyDescent="0.25">
      <c r="A360" s="25" t="s">
        <v>146</v>
      </c>
      <c r="B360" s="16">
        <v>903</v>
      </c>
      <c r="C360" s="20" t="s">
        <v>314</v>
      </c>
      <c r="D360" s="20" t="s">
        <v>133</v>
      </c>
      <c r="E360" s="20" t="s">
        <v>1433</v>
      </c>
      <c r="F360" s="20" t="s">
        <v>147</v>
      </c>
      <c r="G360" s="415">
        <f>G361</f>
        <v>1253.5</v>
      </c>
      <c r="H360" s="26"/>
      <c r="I360" s="26"/>
      <c r="J360" s="360"/>
      <c r="K360" s="111"/>
      <c r="L360" s="111"/>
    </row>
    <row r="361" spans="1:13" s="230" customFormat="1" ht="34.5" customHeight="1" x14ac:dyDescent="0.25">
      <c r="A361" s="25" t="s">
        <v>148</v>
      </c>
      <c r="B361" s="16">
        <v>903</v>
      </c>
      <c r="C361" s="20" t="s">
        <v>314</v>
      </c>
      <c r="D361" s="20" t="s">
        <v>133</v>
      </c>
      <c r="E361" s="20" t="s">
        <v>1433</v>
      </c>
      <c r="F361" s="20" t="s">
        <v>149</v>
      </c>
      <c r="G361" s="415">
        <v>1253.5</v>
      </c>
      <c r="H361" s="26"/>
      <c r="I361" s="26"/>
      <c r="J361" s="360"/>
      <c r="K361" s="111"/>
      <c r="L361" s="111"/>
    </row>
    <row r="362" spans="1:13" ht="37.5" customHeight="1" x14ac:dyDescent="0.25">
      <c r="A362" s="23" t="s">
        <v>327</v>
      </c>
      <c r="B362" s="19">
        <v>903</v>
      </c>
      <c r="C362" s="24" t="s">
        <v>314</v>
      </c>
      <c r="D362" s="24" t="s">
        <v>133</v>
      </c>
      <c r="E362" s="24" t="s">
        <v>328</v>
      </c>
      <c r="F362" s="24"/>
      <c r="G362" s="416">
        <f>G363+G371+G379+G386+G375</f>
        <v>24415.71</v>
      </c>
      <c r="H362" s="21" t="e">
        <f>H363+H371+H379+H386+H375</f>
        <v>#REF!</v>
      </c>
      <c r="I362" s="21" t="e">
        <f>I363+I371+I379+I386+I375</f>
        <v>#REF!</v>
      </c>
      <c r="J362" s="242">
        <f>G363+G371+G375+G380+G398-330</f>
        <v>23217.7</v>
      </c>
      <c r="L362" s="111"/>
    </row>
    <row r="363" spans="1:13" s="230" customFormat="1" ht="37.5" customHeight="1" x14ac:dyDescent="0.25">
      <c r="A363" s="23" t="s">
        <v>958</v>
      </c>
      <c r="B363" s="19">
        <v>903</v>
      </c>
      <c r="C363" s="24" t="s">
        <v>314</v>
      </c>
      <c r="D363" s="24" t="s">
        <v>133</v>
      </c>
      <c r="E363" s="24" t="s">
        <v>962</v>
      </c>
      <c r="F363" s="24"/>
      <c r="G363" s="416">
        <f>G364</f>
        <v>22194</v>
      </c>
      <c r="H363" s="21">
        <f t="shared" ref="H363:I363" si="189">H364</f>
        <v>18780.7</v>
      </c>
      <c r="I363" s="21">
        <f t="shared" si="189"/>
        <v>18780.7</v>
      </c>
      <c r="J363" s="212"/>
      <c r="K363" s="111"/>
      <c r="L363" s="111"/>
    </row>
    <row r="364" spans="1:13" s="230" customFormat="1" ht="18" customHeight="1" x14ac:dyDescent="0.25">
      <c r="A364" s="25" t="s">
        <v>832</v>
      </c>
      <c r="B364" s="16">
        <v>903</v>
      </c>
      <c r="C364" s="20" t="s">
        <v>314</v>
      </c>
      <c r="D364" s="20" t="s">
        <v>133</v>
      </c>
      <c r="E364" s="20" t="s">
        <v>963</v>
      </c>
      <c r="F364" s="20"/>
      <c r="G364" s="415">
        <f>G365+G367+G369</f>
        <v>22194</v>
      </c>
      <c r="H364" s="26">
        <f t="shared" ref="H364:I364" si="190">H365+H367+H369</f>
        <v>18780.7</v>
      </c>
      <c r="I364" s="26">
        <f t="shared" si="190"/>
        <v>18780.7</v>
      </c>
      <c r="J364" s="212"/>
      <c r="K364" s="111"/>
      <c r="L364" s="111"/>
    </row>
    <row r="365" spans="1:13" s="230" customFormat="1" ht="60.75" customHeight="1" x14ac:dyDescent="0.25">
      <c r="A365" s="25" t="s">
        <v>142</v>
      </c>
      <c r="B365" s="16">
        <v>903</v>
      </c>
      <c r="C365" s="20" t="s">
        <v>314</v>
      </c>
      <c r="D365" s="20" t="s">
        <v>133</v>
      </c>
      <c r="E365" s="20" t="s">
        <v>963</v>
      </c>
      <c r="F365" s="20" t="s">
        <v>143</v>
      </c>
      <c r="G365" s="415">
        <f>G366</f>
        <v>19218</v>
      </c>
      <c r="H365" s="26">
        <f t="shared" ref="H365:I365" si="191">H366</f>
        <v>14886.2</v>
      </c>
      <c r="I365" s="26">
        <f t="shared" si="191"/>
        <v>14886.2</v>
      </c>
      <c r="J365" s="212"/>
      <c r="K365" s="111"/>
      <c r="L365" s="111"/>
    </row>
    <row r="366" spans="1:13" s="230" customFormat="1" ht="31.5" customHeight="1" x14ac:dyDescent="0.25">
      <c r="A366" s="25" t="s">
        <v>223</v>
      </c>
      <c r="B366" s="16">
        <v>903</v>
      </c>
      <c r="C366" s="20" t="s">
        <v>314</v>
      </c>
      <c r="D366" s="20" t="s">
        <v>133</v>
      </c>
      <c r="E366" s="20" t="s">
        <v>963</v>
      </c>
      <c r="F366" s="20" t="s">
        <v>224</v>
      </c>
      <c r="G366" s="419">
        <v>19218</v>
      </c>
      <c r="H366" s="27">
        <f t="shared" ref="H366:I366" si="192">15393.2-507</f>
        <v>14886.2</v>
      </c>
      <c r="I366" s="27">
        <f t="shared" si="192"/>
        <v>14886.2</v>
      </c>
      <c r="J366" s="312" t="s">
        <v>888</v>
      </c>
      <c r="K366" s="111">
        <v>1.07</v>
      </c>
      <c r="L366" s="332">
        <v>19218</v>
      </c>
      <c r="M366" s="230" t="s">
        <v>1392</v>
      </c>
    </row>
    <row r="367" spans="1:13" s="230" customFormat="1" ht="37.5" customHeight="1" x14ac:dyDescent="0.25">
      <c r="A367" s="25" t="s">
        <v>146</v>
      </c>
      <c r="B367" s="16">
        <v>903</v>
      </c>
      <c r="C367" s="20" t="s">
        <v>314</v>
      </c>
      <c r="D367" s="20" t="s">
        <v>133</v>
      </c>
      <c r="E367" s="20" t="s">
        <v>963</v>
      </c>
      <c r="F367" s="20" t="s">
        <v>147</v>
      </c>
      <c r="G367" s="415">
        <f>G368</f>
        <v>2950</v>
      </c>
      <c r="H367" s="26">
        <f t="shared" ref="H367:I367" si="193">H368</f>
        <v>3857.9</v>
      </c>
      <c r="I367" s="26">
        <f t="shared" si="193"/>
        <v>3857.9</v>
      </c>
      <c r="J367" s="212"/>
      <c r="K367" s="111"/>
      <c r="L367" s="111"/>
    </row>
    <row r="368" spans="1:13" s="230" customFormat="1" ht="37.5" customHeight="1" x14ac:dyDescent="0.25">
      <c r="A368" s="25" t="s">
        <v>148</v>
      </c>
      <c r="B368" s="16">
        <v>903</v>
      </c>
      <c r="C368" s="20" t="s">
        <v>314</v>
      </c>
      <c r="D368" s="20" t="s">
        <v>133</v>
      </c>
      <c r="E368" s="20" t="s">
        <v>963</v>
      </c>
      <c r="F368" s="20" t="s">
        <v>149</v>
      </c>
      <c r="G368" s="419">
        <f>3450-500</f>
        <v>2950</v>
      </c>
      <c r="H368" s="27">
        <v>3857.9</v>
      </c>
      <c r="I368" s="27">
        <v>3857.9</v>
      </c>
      <c r="J368" s="212">
        <v>-500</v>
      </c>
      <c r="K368" s="111"/>
      <c r="L368" s="111"/>
    </row>
    <row r="369" spans="1:12" s="230" customFormat="1" ht="21" customHeight="1" x14ac:dyDescent="0.25">
      <c r="A369" s="25" t="s">
        <v>150</v>
      </c>
      <c r="B369" s="16">
        <v>903</v>
      </c>
      <c r="C369" s="20" t="s">
        <v>314</v>
      </c>
      <c r="D369" s="20" t="s">
        <v>133</v>
      </c>
      <c r="E369" s="20" t="s">
        <v>963</v>
      </c>
      <c r="F369" s="20" t="s">
        <v>160</v>
      </c>
      <c r="G369" s="415">
        <f>G370</f>
        <v>26</v>
      </c>
      <c r="H369" s="26">
        <f t="shared" ref="H369:I369" si="194">H370</f>
        <v>36.6</v>
      </c>
      <c r="I369" s="26">
        <f t="shared" si="194"/>
        <v>36.6</v>
      </c>
      <c r="J369" s="212"/>
      <c r="K369" s="111"/>
      <c r="L369" s="111"/>
    </row>
    <row r="370" spans="1:12" s="230" customFormat="1" ht="22.5" customHeight="1" x14ac:dyDescent="0.25">
      <c r="A370" s="25" t="s">
        <v>583</v>
      </c>
      <c r="B370" s="16">
        <v>903</v>
      </c>
      <c r="C370" s="20" t="s">
        <v>314</v>
      </c>
      <c r="D370" s="20" t="s">
        <v>133</v>
      </c>
      <c r="E370" s="20" t="s">
        <v>963</v>
      </c>
      <c r="F370" s="20" t="s">
        <v>153</v>
      </c>
      <c r="G370" s="415">
        <v>26</v>
      </c>
      <c r="H370" s="26">
        <v>36.6</v>
      </c>
      <c r="I370" s="26">
        <v>36.6</v>
      </c>
      <c r="J370" s="212"/>
      <c r="K370" s="111"/>
      <c r="L370" s="111"/>
    </row>
    <row r="371" spans="1:12" s="230" customFormat="1" ht="33" customHeight="1" x14ac:dyDescent="0.25">
      <c r="A371" s="23" t="s">
        <v>975</v>
      </c>
      <c r="B371" s="19">
        <v>903</v>
      </c>
      <c r="C371" s="24" t="s">
        <v>314</v>
      </c>
      <c r="D371" s="24" t="s">
        <v>133</v>
      </c>
      <c r="E371" s="24" t="s">
        <v>964</v>
      </c>
      <c r="F371" s="24"/>
      <c r="G371" s="416">
        <f>G372</f>
        <v>50</v>
      </c>
      <c r="H371" s="21">
        <f t="shared" ref="H371:I373" si="195">H372</f>
        <v>227.5</v>
      </c>
      <c r="I371" s="21">
        <f t="shared" si="195"/>
        <v>227.5</v>
      </c>
      <c r="J371" s="212"/>
      <c r="K371" s="111"/>
      <c r="L371" s="111"/>
    </row>
    <row r="372" spans="1:12" s="230" customFormat="1" ht="32.25" customHeight="1" x14ac:dyDescent="0.25">
      <c r="A372" s="25" t="s">
        <v>867</v>
      </c>
      <c r="B372" s="16">
        <v>903</v>
      </c>
      <c r="C372" s="20" t="s">
        <v>314</v>
      </c>
      <c r="D372" s="20" t="s">
        <v>133</v>
      </c>
      <c r="E372" s="20" t="s">
        <v>965</v>
      </c>
      <c r="F372" s="20"/>
      <c r="G372" s="415">
        <f>G373</f>
        <v>50</v>
      </c>
      <c r="H372" s="26">
        <f t="shared" si="195"/>
        <v>227.5</v>
      </c>
      <c r="I372" s="26">
        <f t="shared" si="195"/>
        <v>227.5</v>
      </c>
      <c r="J372" s="212"/>
      <c r="K372" s="111"/>
      <c r="L372" s="111"/>
    </row>
    <row r="373" spans="1:12" s="230" customFormat="1" ht="33.75" customHeight="1" x14ac:dyDescent="0.25">
      <c r="A373" s="25" t="s">
        <v>146</v>
      </c>
      <c r="B373" s="16">
        <v>903</v>
      </c>
      <c r="C373" s="20" t="s">
        <v>314</v>
      </c>
      <c r="D373" s="20" t="s">
        <v>133</v>
      </c>
      <c r="E373" s="20" t="s">
        <v>965</v>
      </c>
      <c r="F373" s="20" t="s">
        <v>147</v>
      </c>
      <c r="G373" s="415">
        <f>G374</f>
        <v>50</v>
      </c>
      <c r="H373" s="26">
        <f t="shared" si="195"/>
        <v>227.5</v>
      </c>
      <c r="I373" s="26">
        <f t="shared" si="195"/>
        <v>227.5</v>
      </c>
      <c r="J373" s="212"/>
      <c r="K373" s="111"/>
      <c r="L373" s="111"/>
    </row>
    <row r="374" spans="1:12" s="230" customFormat="1" ht="31.5" customHeight="1" x14ac:dyDescent="0.25">
      <c r="A374" s="25" t="s">
        <v>148</v>
      </c>
      <c r="B374" s="16">
        <v>903</v>
      </c>
      <c r="C374" s="20" t="s">
        <v>314</v>
      </c>
      <c r="D374" s="20" t="s">
        <v>133</v>
      </c>
      <c r="E374" s="20" t="s">
        <v>965</v>
      </c>
      <c r="F374" s="20" t="s">
        <v>149</v>
      </c>
      <c r="G374" s="415">
        <v>50</v>
      </c>
      <c r="H374" s="26">
        <v>227.5</v>
      </c>
      <c r="I374" s="26">
        <v>227.5</v>
      </c>
      <c r="J374" s="212"/>
      <c r="K374" s="111"/>
      <c r="L374" s="111"/>
    </row>
    <row r="375" spans="1:12" s="230" customFormat="1" ht="31.5" customHeight="1" x14ac:dyDescent="0.25">
      <c r="A375" s="23" t="s">
        <v>1081</v>
      </c>
      <c r="B375" s="19">
        <v>903</v>
      </c>
      <c r="C375" s="24" t="s">
        <v>314</v>
      </c>
      <c r="D375" s="24" t="s">
        <v>133</v>
      </c>
      <c r="E375" s="24" t="s">
        <v>966</v>
      </c>
      <c r="F375" s="24"/>
      <c r="G375" s="416">
        <f>G376</f>
        <v>507</v>
      </c>
      <c r="H375" s="21">
        <f t="shared" ref="H375:I377" si="196">H376</f>
        <v>507</v>
      </c>
      <c r="I375" s="21">
        <f t="shared" si="196"/>
        <v>507</v>
      </c>
      <c r="J375" s="212"/>
      <c r="K375" s="111"/>
      <c r="L375" s="111"/>
    </row>
    <row r="376" spans="1:12" s="230" customFormat="1" ht="31.5" customHeight="1" x14ac:dyDescent="0.25">
      <c r="A376" s="25" t="s">
        <v>886</v>
      </c>
      <c r="B376" s="16">
        <v>903</v>
      </c>
      <c r="C376" s="20" t="s">
        <v>314</v>
      </c>
      <c r="D376" s="20" t="s">
        <v>133</v>
      </c>
      <c r="E376" s="20" t="s">
        <v>1263</v>
      </c>
      <c r="F376" s="20"/>
      <c r="G376" s="415">
        <f>G377</f>
        <v>507</v>
      </c>
      <c r="H376" s="26">
        <f t="shared" si="196"/>
        <v>507</v>
      </c>
      <c r="I376" s="26">
        <f t="shared" si="196"/>
        <v>507</v>
      </c>
      <c r="J376" s="212"/>
      <c r="K376" s="111"/>
      <c r="L376" s="111"/>
    </row>
    <row r="377" spans="1:12" s="230" customFormat="1" ht="31.5" customHeight="1" x14ac:dyDescent="0.25">
      <c r="A377" s="25" t="s">
        <v>142</v>
      </c>
      <c r="B377" s="16">
        <v>903</v>
      </c>
      <c r="C377" s="20" t="s">
        <v>314</v>
      </c>
      <c r="D377" s="20" t="s">
        <v>133</v>
      </c>
      <c r="E377" s="20" t="s">
        <v>1263</v>
      </c>
      <c r="F377" s="20" t="s">
        <v>143</v>
      </c>
      <c r="G377" s="415">
        <f>G378</f>
        <v>507</v>
      </c>
      <c r="H377" s="26">
        <f t="shared" si="196"/>
        <v>507</v>
      </c>
      <c r="I377" s="26">
        <f t="shared" si="196"/>
        <v>507</v>
      </c>
      <c r="J377" s="212"/>
      <c r="K377" s="111"/>
      <c r="L377" s="111"/>
    </row>
    <row r="378" spans="1:12" s="230" customFormat="1" ht="17.25" customHeight="1" x14ac:dyDescent="0.25">
      <c r="A378" s="25" t="s">
        <v>223</v>
      </c>
      <c r="B378" s="16">
        <v>903</v>
      </c>
      <c r="C378" s="20" t="s">
        <v>314</v>
      </c>
      <c r="D378" s="20" t="s">
        <v>133</v>
      </c>
      <c r="E378" s="20" t="s">
        <v>1263</v>
      </c>
      <c r="F378" s="20" t="s">
        <v>224</v>
      </c>
      <c r="G378" s="415">
        <v>507</v>
      </c>
      <c r="H378" s="26">
        <v>507</v>
      </c>
      <c r="I378" s="26">
        <v>507</v>
      </c>
      <c r="J378" s="212"/>
      <c r="K378" s="111"/>
      <c r="L378" s="111"/>
    </row>
    <row r="379" spans="1:12" s="230" customFormat="1" ht="21" customHeight="1" x14ac:dyDescent="0.25">
      <c r="A379" s="23" t="s">
        <v>1169</v>
      </c>
      <c r="B379" s="19">
        <v>903</v>
      </c>
      <c r="C379" s="24" t="s">
        <v>314</v>
      </c>
      <c r="D379" s="24" t="s">
        <v>133</v>
      </c>
      <c r="E379" s="24" t="s">
        <v>967</v>
      </c>
      <c r="F379" s="24"/>
      <c r="G379" s="416">
        <f>G380+G383</f>
        <v>68.7</v>
      </c>
      <c r="H379" s="21">
        <f t="shared" ref="H379:I379" si="197">H380+H383</f>
        <v>72.599999999999994</v>
      </c>
      <c r="I379" s="21">
        <f t="shared" si="197"/>
        <v>72.599999999999994</v>
      </c>
      <c r="J379" s="212"/>
      <c r="K379" s="111"/>
      <c r="L379" s="111"/>
    </row>
    <row r="380" spans="1:12" ht="15.75" x14ac:dyDescent="0.25">
      <c r="A380" s="25" t="s">
        <v>1307</v>
      </c>
      <c r="B380" s="16">
        <v>903</v>
      </c>
      <c r="C380" s="20" t="s">
        <v>314</v>
      </c>
      <c r="D380" s="20" t="s">
        <v>133</v>
      </c>
      <c r="E380" s="20" t="s">
        <v>1264</v>
      </c>
      <c r="F380" s="20"/>
      <c r="G380" s="415">
        <f>G381</f>
        <v>3.5</v>
      </c>
      <c r="H380" s="26">
        <f t="shared" ref="H380:I381" si="198">H381</f>
        <v>3.5</v>
      </c>
      <c r="I380" s="26">
        <f t="shared" si="198"/>
        <v>3.5</v>
      </c>
      <c r="L380" s="111"/>
    </row>
    <row r="381" spans="1:12" ht="15.75" x14ac:dyDescent="0.25">
      <c r="A381" s="25" t="s">
        <v>146</v>
      </c>
      <c r="B381" s="16">
        <v>903</v>
      </c>
      <c r="C381" s="20" t="s">
        <v>314</v>
      </c>
      <c r="D381" s="20" t="s">
        <v>133</v>
      </c>
      <c r="E381" s="20" t="s">
        <v>1264</v>
      </c>
      <c r="F381" s="20" t="s">
        <v>147</v>
      </c>
      <c r="G381" s="415">
        <f>G382</f>
        <v>3.5</v>
      </c>
      <c r="H381" s="26">
        <f t="shared" si="198"/>
        <v>3.5</v>
      </c>
      <c r="I381" s="26">
        <f t="shared" si="198"/>
        <v>3.5</v>
      </c>
      <c r="L381" s="111"/>
    </row>
    <row r="382" spans="1:12" ht="31.5" x14ac:dyDescent="0.25">
      <c r="A382" s="25" t="s">
        <v>148</v>
      </c>
      <c r="B382" s="16">
        <v>903</v>
      </c>
      <c r="C382" s="20" t="s">
        <v>314</v>
      </c>
      <c r="D382" s="20" t="s">
        <v>133</v>
      </c>
      <c r="E382" s="20" t="s">
        <v>1264</v>
      </c>
      <c r="F382" s="20" t="s">
        <v>149</v>
      </c>
      <c r="G382" s="415">
        <v>3.5</v>
      </c>
      <c r="H382" s="26">
        <v>3.5</v>
      </c>
      <c r="I382" s="26">
        <v>3.5</v>
      </c>
      <c r="J382" s="240"/>
      <c r="L382" s="111"/>
    </row>
    <row r="383" spans="1:12" ht="15.75" x14ac:dyDescent="0.25">
      <c r="A383" s="25" t="s">
        <v>344</v>
      </c>
      <c r="B383" s="16">
        <v>903</v>
      </c>
      <c r="C383" s="20" t="s">
        <v>314</v>
      </c>
      <c r="D383" s="20" t="s">
        <v>133</v>
      </c>
      <c r="E383" s="20" t="s">
        <v>1265</v>
      </c>
      <c r="F383" s="20"/>
      <c r="G383" s="415">
        <f>G384</f>
        <v>65.2</v>
      </c>
      <c r="H383" s="26">
        <f t="shared" ref="H383:I384" si="199">H384</f>
        <v>69.099999999999994</v>
      </c>
      <c r="I383" s="26">
        <f t="shared" si="199"/>
        <v>69.099999999999994</v>
      </c>
      <c r="L383" s="111"/>
    </row>
    <row r="384" spans="1:12" ht="15.75" x14ac:dyDescent="0.25">
      <c r="A384" s="25" t="s">
        <v>146</v>
      </c>
      <c r="B384" s="16">
        <v>903</v>
      </c>
      <c r="C384" s="20" t="s">
        <v>314</v>
      </c>
      <c r="D384" s="20" t="s">
        <v>133</v>
      </c>
      <c r="E384" s="20" t="s">
        <v>1265</v>
      </c>
      <c r="F384" s="20" t="s">
        <v>147</v>
      </c>
      <c r="G384" s="415">
        <f>G385</f>
        <v>65.2</v>
      </c>
      <c r="H384" s="26">
        <f t="shared" si="199"/>
        <v>69.099999999999994</v>
      </c>
      <c r="I384" s="26">
        <f t="shared" si="199"/>
        <v>69.099999999999994</v>
      </c>
      <c r="L384" s="111"/>
    </row>
    <row r="385" spans="1:12" ht="31.5" x14ac:dyDescent="0.25">
      <c r="A385" s="25" t="s">
        <v>148</v>
      </c>
      <c r="B385" s="16">
        <v>903</v>
      </c>
      <c r="C385" s="20" t="s">
        <v>314</v>
      </c>
      <c r="D385" s="20" t="s">
        <v>133</v>
      </c>
      <c r="E385" s="20" t="s">
        <v>1265</v>
      </c>
      <c r="F385" s="38">
        <v>240</v>
      </c>
      <c r="G385" s="415">
        <v>65.2</v>
      </c>
      <c r="H385" s="26">
        <v>69.099999999999994</v>
      </c>
      <c r="I385" s="26">
        <v>69.099999999999994</v>
      </c>
      <c r="L385" s="111"/>
    </row>
    <row r="386" spans="1:12" ht="36" customHeight="1" x14ac:dyDescent="0.25">
      <c r="A386" s="280" t="s">
        <v>973</v>
      </c>
      <c r="B386" s="19">
        <v>903</v>
      </c>
      <c r="C386" s="24" t="s">
        <v>314</v>
      </c>
      <c r="D386" s="24" t="s">
        <v>133</v>
      </c>
      <c r="E386" s="24" t="s">
        <v>1266</v>
      </c>
      <c r="F386" s="24"/>
      <c r="G386" s="416">
        <f>G387+G390</f>
        <v>1596.01</v>
      </c>
      <c r="H386" s="21" t="e">
        <f>H387+H390+#REF!</f>
        <v>#REF!</v>
      </c>
      <c r="I386" s="21" t="e">
        <f>I387+I390+#REF!</f>
        <v>#REF!</v>
      </c>
      <c r="L386" s="111"/>
    </row>
    <row r="387" spans="1:12" s="230" customFormat="1" ht="47.25" x14ac:dyDescent="0.25">
      <c r="A387" s="25" t="s">
        <v>346</v>
      </c>
      <c r="B387" s="16">
        <v>903</v>
      </c>
      <c r="C387" s="20" t="s">
        <v>314</v>
      </c>
      <c r="D387" s="20" t="s">
        <v>133</v>
      </c>
      <c r="E387" s="20" t="s">
        <v>1267</v>
      </c>
      <c r="F387" s="20"/>
      <c r="G387" s="415">
        <f>G388</f>
        <v>319.7</v>
      </c>
      <c r="H387" s="26">
        <f t="shared" ref="H387:I388" si="200">H388</f>
        <v>273.7</v>
      </c>
      <c r="I387" s="26">
        <f t="shared" si="200"/>
        <v>273.7</v>
      </c>
      <c r="J387" s="212"/>
      <c r="K387" s="111"/>
      <c r="L387" s="111"/>
    </row>
    <row r="388" spans="1:12" s="230" customFormat="1" ht="47.25" x14ac:dyDescent="0.25">
      <c r="A388" s="25" t="s">
        <v>142</v>
      </c>
      <c r="B388" s="16">
        <v>903</v>
      </c>
      <c r="C388" s="20" t="s">
        <v>314</v>
      </c>
      <c r="D388" s="20" t="s">
        <v>133</v>
      </c>
      <c r="E388" s="20" t="s">
        <v>1267</v>
      </c>
      <c r="F388" s="20" t="s">
        <v>143</v>
      </c>
      <c r="G388" s="415">
        <f>G389</f>
        <v>319.7</v>
      </c>
      <c r="H388" s="26">
        <f t="shared" si="200"/>
        <v>273.7</v>
      </c>
      <c r="I388" s="26">
        <f t="shared" si="200"/>
        <v>273.7</v>
      </c>
      <c r="J388" s="212"/>
      <c r="K388" s="111"/>
      <c r="L388" s="111"/>
    </row>
    <row r="389" spans="1:12" s="230" customFormat="1" ht="15.75" x14ac:dyDescent="0.25">
      <c r="A389" s="25" t="s">
        <v>223</v>
      </c>
      <c r="B389" s="16">
        <v>903</v>
      </c>
      <c r="C389" s="20" t="s">
        <v>314</v>
      </c>
      <c r="D389" s="20" t="s">
        <v>133</v>
      </c>
      <c r="E389" s="20" t="s">
        <v>1267</v>
      </c>
      <c r="F389" s="20" t="s">
        <v>224</v>
      </c>
      <c r="G389" s="415">
        <v>319.7</v>
      </c>
      <c r="H389" s="26">
        <v>273.7</v>
      </c>
      <c r="I389" s="26">
        <v>273.7</v>
      </c>
      <c r="J389" s="212"/>
      <c r="K389" s="111"/>
      <c r="L389" s="111"/>
    </row>
    <row r="390" spans="1:12" s="230" customFormat="1" ht="63" x14ac:dyDescent="0.25">
      <c r="A390" s="31" t="s">
        <v>308</v>
      </c>
      <c r="B390" s="16">
        <v>903</v>
      </c>
      <c r="C390" s="20" t="s">
        <v>314</v>
      </c>
      <c r="D390" s="20" t="s">
        <v>133</v>
      </c>
      <c r="E390" s="20" t="s">
        <v>1268</v>
      </c>
      <c r="F390" s="20"/>
      <c r="G390" s="415">
        <f>G391</f>
        <v>1276.31</v>
      </c>
      <c r="H390" s="26">
        <f t="shared" ref="H390:I391" si="201">H391</f>
        <v>1673.7</v>
      </c>
      <c r="I390" s="26">
        <f t="shared" si="201"/>
        <v>1673.7</v>
      </c>
      <c r="J390" s="212"/>
      <c r="K390" s="111"/>
      <c r="L390" s="111"/>
    </row>
    <row r="391" spans="1:12" s="230" customFormat="1" ht="47.25" x14ac:dyDescent="0.25">
      <c r="A391" s="25" t="s">
        <v>142</v>
      </c>
      <c r="B391" s="16">
        <v>903</v>
      </c>
      <c r="C391" s="20" t="s">
        <v>314</v>
      </c>
      <c r="D391" s="20" t="s">
        <v>133</v>
      </c>
      <c r="E391" s="20" t="s">
        <v>1268</v>
      </c>
      <c r="F391" s="20" t="s">
        <v>143</v>
      </c>
      <c r="G391" s="415">
        <f>G392</f>
        <v>1276.31</v>
      </c>
      <c r="H391" s="26">
        <f t="shared" si="201"/>
        <v>1673.7</v>
      </c>
      <c r="I391" s="26">
        <f t="shared" si="201"/>
        <v>1673.7</v>
      </c>
      <c r="J391" s="212"/>
      <c r="K391" s="111"/>
      <c r="L391" s="111"/>
    </row>
    <row r="392" spans="1:12" ht="15.75" x14ac:dyDescent="0.25">
      <c r="A392" s="25" t="s">
        <v>223</v>
      </c>
      <c r="B392" s="16">
        <v>903</v>
      </c>
      <c r="C392" s="20" t="s">
        <v>314</v>
      </c>
      <c r="D392" s="20" t="s">
        <v>133</v>
      </c>
      <c r="E392" s="20" t="s">
        <v>1268</v>
      </c>
      <c r="F392" s="20" t="s">
        <v>224</v>
      </c>
      <c r="G392" s="415">
        <f>1075.09+201.22</f>
        <v>1276.31</v>
      </c>
      <c r="H392" s="26">
        <v>1673.7</v>
      </c>
      <c r="I392" s="26">
        <v>1673.7</v>
      </c>
      <c r="J392" s="361">
        <f>12177.1/11326.6*1000</f>
        <v>1075.0887291861634</v>
      </c>
      <c r="L392" s="111"/>
    </row>
    <row r="393" spans="1:12" ht="47.25" x14ac:dyDescent="0.25">
      <c r="A393" s="34" t="s">
        <v>804</v>
      </c>
      <c r="B393" s="19">
        <v>903</v>
      </c>
      <c r="C393" s="24" t="s">
        <v>314</v>
      </c>
      <c r="D393" s="24" t="s">
        <v>133</v>
      </c>
      <c r="E393" s="24" t="s">
        <v>339</v>
      </c>
      <c r="F393" s="24"/>
      <c r="G393" s="416">
        <f>G395</f>
        <v>100</v>
      </c>
      <c r="H393" s="21">
        <f t="shared" ref="H393:I393" si="202">H395</f>
        <v>0</v>
      </c>
      <c r="I393" s="21">
        <f t="shared" si="202"/>
        <v>0</v>
      </c>
      <c r="L393" s="111"/>
    </row>
    <row r="394" spans="1:12" s="230" customFormat="1" ht="31.5" x14ac:dyDescent="0.25">
      <c r="A394" s="34" t="s">
        <v>1198</v>
      </c>
      <c r="B394" s="19">
        <v>903</v>
      </c>
      <c r="C394" s="24" t="s">
        <v>314</v>
      </c>
      <c r="D394" s="24" t="s">
        <v>133</v>
      </c>
      <c r="E394" s="24" t="s">
        <v>1030</v>
      </c>
      <c r="F394" s="24"/>
      <c r="G394" s="416">
        <f>G397</f>
        <v>100</v>
      </c>
      <c r="H394" s="21">
        <f t="shared" ref="H394:I394" si="203">H397</f>
        <v>0</v>
      </c>
      <c r="I394" s="21">
        <f t="shared" si="203"/>
        <v>0</v>
      </c>
      <c r="J394" s="212"/>
      <c r="K394" s="111"/>
      <c r="L394" s="111"/>
    </row>
    <row r="395" spans="1:12" ht="31.5" x14ac:dyDescent="0.25">
      <c r="A395" s="31" t="s">
        <v>1284</v>
      </c>
      <c r="B395" s="16">
        <v>903</v>
      </c>
      <c r="C395" s="20" t="s">
        <v>314</v>
      </c>
      <c r="D395" s="20" t="s">
        <v>133</v>
      </c>
      <c r="E395" s="20" t="s">
        <v>1200</v>
      </c>
      <c r="F395" s="20"/>
      <c r="G395" s="415">
        <f>G396</f>
        <v>100</v>
      </c>
      <c r="H395" s="26">
        <f t="shared" ref="H395:I396" si="204">H396</f>
        <v>0</v>
      </c>
      <c r="I395" s="26">
        <f t="shared" si="204"/>
        <v>0</v>
      </c>
      <c r="L395" s="111"/>
    </row>
    <row r="396" spans="1:12" ht="15.75" x14ac:dyDescent="0.25">
      <c r="A396" s="25" t="s">
        <v>146</v>
      </c>
      <c r="B396" s="16">
        <v>903</v>
      </c>
      <c r="C396" s="20" t="s">
        <v>314</v>
      </c>
      <c r="D396" s="20" t="s">
        <v>133</v>
      </c>
      <c r="E396" s="20" t="s">
        <v>1200</v>
      </c>
      <c r="F396" s="20" t="s">
        <v>147</v>
      </c>
      <c r="G396" s="415">
        <f>G397</f>
        <v>100</v>
      </c>
      <c r="H396" s="26">
        <f t="shared" si="204"/>
        <v>0</v>
      </c>
      <c r="I396" s="26">
        <f t="shared" si="204"/>
        <v>0</v>
      </c>
      <c r="L396" s="111"/>
    </row>
    <row r="397" spans="1:12" ht="31.5" x14ac:dyDescent="0.25">
      <c r="A397" s="25" t="s">
        <v>148</v>
      </c>
      <c r="B397" s="16">
        <v>903</v>
      </c>
      <c r="C397" s="20" t="s">
        <v>314</v>
      </c>
      <c r="D397" s="20" t="s">
        <v>133</v>
      </c>
      <c r="E397" s="20" t="s">
        <v>1200</v>
      </c>
      <c r="F397" s="20" t="s">
        <v>149</v>
      </c>
      <c r="G397" s="415">
        <v>100</v>
      </c>
      <c r="H397" s="26">
        <v>0</v>
      </c>
      <c r="I397" s="26">
        <v>0</v>
      </c>
      <c r="L397" s="111"/>
    </row>
    <row r="398" spans="1:12" ht="31.5" x14ac:dyDescent="0.25">
      <c r="A398" s="41" t="s">
        <v>1192</v>
      </c>
      <c r="B398" s="19">
        <v>903</v>
      </c>
      <c r="C398" s="24" t="s">
        <v>314</v>
      </c>
      <c r="D398" s="24" t="s">
        <v>133</v>
      </c>
      <c r="E398" s="24" t="s">
        <v>727</v>
      </c>
      <c r="F398" s="285"/>
      <c r="G398" s="416">
        <f>G399</f>
        <v>793.2</v>
      </c>
      <c r="H398" s="21">
        <f t="shared" ref="H398:I401" si="205">H399</f>
        <v>793.2</v>
      </c>
      <c r="I398" s="21">
        <f t="shared" si="205"/>
        <v>793.2</v>
      </c>
      <c r="J398" s="212" t="s">
        <v>1186</v>
      </c>
      <c r="L398" s="111"/>
    </row>
    <row r="399" spans="1:12" s="230" customFormat="1" ht="31.5" x14ac:dyDescent="0.25">
      <c r="A399" s="41" t="s">
        <v>951</v>
      </c>
      <c r="B399" s="19">
        <v>903</v>
      </c>
      <c r="C399" s="24" t="s">
        <v>314</v>
      </c>
      <c r="D399" s="24" t="s">
        <v>133</v>
      </c>
      <c r="E399" s="24" t="s">
        <v>949</v>
      </c>
      <c r="F399" s="285"/>
      <c r="G399" s="416">
        <f>G400</f>
        <v>793.2</v>
      </c>
      <c r="H399" s="21">
        <f t="shared" si="205"/>
        <v>793.2</v>
      </c>
      <c r="I399" s="21">
        <f t="shared" si="205"/>
        <v>793.2</v>
      </c>
      <c r="J399" s="212"/>
      <c r="K399" s="111"/>
      <c r="L399" s="111"/>
    </row>
    <row r="400" spans="1:12" ht="31.5" x14ac:dyDescent="0.25">
      <c r="A400" s="101" t="s">
        <v>1194</v>
      </c>
      <c r="B400" s="16">
        <v>903</v>
      </c>
      <c r="C400" s="20" t="s">
        <v>314</v>
      </c>
      <c r="D400" s="20" t="s">
        <v>133</v>
      </c>
      <c r="E400" s="20" t="s">
        <v>950</v>
      </c>
      <c r="F400" s="32"/>
      <c r="G400" s="415">
        <f>G401</f>
        <v>793.2</v>
      </c>
      <c r="H400" s="26">
        <f t="shared" si="205"/>
        <v>793.2</v>
      </c>
      <c r="I400" s="26">
        <f t="shared" si="205"/>
        <v>793.2</v>
      </c>
      <c r="L400" s="111"/>
    </row>
    <row r="401" spans="1:13" ht="15.75" x14ac:dyDescent="0.25">
      <c r="A401" s="25" t="s">
        <v>146</v>
      </c>
      <c r="B401" s="16">
        <v>903</v>
      </c>
      <c r="C401" s="20" t="s">
        <v>314</v>
      </c>
      <c r="D401" s="20" t="s">
        <v>133</v>
      </c>
      <c r="E401" s="20" t="s">
        <v>950</v>
      </c>
      <c r="F401" s="32" t="s">
        <v>147</v>
      </c>
      <c r="G401" s="415">
        <f>G402</f>
        <v>793.2</v>
      </c>
      <c r="H401" s="26">
        <f t="shared" si="205"/>
        <v>793.2</v>
      </c>
      <c r="I401" s="26">
        <f t="shared" si="205"/>
        <v>793.2</v>
      </c>
      <c r="L401" s="111"/>
    </row>
    <row r="402" spans="1:13" ht="31.5" x14ac:dyDescent="0.25">
      <c r="A402" s="25" t="s">
        <v>148</v>
      </c>
      <c r="B402" s="16">
        <v>903</v>
      </c>
      <c r="C402" s="20" t="s">
        <v>314</v>
      </c>
      <c r="D402" s="20" t="s">
        <v>133</v>
      </c>
      <c r="E402" s="20" t="s">
        <v>950</v>
      </c>
      <c r="F402" s="32" t="s">
        <v>149</v>
      </c>
      <c r="G402" s="415">
        <v>793.2</v>
      </c>
      <c r="H402" s="26">
        <v>793.2</v>
      </c>
      <c r="I402" s="26">
        <v>793.2</v>
      </c>
      <c r="L402" s="111"/>
    </row>
    <row r="403" spans="1:13" ht="15.75" x14ac:dyDescent="0.25">
      <c r="A403" s="23" t="s">
        <v>348</v>
      </c>
      <c r="B403" s="19">
        <v>903</v>
      </c>
      <c r="C403" s="24" t="s">
        <v>314</v>
      </c>
      <c r="D403" s="24" t="s">
        <v>165</v>
      </c>
      <c r="E403" s="24"/>
      <c r="F403" s="24"/>
      <c r="G403" s="416">
        <f>G404+G414+G426</f>
        <v>17339</v>
      </c>
      <c r="H403" s="21">
        <f t="shared" ref="H403:I403" si="206">H404+H414+H426</f>
        <v>19078.099999999999</v>
      </c>
      <c r="I403" s="21">
        <f t="shared" si="206"/>
        <v>19078.099999999999</v>
      </c>
      <c r="L403" s="111"/>
    </row>
    <row r="404" spans="1:13" s="230" customFormat="1" ht="15.75" x14ac:dyDescent="0.25">
      <c r="A404" s="23" t="s">
        <v>992</v>
      </c>
      <c r="B404" s="19">
        <v>903</v>
      </c>
      <c r="C404" s="24" t="s">
        <v>314</v>
      </c>
      <c r="D404" s="24" t="s">
        <v>165</v>
      </c>
      <c r="E404" s="24" t="s">
        <v>906</v>
      </c>
      <c r="F404" s="24"/>
      <c r="G404" s="416">
        <f>G405</f>
        <v>6870</v>
      </c>
      <c r="H404" s="21">
        <f t="shared" ref="H404:I404" si="207">H405</f>
        <v>7186.8</v>
      </c>
      <c r="I404" s="21">
        <f t="shared" si="207"/>
        <v>7186.8</v>
      </c>
      <c r="J404" s="212"/>
      <c r="K404" s="111"/>
      <c r="L404" s="111"/>
    </row>
    <row r="405" spans="1:13" s="230" customFormat="1" ht="15.75" x14ac:dyDescent="0.25">
      <c r="A405" s="23" t="s">
        <v>993</v>
      </c>
      <c r="B405" s="19">
        <v>903</v>
      </c>
      <c r="C405" s="24" t="s">
        <v>314</v>
      </c>
      <c r="D405" s="24" t="s">
        <v>165</v>
      </c>
      <c r="E405" s="24" t="s">
        <v>907</v>
      </c>
      <c r="F405" s="24"/>
      <c r="G405" s="416">
        <f>G406+G411</f>
        <v>6870</v>
      </c>
      <c r="H405" s="21">
        <f t="shared" ref="H405:I405" si="208">H406+H411</f>
        <v>7186.8</v>
      </c>
      <c r="I405" s="21">
        <f t="shared" si="208"/>
        <v>7186.8</v>
      </c>
      <c r="J405" s="212"/>
      <c r="K405" s="111"/>
      <c r="L405" s="111"/>
    </row>
    <row r="406" spans="1:13" s="230" customFormat="1" ht="15.75" x14ac:dyDescent="0.25">
      <c r="A406" s="25" t="s">
        <v>969</v>
      </c>
      <c r="B406" s="16">
        <v>903</v>
      </c>
      <c r="C406" s="20" t="s">
        <v>314</v>
      </c>
      <c r="D406" s="20" t="s">
        <v>165</v>
      </c>
      <c r="E406" s="20" t="s">
        <v>908</v>
      </c>
      <c r="F406" s="20"/>
      <c r="G406" s="415">
        <f>G407+G409</f>
        <v>6744</v>
      </c>
      <c r="H406" s="26">
        <f t="shared" ref="H406:I406" si="209">H407+H409</f>
        <v>7186.8</v>
      </c>
      <c r="I406" s="26">
        <f t="shared" si="209"/>
        <v>7186.8</v>
      </c>
      <c r="J406" s="212"/>
      <c r="K406" s="111"/>
      <c r="L406" s="111"/>
    </row>
    <row r="407" spans="1:13" s="230" customFormat="1" ht="47.25" x14ac:dyDescent="0.25">
      <c r="A407" s="25" t="s">
        <v>142</v>
      </c>
      <c r="B407" s="16">
        <v>903</v>
      </c>
      <c r="C407" s="20" t="s">
        <v>314</v>
      </c>
      <c r="D407" s="20" t="s">
        <v>165</v>
      </c>
      <c r="E407" s="20" t="s">
        <v>908</v>
      </c>
      <c r="F407" s="20" t="s">
        <v>143</v>
      </c>
      <c r="G407" s="415">
        <f>G408</f>
        <v>6744</v>
      </c>
      <c r="H407" s="26">
        <f t="shared" ref="H407:I407" si="210">H408</f>
        <v>7186.8</v>
      </c>
      <c r="I407" s="26">
        <f t="shared" si="210"/>
        <v>7186.8</v>
      </c>
      <c r="J407" s="212"/>
      <c r="K407" s="111"/>
      <c r="L407" s="111"/>
    </row>
    <row r="408" spans="1:13" s="230" customFormat="1" ht="30" x14ac:dyDescent="0.25">
      <c r="A408" s="25" t="s">
        <v>144</v>
      </c>
      <c r="B408" s="16">
        <v>903</v>
      </c>
      <c r="C408" s="20" t="s">
        <v>314</v>
      </c>
      <c r="D408" s="20" t="s">
        <v>165</v>
      </c>
      <c r="E408" s="20" t="s">
        <v>908</v>
      </c>
      <c r="F408" s="20" t="s">
        <v>145</v>
      </c>
      <c r="G408" s="419">
        <v>6744</v>
      </c>
      <c r="H408" s="27">
        <v>7186.8</v>
      </c>
      <c r="I408" s="27">
        <v>7186.8</v>
      </c>
      <c r="J408" s="312" t="s">
        <v>888</v>
      </c>
      <c r="K408" s="111">
        <v>1.0429999999999999</v>
      </c>
      <c r="L408" s="332">
        <v>6744</v>
      </c>
      <c r="M408" s="230" t="s">
        <v>1392</v>
      </c>
    </row>
    <row r="409" spans="1:13" s="230" customFormat="1" ht="15.75" hidden="1" x14ac:dyDescent="0.25">
      <c r="A409" s="25" t="s">
        <v>146</v>
      </c>
      <c r="B409" s="16">
        <v>903</v>
      </c>
      <c r="C409" s="20" t="s">
        <v>314</v>
      </c>
      <c r="D409" s="20" t="s">
        <v>165</v>
      </c>
      <c r="E409" s="20" t="s">
        <v>908</v>
      </c>
      <c r="F409" s="20" t="s">
        <v>147</v>
      </c>
      <c r="G409" s="415">
        <f>G410</f>
        <v>0</v>
      </c>
      <c r="H409" s="26">
        <f t="shared" ref="H409:I409" si="211">H410</f>
        <v>0</v>
      </c>
      <c r="I409" s="26">
        <f t="shared" si="211"/>
        <v>0</v>
      </c>
      <c r="J409" s="212"/>
      <c r="K409" s="111"/>
      <c r="L409" s="111"/>
    </row>
    <row r="410" spans="1:13" s="230" customFormat="1" ht="31.5" hidden="1" x14ac:dyDescent="0.25">
      <c r="A410" s="25" t="s">
        <v>148</v>
      </c>
      <c r="B410" s="16">
        <v>903</v>
      </c>
      <c r="C410" s="20" t="s">
        <v>314</v>
      </c>
      <c r="D410" s="20" t="s">
        <v>165</v>
      </c>
      <c r="E410" s="20" t="s">
        <v>908</v>
      </c>
      <c r="F410" s="20" t="s">
        <v>149</v>
      </c>
      <c r="G410" s="415">
        <v>0</v>
      </c>
      <c r="H410" s="26">
        <v>0</v>
      </c>
      <c r="I410" s="26">
        <v>0</v>
      </c>
      <c r="J410" s="212"/>
      <c r="K410" s="111"/>
      <c r="L410" s="111"/>
    </row>
    <row r="411" spans="1:13" s="230" customFormat="1" ht="31.5" x14ac:dyDescent="0.25">
      <c r="A411" s="25" t="s">
        <v>886</v>
      </c>
      <c r="B411" s="16">
        <v>903</v>
      </c>
      <c r="C411" s="20" t="s">
        <v>314</v>
      </c>
      <c r="D411" s="20" t="s">
        <v>165</v>
      </c>
      <c r="E411" s="20" t="s">
        <v>910</v>
      </c>
      <c r="F411" s="20"/>
      <c r="G411" s="415">
        <f>G412</f>
        <v>126</v>
      </c>
      <c r="H411" s="26">
        <f t="shared" ref="H411:I412" si="212">H412</f>
        <v>0</v>
      </c>
      <c r="I411" s="26">
        <f t="shared" si="212"/>
        <v>0</v>
      </c>
      <c r="J411" s="212"/>
      <c r="K411" s="111"/>
      <c r="L411" s="111"/>
    </row>
    <row r="412" spans="1:13" s="230" customFormat="1" ht="47.25" x14ac:dyDescent="0.25">
      <c r="A412" s="25" t="s">
        <v>142</v>
      </c>
      <c r="B412" s="16">
        <v>903</v>
      </c>
      <c r="C412" s="20" t="s">
        <v>314</v>
      </c>
      <c r="D412" s="20" t="s">
        <v>165</v>
      </c>
      <c r="E412" s="20" t="s">
        <v>910</v>
      </c>
      <c r="F412" s="20" t="s">
        <v>143</v>
      </c>
      <c r="G412" s="415">
        <f>G413</f>
        <v>126</v>
      </c>
      <c r="H412" s="26">
        <f t="shared" si="212"/>
        <v>0</v>
      </c>
      <c r="I412" s="26">
        <f t="shared" si="212"/>
        <v>0</v>
      </c>
      <c r="J412" s="212"/>
      <c r="K412" s="111"/>
      <c r="L412" s="111"/>
    </row>
    <row r="413" spans="1:13" s="230" customFormat="1" ht="15.75" x14ac:dyDescent="0.25">
      <c r="A413" s="25" t="s">
        <v>144</v>
      </c>
      <c r="B413" s="16">
        <v>903</v>
      </c>
      <c r="C413" s="20" t="s">
        <v>314</v>
      </c>
      <c r="D413" s="20" t="s">
        <v>165</v>
      </c>
      <c r="E413" s="20" t="s">
        <v>910</v>
      </c>
      <c r="F413" s="20" t="s">
        <v>145</v>
      </c>
      <c r="G413" s="415">
        <v>126</v>
      </c>
      <c r="H413" s="26"/>
      <c r="I413" s="26"/>
      <c r="J413" s="212"/>
      <c r="K413" s="111"/>
      <c r="L413" s="111"/>
    </row>
    <row r="414" spans="1:13" s="230" customFormat="1" ht="15.75" x14ac:dyDescent="0.25">
      <c r="A414" s="23" t="s">
        <v>1003</v>
      </c>
      <c r="B414" s="19">
        <v>903</v>
      </c>
      <c r="C414" s="24" t="s">
        <v>314</v>
      </c>
      <c r="D414" s="24" t="s">
        <v>165</v>
      </c>
      <c r="E414" s="24" t="s">
        <v>914</v>
      </c>
      <c r="F414" s="24"/>
      <c r="G414" s="416">
        <f>G415</f>
        <v>10209</v>
      </c>
      <c r="H414" s="21">
        <f t="shared" ref="H414:I414" si="213">H415</f>
        <v>11631.3</v>
      </c>
      <c r="I414" s="21">
        <f t="shared" si="213"/>
        <v>11631.3</v>
      </c>
      <c r="J414" s="212"/>
      <c r="K414" s="111"/>
      <c r="L414" s="111"/>
    </row>
    <row r="415" spans="1:13" s="230" customFormat="1" ht="31.5" customHeight="1" x14ac:dyDescent="0.25">
      <c r="A415" s="23" t="s">
        <v>1006</v>
      </c>
      <c r="B415" s="19">
        <v>903</v>
      </c>
      <c r="C415" s="24" t="s">
        <v>314</v>
      </c>
      <c r="D415" s="24" t="s">
        <v>165</v>
      </c>
      <c r="E415" s="24" t="s">
        <v>989</v>
      </c>
      <c r="F415" s="24"/>
      <c r="G415" s="416">
        <f>G416+G423</f>
        <v>10209</v>
      </c>
      <c r="H415" s="21">
        <f t="shared" ref="H415:I415" si="214">H416+H423</f>
        <v>11631.3</v>
      </c>
      <c r="I415" s="21">
        <f t="shared" si="214"/>
        <v>11631.3</v>
      </c>
      <c r="J415" s="212"/>
      <c r="K415" s="111"/>
      <c r="L415" s="111"/>
    </row>
    <row r="416" spans="1:13" s="230" customFormat="1" ht="30.75" customHeight="1" x14ac:dyDescent="0.25">
      <c r="A416" s="25" t="s">
        <v>976</v>
      </c>
      <c r="B416" s="16">
        <v>903</v>
      </c>
      <c r="C416" s="20" t="s">
        <v>314</v>
      </c>
      <c r="D416" s="20" t="s">
        <v>165</v>
      </c>
      <c r="E416" s="20" t="s">
        <v>990</v>
      </c>
      <c r="F416" s="20"/>
      <c r="G416" s="415">
        <f>G417+G419+G421</f>
        <v>9999</v>
      </c>
      <c r="H416" s="26">
        <f t="shared" ref="H416:I416" si="215">H417+H419+H421</f>
        <v>11631.3</v>
      </c>
      <c r="I416" s="26">
        <f t="shared" si="215"/>
        <v>11631.3</v>
      </c>
      <c r="J416" s="212"/>
      <c r="K416" s="111"/>
      <c r="L416" s="111"/>
    </row>
    <row r="417" spans="1:13" s="230" customFormat="1" ht="47.25" x14ac:dyDescent="0.25">
      <c r="A417" s="25" t="s">
        <v>142</v>
      </c>
      <c r="B417" s="16">
        <v>903</v>
      </c>
      <c r="C417" s="20" t="s">
        <v>314</v>
      </c>
      <c r="D417" s="20" t="s">
        <v>165</v>
      </c>
      <c r="E417" s="20" t="s">
        <v>990</v>
      </c>
      <c r="F417" s="20" t="s">
        <v>143</v>
      </c>
      <c r="G417" s="415">
        <f>G418</f>
        <v>8048</v>
      </c>
      <c r="H417" s="26">
        <f t="shared" ref="H417:I417" si="216">H418</f>
        <v>9680.7999999999993</v>
      </c>
      <c r="I417" s="26">
        <f t="shared" si="216"/>
        <v>9680.7999999999993</v>
      </c>
      <c r="J417" s="212"/>
      <c r="K417" s="111"/>
      <c r="L417" s="111"/>
    </row>
    <row r="418" spans="1:13" s="230" customFormat="1" ht="33" customHeight="1" x14ac:dyDescent="0.25">
      <c r="A418" s="25" t="s">
        <v>357</v>
      </c>
      <c r="B418" s="16">
        <v>903</v>
      </c>
      <c r="C418" s="20" t="s">
        <v>314</v>
      </c>
      <c r="D418" s="20" t="s">
        <v>165</v>
      </c>
      <c r="E418" s="20" t="s">
        <v>990</v>
      </c>
      <c r="F418" s="20" t="s">
        <v>224</v>
      </c>
      <c r="G418" s="419">
        <v>8048</v>
      </c>
      <c r="H418" s="27">
        <v>9680.7999999999993</v>
      </c>
      <c r="I418" s="27">
        <v>9680.7999999999993</v>
      </c>
      <c r="J418" s="312" t="s">
        <v>888</v>
      </c>
      <c r="K418" s="111">
        <v>1.0429999999999999</v>
      </c>
      <c r="L418" s="332">
        <v>8048</v>
      </c>
      <c r="M418" s="230" t="s">
        <v>1392</v>
      </c>
    </row>
    <row r="419" spans="1:13" s="230" customFormat="1" ht="15.75" x14ac:dyDescent="0.25">
      <c r="A419" s="25" t="s">
        <v>146</v>
      </c>
      <c r="B419" s="16">
        <v>903</v>
      </c>
      <c r="C419" s="20" t="s">
        <v>314</v>
      </c>
      <c r="D419" s="20" t="s">
        <v>165</v>
      </c>
      <c r="E419" s="20" t="s">
        <v>990</v>
      </c>
      <c r="F419" s="20" t="s">
        <v>147</v>
      </c>
      <c r="G419" s="415">
        <f>G420</f>
        <v>1937</v>
      </c>
      <c r="H419" s="26">
        <f t="shared" ref="H419:I419" si="217">H420</f>
        <v>1936.4</v>
      </c>
      <c r="I419" s="26">
        <f t="shared" si="217"/>
        <v>1936.4</v>
      </c>
      <c r="J419" s="212"/>
      <c r="K419" s="111"/>
      <c r="L419" s="111"/>
    </row>
    <row r="420" spans="1:13" s="230" customFormat="1" ht="31.5" x14ac:dyDescent="0.25">
      <c r="A420" s="25" t="s">
        <v>148</v>
      </c>
      <c r="B420" s="16">
        <v>903</v>
      </c>
      <c r="C420" s="20" t="s">
        <v>314</v>
      </c>
      <c r="D420" s="20" t="s">
        <v>165</v>
      </c>
      <c r="E420" s="20" t="s">
        <v>990</v>
      </c>
      <c r="F420" s="20" t="s">
        <v>149</v>
      </c>
      <c r="G420" s="419">
        <f>1936.4+0.6</f>
        <v>1937</v>
      </c>
      <c r="H420" s="27">
        <v>1936.4</v>
      </c>
      <c r="I420" s="27">
        <v>1936.4</v>
      </c>
      <c r="J420" s="212"/>
      <c r="K420" s="111"/>
      <c r="L420" s="111"/>
    </row>
    <row r="421" spans="1:13" s="230" customFormat="1" ht="15.75" x14ac:dyDescent="0.25">
      <c r="A421" s="25" t="s">
        <v>150</v>
      </c>
      <c r="B421" s="16">
        <v>903</v>
      </c>
      <c r="C421" s="20" t="s">
        <v>314</v>
      </c>
      <c r="D421" s="20" t="s">
        <v>165</v>
      </c>
      <c r="E421" s="20" t="s">
        <v>990</v>
      </c>
      <c r="F421" s="20" t="s">
        <v>160</v>
      </c>
      <c r="G421" s="415">
        <f>G422</f>
        <v>14</v>
      </c>
      <c r="H421" s="26">
        <f t="shared" ref="H421:I421" si="218">H422</f>
        <v>14.1</v>
      </c>
      <c r="I421" s="26">
        <f t="shared" si="218"/>
        <v>14.1</v>
      </c>
      <c r="J421" s="212"/>
      <c r="K421" s="111"/>
      <c r="L421" s="111"/>
    </row>
    <row r="422" spans="1:13" s="230" customFormat="1" ht="15.75" x14ac:dyDescent="0.25">
      <c r="A422" s="25" t="s">
        <v>583</v>
      </c>
      <c r="B422" s="16">
        <v>903</v>
      </c>
      <c r="C422" s="20" t="s">
        <v>314</v>
      </c>
      <c r="D422" s="20" t="s">
        <v>165</v>
      </c>
      <c r="E422" s="20" t="s">
        <v>990</v>
      </c>
      <c r="F422" s="20" t="s">
        <v>153</v>
      </c>
      <c r="G422" s="415">
        <v>14</v>
      </c>
      <c r="H422" s="26">
        <v>14.1</v>
      </c>
      <c r="I422" s="26">
        <v>14.1</v>
      </c>
      <c r="J422" s="212"/>
      <c r="K422" s="111"/>
      <c r="L422" s="111"/>
    </row>
    <row r="423" spans="1:13" s="230" customFormat="1" ht="31.5" x14ac:dyDescent="0.25">
      <c r="A423" s="25" t="s">
        <v>886</v>
      </c>
      <c r="B423" s="16">
        <v>903</v>
      </c>
      <c r="C423" s="20" t="s">
        <v>314</v>
      </c>
      <c r="D423" s="20" t="s">
        <v>165</v>
      </c>
      <c r="E423" s="20" t="s">
        <v>991</v>
      </c>
      <c r="F423" s="20"/>
      <c r="G423" s="415">
        <f>G424</f>
        <v>210</v>
      </c>
      <c r="H423" s="26">
        <f t="shared" ref="H423:I424" si="219">H424</f>
        <v>0</v>
      </c>
      <c r="I423" s="26">
        <f t="shared" si="219"/>
        <v>0</v>
      </c>
      <c r="J423" s="212"/>
      <c r="K423" s="111"/>
      <c r="L423" s="111"/>
    </row>
    <row r="424" spans="1:13" s="230" customFormat="1" ht="47.25" x14ac:dyDescent="0.25">
      <c r="A424" s="25" t="s">
        <v>142</v>
      </c>
      <c r="B424" s="16">
        <v>903</v>
      </c>
      <c r="C424" s="20" t="s">
        <v>314</v>
      </c>
      <c r="D424" s="20" t="s">
        <v>165</v>
      </c>
      <c r="E424" s="20" t="s">
        <v>991</v>
      </c>
      <c r="F424" s="20" t="s">
        <v>143</v>
      </c>
      <c r="G424" s="415">
        <f>G425</f>
        <v>210</v>
      </c>
      <c r="H424" s="26">
        <f t="shared" si="219"/>
        <v>0</v>
      </c>
      <c r="I424" s="26">
        <f t="shared" si="219"/>
        <v>0</v>
      </c>
      <c r="J424" s="212"/>
      <c r="K424" s="111"/>
      <c r="L424" s="111"/>
    </row>
    <row r="425" spans="1:13" s="230" customFormat="1" ht="15.75" x14ac:dyDescent="0.25">
      <c r="A425" s="25" t="s">
        <v>357</v>
      </c>
      <c r="B425" s="16">
        <v>903</v>
      </c>
      <c r="C425" s="20" t="s">
        <v>314</v>
      </c>
      <c r="D425" s="20" t="s">
        <v>165</v>
      </c>
      <c r="E425" s="20" t="s">
        <v>991</v>
      </c>
      <c r="F425" s="20" t="s">
        <v>224</v>
      </c>
      <c r="G425" s="415">
        <v>210</v>
      </c>
      <c r="H425" s="26"/>
      <c r="I425" s="26"/>
      <c r="J425" s="212"/>
      <c r="K425" s="111"/>
      <c r="L425" s="111"/>
    </row>
    <row r="426" spans="1:13" ht="31.5" x14ac:dyDescent="0.25">
      <c r="A426" s="23" t="s">
        <v>358</v>
      </c>
      <c r="B426" s="19">
        <v>903</v>
      </c>
      <c r="C426" s="24" t="s">
        <v>314</v>
      </c>
      <c r="D426" s="24" t="s">
        <v>165</v>
      </c>
      <c r="E426" s="24" t="s">
        <v>359</v>
      </c>
      <c r="F426" s="24"/>
      <c r="G426" s="416">
        <f>G427</f>
        <v>260</v>
      </c>
      <c r="H426" s="21">
        <f t="shared" ref="H426:I430" si="220">H427</f>
        <v>260</v>
      </c>
      <c r="I426" s="21">
        <f t="shared" si="220"/>
        <v>260</v>
      </c>
      <c r="L426" s="111"/>
    </row>
    <row r="427" spans="1:13" ht="47.25" x14ac:dyDescent="0.25">
      <c r="A427" s="23" t="s">
        <v>379</v>
      </c>
      <c r="B427" s="19">
        <v>903</v>
      </c>
      <c r="C427" s="24" t="s">
        <v>314</v>
      </c>
      <c r="D427" s="24" t="s">
        <v>165</v>
      </c>
      <c r="E427" s="24" t="s">
        <v>380</v>
      </c>
      <c r="F427" s="24"/>
      <c r="G427" s="416">
        <f>G428</f>
        <v>260</v>
      </c>
      <c r="H427" s="21">
        <f t="shared" si="220"/>
        <v>260</v>
      </c>
      <c r="I427" s="21">
        <f t="shared" si="220"/>
        <v>260</v>
      </c>
      <c r="L427" s="111"/>
    </row>
    <row r="428" spans="1:13" s="230" customFormat="1" ht="15.75" x14ac:dyDescent="0.25">
      <c r="A428" s="23" t="s">
        <v>1152</v>
      </c>
      <c r="B428" s="19">
        <v>903</v>
      </c>
      <c r="C428" s="24" t="s">
        <v>314</v>
      </c>
      <c r="D428" s="24" t="s">
        <v>165</v>
      </c>
      <c r="E428" s="24" t="s">
        <v>968</v>
      </c>
      <c r="F428" s="24"/>
      <c r="G428" s="416">
        <f>G429</f>
        <v>260</v>
      </c>
      <c r="H428" s="21">
        <f t="shared" si="220"/>
        <v>260</v>
      </c>
      <c r="I428" s="21">
        <f t="shared" si="220"/>
        <v>260</v>
      </c>
      <c r="J428" s="212"/>
      <c r="K428" s="111"/>
      <c r="L428" s="111"/>
    </row>
    <row r="429" spans="1:13" ht="15.75" x14ac:dyDescent="0.25">
      <c r="A429" s="25" t="s">
        <v>1151</v>
      </c>
      <c r="B429" s="16">
        <v>903</v>
      </c>
      <c r="C429" s="20" t="s">
        <v>314</v>
      </c>
      <c r="D429" s="20" t="s">
        <v>165</v>
      </c>
      <c r="E429" s="20" t="s">
        <v>1234</v>
      </c>
      <c r="F429" s="20"/>
      <c r="G429" s="415">
        <f>G430</f>
        <v>260</v>
      </c>
      <c r="H429" s="26">
        <f t="shared" si="220"/>
        <v>260</v>
      </c>
      <c r="I429" s="26">
        <f t="shared" si="220"/>
        <v>260</v>
      </c>
      <c r="L429" s="111"/>
    </row>
    <row r="430" spans="1:13" ht="15.75" x14ac:dyDescent="0.25">
      <c r="A430" s="25" t="s">
        <v>146</v>
      </c>
      <c r="B430" s="16">
        <v>903</v>
      </c>
      <c r="C430" s="20" t="s">
        <v>314</v>
      </c>
      <c r="D430" s="20" t="s">
        <v>165</v>
      </c>
      <c r="E430" s="20" t="s">
        <v>1234</v>
      </c>
      <c r="F430" s="20" t="s">
        <v>147</v>
      </c>
      <c r="G430" s="415">
        <f>G431</f>
        <v>260</v>
      </c>
      <c r="H430" s="26">
        <f t="shared" si="220"/>
        <v>260</v>
      </c>
      <c r="I430" s="26">
        <f t="shared" si="220"/>
        <v>260</v>
      </c>
      <c r="L430" s="111"/>
    </row>
    <row r="431" spans="1:13" ht="31.5" x14ac:dyDescent="0.25">
      <c r="A431" s="25" t="s">
        <v>148</v>
      </c>
      <c r="B431" s="16">
        <v>903</v>
      </c>
      <c r="C431" s="20" t="s">
        <v>314</v>
      </c>
      <c r="D431" s="20" t="s">
        <v>165</v>
      </c>
      <c r="E431" s="20" t="s">
        <v>1234</v>
      </c>
      <c r="F431" s="20" t="s">
        <v>149</v>
      </c>
      <c r="G431" s="415">
        <f>210+50</f>
        <v>260</v>
      </c>
      <c r="H431" s="26">
        <f t="shared" ref="H431:I431" si="221">210+50</f>
        <v>260</v>
      </c>
      <c r="I431" s="26">
        <f t="shared" si="221"/>
        <v>260</v>
      </c>
      <c r="J431" s="240"/>
      <c r="L431" s="111"/>
    </row>
    <row r="432" spans="1:13" ht="15.75" x14ac:dyDescent="0.25">
      <c r="A432" s="23" t="s">
        <v>258</v>
      </c>
      <c r="B432" s="19">
        <v>903</v>
      </c>
      <c r="C432" s="24" t="s">
        <v>259</v>
      </c>
      <c r="D432" s="24"/>
      <c r="E432" s="24"/>
      <c r="F432" s="24"/>
      <c r="G432" s="416">
        <f>G433</f>
        <v>1949.2</v>
      </c>
      <c r="H432" s="21">
        <f t="shared" ref="H432:I433" si="222">H433</f>
        <v>2500.4</v>
      </c>
      <c r="I432" s="21">
        <f t="shared" si="222"/>
        <v>2500.4</v>
      </c>
      <c r="L432" s="111"/>
    </row>
    <row r="433" spans="1:14" ht="15.75" x14ac:dyDescent="0.25">
      <c r="A433" s="23" t="s">
        <v>267</v>
      </c>
      <c r="B433" s="19">
        <v>903</v>
      </c>
      <c r="C433" s="24" t="s">
        <v>259</v>
      </c>
      <c r="D433" s="24" t="s">
        <v>230</v>
      </c>
      <c r="E433" s="24"/>
      <c r="F433" s="24"/>
      <c r="G433" s="416">
        <f>G434</f>
        <v>1949.2</v>
      </c>
      <c r="H433" s="21">
        <f t="shared" si="222"/>
        <v>2500.4</v>
      </c>
      <c r="I433" s="21">
        <f t="shared" si="222"/>
        <v>2500.4</v>
      </c>
      <c r="J433" s="242"/>
      <c r="K433" s="116"/>
      <c r="L433" s="116"/>
    </row>
    <row r="434" spans="1:14" ht="31.5" x14ac:dyDescent="0.25">
      <c r="A434" s="23" t="s">
        <v>358</v>
      </c>
      <c r="B434" s="19">
        <v>903</v>
      </c>
      <c r="C434" s="24" t="s">
        <v>259</v>
      </c>
      <c r="D434" s="24" t="s">
        <v>230</v>
      </c>
      <c r="E434" s="24" t="s">
        <v>359</v>
      </c>
      <c r="F434" s="24"/>
      <c r="G434" s="416">
        <f>G435+G440+G445+G456</f>
        <v>1949.2</v>
      </c>
      <c r="H434" s="21">
        <f t="shared" ref="H434:I434" si="223">H435+H440+H445+H456</f>
        <v>2500.4</v>
      </c>
      <c r="I434" s="21">
        <f t="shared" si="223"/>
        <v>2500.4</v>
      </c>
      <c r="J434" s="245"/>
      <c r="K434" s="196"/>
      <c r="L434" s="111"/>
      <c r="M434" s="118"/>
      <c r="N434" s="118"/>
    </row>
    <row r="435" spans="1:14" ht="15.75" x14ac:dyDescent="0.25">
      <c r="A435" s="23" t="s">
        <v>367</v>
      </c>
      <c r="B435" s="19">
        <v>903</v>
      </c>
      <c r="C435" s="24" t="s">
        <v>259</v>
      </c>
      <c r="D435" s="24" t="s">
        <v>230</v>
      </c>
      <c r="E435" s="24" t="s">
        <v>368</v>
      </c>
      <c r="F435" s="24"/>
      <c r="G435" s="416">
        <f>G436</f>
        <v>169.20000000000002</v>
      </c>
      <c r="H435" s="21">
        <f t="shared" ref="H435:I438" si="224">H436</f>
        <v>434.7</v>
      </c>
      <c r="I435" s="21">
        <f t="shared" si="224"/>
        <v>434.7</v>
      </c>
      <c r="J435" s="240"/>
      <c r="K435" s="225"/>
      <c r="L435" s="225"/>
    </row>
    <row r="436" spans="1:14" s="230" customFormat="1" ht="33.75" customHeight="1" x14ac:dyDescent="0.25">
      <c r="A436" s="23" t="s">
        <v>978</v>
      </c>
      <c r="B436" s="19">
        <v>903</v>
      </c>
      <c r="C436" s="24" t="s">
        <v>259</v>
      </c>
      <c r="D436" s="24" t="s">
        <v>230</v>
      </c>
      <c r="E436" s="24" t="s">
        <v>977</v>
      </c>
      <c r="F436" s="24"/>
      <c r="G436" s="416">
        <f>G437</f>
        <v>169.20000000000002</v>
      </c>
      <c r="H436" s="21">
        <f t="shared" si="224"/>
        <v>434.7</v>
      </c>
      <c r="I436" s="21">
        <f t="shared" si="224"/>
        <v>434.7</v>
      </c>
      <c r="J436" s="249"/>
      <c r="K436" s="267"/>
      <c r="L436" s="267"/>
    </row>
    <row r="437" spans="1:14" ht="15.75" x14ac:dyDescent="0.25">
      <c r="A437" s="25" t="s">
        <v>870</v>
      </c>
      <c r="B437" s="16">
        <v>903</v>
      </c>
      <c r="C437" s="20" t="s">
        <v>259</v>
      </c>
      <c r="D437" s="20" t="s">
        <v>230</v>
      </c>
      <c r="E437" s="20" t="s">
        <v>979</v>
      </c>
      <c r="F437" s="20"/>
      <c r="G437" s="415">
        <f>G438</f>
        <v>169.20000000000002</v>
      </c>
      <c r="H437" s="26">
        <f t="shared" si="224"/>
        <v>434.7</v>
      </c>
      <c r="I437" s="26">
        <f t="shared" si="224"/>
        <v>434.7</v>
      </c>
      <c r="L437" s="111"/>
    </row>
    <row r="438" spans="1:14" ht="15.75" x14ac:dyDescent="0.25">
      <c r="A438" s="25" t="s">
        <v>263</v>
      </c>
      <c r="B438" s="16">
        <v>903</v>
      </c>
      <c r="C438" s="20" t="s">
        <v>259</v>
      </c>
      <c r="D438" s="20" t="s">
        <v>230</v>
      </c>
      <c r="E438" s="20" t="s">
        <v>979</v>
      </c>
      <c r="F438" s="20" t="s">
        <v>264</v>
      </c>
      <c r="G438" s="415">
        <f>G439</f>
        <v>169.20000000000002</v>
      </c>
      <c r="H438" s="26">
        <f t="shared" si="224"/>
        <v>434.7</v>
      </c>
      <c r="I438" s="26">
        <f t="shared" si="224"/>
        <v>434.7</v>
      </c>
      <c r="L438" s="111"/>
    </row>
    <row r="439" spans="1:14" ht="31.5" x14ac:dyDescent="0.25">
      <c r="A439" s="25" t="s">
        <v>265</v>
      </c>
      <c r="B439" s="16">
        <v>903</v>
      </c>
      <c r="C439" s="20" t="s">
        <v>259</v>
      </c>
      <c r="D439" s="20" t="s">
        <v>230</v>
      </c>
      <c r="E439" s="20" t="s">
        <v>979</v>
      </c>
      <c r="F439" s="20" t="s">
        <v>266</v>
      </c>
      <c r="G439" s="415">
        <f>28.9+140.3</f>
        <v>169.20000000000002</v>
      </c>
      <c r="H439" s="26">
        <f t="shared" ref="H439:I439" si="225">148.4-30.7+32.3+284.7</f>
        <v>434.7</v>
      </c>
      <c r="I439" s="26">
        <f t="shared" si="225"/>
        <v>434.7</v>
      </c>
      <c r="J439" s="240"/>
      <c r="L439" s="111"/>
    </row>
    <row r="440" spans="1:14" ht="31.5" x14ac:dyDescent="0.25">
      <c r="A440" s="23" t="s">
        <v>370</v>
      </c>
      <c r="B440" s="19">
        <v>903</v>
      </c>
      <c r="C440" s="19">
        <v>10</v>
      </c>
      <c r="D440" s="24" t="s">
        <v>230</v>
      </c>
      <c r="E440" s="24" t="s">
        <v>371</v>
      </c>
      <c r="F440" s="24"/>
      <c r="G440" s="416">
        <f>G442</f>
        <v>420</v>
      </c>
      <c r="H440" s="21">
        <f t="shared" ref="H440:I440" si="226">H442</f>
        <v>420</v>
      </c>
      <c r="I440" s="21">
        <f t="shared" si="226"/>
        <v>420</v>
      </c>
      <c r="L440" s="111"/>
    </row>
    <row r="441" spans="1:14" s="230" customFormat="1" ht="31.5" x14ac:dyDescent="0.25">
      <c r="A441" s="23" t="s">
        <v>1153</v>
      </c>
      <c r="B441" s="19">
        <v>903</v>
      </c>
      <c r="C441" s="19">
        <v>10</v>
      </c>
      <c r="D441" s="24" t="s">
        <v>230</v>
      </c>
      <c r="E441" s="24" t="s">
        <v>980</v>
      </c>
      <c r="F441" s="24"/>
      <c r="G441" s="416">
        <f>G442</f>
        <v>420</v>
      </c>
      <c r="H441" s="21">
        <f t="shared" ref="H441:I443" si="227">H442</f>
        <v>420</v>
      </c>
      <c r="I441" s="21">
        <f t="shared" si="227"/>
        <v>420</v>
      </c>
      <c r="J441" s="212"/>
      <c r="K441" s="111"/>
      <c r="L441" s="111"/>
    </row>
    <row r="442" spans="1:14" ht="15.75" x14ac:dyDescent="0.25">
      <c r="A442" s="25" t="s">
        <v>1214</v>
      </c>
      <c r="B442" s="16">
        <v>903</v>
      </c>
      <c r="C442" s="20" t="s">
        <v>259</v>
      </c>
      <c r="D442" s="20" t="s">
        <v>230</v>
      </c>
      <c r="E442" s="20" t="s">
        <v>981</v>
      </c>
      <c r="F442" s="20"/>
      <c r="G442" s="415">
        <f>G443</f>
        <v>420</v>
      </c>
      <c r="H442" s="26">
        <f t="shared" si="227"/>
        <v>420</v>
      </c>
      <c r="I442" s="26">
        <f t="shared" si="227"/>
        <v>420</v>
      </c>
      <c r="L442" s="111"/>
    </row>
    <row r="443" spans="1:14" ht="15.75" x14ac:dyDescent="0.25">
      <c r="A443" s="25" t="s">
        <v>263</v>
      </c>
      <c r="B443" s="16">
        <v>903</v>
      </c>
      <c r="C443" s="20" t="s">
        <v>259</v>
      </c>
      <c r="D443" s="20" t="s">
        <v>230</v>
      </c>
      <c r="E443" s="20" t="s">
        <v>981</v>
      </c>
      <c r="F443" s="20" t="s">
        <v>264</v>
      </c>
      <c r="G443" s="415">
        <f>G444</f>
        <v>420</v>
      </c>
      <c r="H443" s="26">
        <f t="shared" si="227"/>
        <v>420</v>
      </c>
      <c r="I443" s="26">
        <f t="shared" si="227"/>
        <v>420</v>
      </c>
      <c r="L443" s="111"/>
    </row>
    <row r="444" spans="1:14" ht="15.75" x14ac:dyDescent="0.25">
      <c r="A444" s="25" t="s">
        <v>363</v>
      </c>
      <c r="B444" s="16">
        <v>903</v>
      </c>
      <c r="C444" s="20" t="s">
        <v>259</v>
      </c>
      <c r="D444" s="20" t="s">
        <v>230</v>
      </c>
      <c r="E444" s="20" t="s">
        <v>981</v>
      </c>
      <c r="F444" s="20" t="s">
        <v>364</v>
      </c>
      <c r="G444" s="415">
        <v>420</v>
      </c>
      <c r="H444" s="26">
        <v>420</v>
      </c>
      <c r="I444" s="26">
        <v>420</v>
      </c>
      <c r="L444" s="111"/>
    </row>
    <row r="445" spans="1:14" ht="15.75" x14ac:dyDescent="0.25">
      <c r="A445" s="23" t="s">
        <v>373</v>
      </c>
      <c r="B445" s="19">
        <v>903</v>
      </c>
      <c r="C445" s="19">
        <v>10</v>
      </c>
      <c r="D445" s="24" t="s">
        <v>230</v>
      </c>
      <c r="E445" s="24" t="s">
        <v>374</v>
      </c>
      <c r="F445" s="24"/>
      <c r="G445" s="416">
        <f>G450+G446</f>
        <v>1110</v>
      </c>
      <c r="H445" s="21">
        <f t="shared" ref="H445:I445" si="228">H450+H446</f>
        <v>1395.7</v>
      </c>
      <c r="I445" s="21">
        <f t="shared" si="228"/>
        <v>1395.7</v>
      </c>
      <c r="L445" s="111"/>
    </row>
    <row r="446" spans="1:14" s="230" customFormat="1" ht="31.5" x14ac:dyDescent="0.25">
      <c r="A446" s="23" t="s">
        <v>1216</v>
      </c>
      <c r="B446" s="19">
        <v>903</v>
      </c>
      <c r="C446" s="24" t="s">
        <v>259</v>
      </c>
      <c r="D446" s="24" t="s">
        <v>230</v>
      </c>
      <c r="E446" s="24" t="s">
        <v>983</v>
      </c>
      <c r="F446" s="24"/>
      <c r="G446" s="416">
        <f>G447</f>
        <v>630</v>
      </c>
      <c r="H446" s="21">
        <f t="shared" ref="H446:I448" si="229">H447</f>
        <v>915.7</v>
      </c>
      <c r="I446" s="21">
        <f t="shared" si="229"/>
        <v>915.7</v>
      </c>
      <c r="J446" s="212"/>
      <c r="K446" s="111"/>
      <c r="L446" s="111"/>
    </row>
    <row r="447" spans="1:14" s="230" customFormat="1" ht="34.5" customHeight="1" x14ac:dyDescent="0.25">
      <c r="A447" s="101" t="s">
        <v>1217</v>
      </c>
      <c r="B447" s="16">
        <v>903</v>
      </c>
      <c r="C447" s="20" t="s">
        <v>259</v>
      </c>
      <c r="D447" s="20" t="s">
        <v>230</v>
      </c>
      <c r="E447" s="20" t="s">
        <v>984</v>
      </c>
      <c r="F447" s="20"/>
      <c r="G447" s="415">
        <f>G448</f>
        <v>630</v>
      </c>
      <c r="H447" s="26">
        <f t="shared" si="229"/>
        <v>915.7</v>
      </c>
      <c r="I447" s="26">
        <f t="shared" si="229"/>
        <v>915.7</v>
      </c>
      <c r="J447" s="212"/>
      <c r="K447" s="111"/>
      <c r="L447" s="111"/>
    </row>
    <row r="448" spans="1:14" s="230" customFormat="1" ht="15.75" x14ac:dyDescent="0.25">
      <c r="A448" s="25" t="s">
        <v>263</v>
      </c>
      <c r="B448" s="16">
        <v>903</v>
      </c>
      <c r="C448" s="20" t="s">
        <v>259</v>
      </c>
      <c r="D448" s="20" t="s">
        <v>230</v>
      </c>
      <c r="E448" s="20" t="s">
        <v>984</v>
      </c>
      <c r="F448" s="20" t="s">
        <v>264</v>
      </c>
      <c r="G448" s="415">
        <f>G449</f>
        <v>630</v>
      </c>
      <c r="H448" s="26">
        <f t="shared" si="229"/>
        <v>915.7</v>
      </c>
      <c r="I448" s="26">
        <f t="shared" si="229"/>
        <v>915.7</v>
      </c>
      <c r="J448" s="212"/>
      <c r="K448" s="111"/>
      <c r="L448" s="111"/>
    </row>
    <row r="449" spans="1:12" s="230" customFormat="1" ht="15.75" x14ac:dyDescent="0.25">
      <c r="A449" s="25" t="s">
        <v>363</v>
      </c>
      <c r="B449" s="16">
        <v>903</v>
      </c>
      <c r="C449" s="20" t="s">
        <v>259</v>
      </c>
      <c r="D449" s="20" t="s">
        <v>230</v>
      </c>
      <c r="E449" s="20" t="s">
        <v>984</v>
      </c>
      <c r="F449" s="20" t="s">
        <v>364</v>
      </c>
      <c r="G449" s="415">
        <v>630</v>
      </c>
      <c r="H449" s="26">
        <f t="shared" ref="H449:I449" si="230">1015.7-100</f>
        <v>915.7</v>
      </c>
      <c r="I449" s="26">
        <f t="shared" si="230"/>
        <v>915.7</v>
      </c>
      <c r="J449" s="212"/>
      <c r="K449" s="111"/>
      <c r="L449" s="111"/>
    </row>
    <row r="450" spans="1:12" s="230" customFormat="1" ht="15.75" x14ac:dyDescent="0.25">
      <c r="A450" s="23" t="s">
        <v>982</v>
      </c>
      <c r="B450" s="19">
        <v>903</v>
      </c>
      <c r="C450" s="19">
        <v>10</v>
      </c>
      <c r="D450" s="24" t="s">
        <v>230</v>
      </c>
      <c r="E450" s="24" t="s">
        <v>985</v>
      </c>
      <c r="F450" s="24"/>
      <c r="G450" s="416">
        <f>G451+G454</f>
        <v>480</v>
      </c>
      <c r="H450" s="21">
        <f t="shared" ref="H450:I450" si="231">H451+H454</f>
        <v>480</v>
      </c>
      <c r="I450" s="21">
        <f t="shared" si="231"/>
        <v>480</v>
      </c>
      <c r="J450" s="212"/>
      <c r="K450" s="111"/>
      <c r="L450" s="111"/>
    </row>
    <row r="451" spans="1:12" ht="15.75" x14ac:dyDescent="0.25">
      <c r="A451" s="25" t="s">
        <v>1154</v>
      </c>
      <c r="B451" s="16">
        <v>903</v>
      </c>
      <c r="C451" s="20" t="s">
        <v>259</v>
      </c>
      <c r="D451" s="20" t="s">
        <v>230</v>
      </c>
      <c r="E451" s="20" t="s">
        <v>986</v>
      </c>
      <c r="F451" s="20"/>
      <c r="G451" s="415">
        <f>G452</f>
        <v>270</v>
      </c>
      <c r="H451" s="26">
        <f t="shared" ref="H451:I452" si="232">H452</f>
        <v>270</v>
      </c>
      <c r="I451" s="26">
        <f t="shared" si="232"/>
        <v>270</v>
      </c>
      <c r="L451" s="111"/>
    </row>
    <row r="452" spans="1:12" ht="15.75" x14ac:dyDescent="0.25">
      <c r="A452" s="25" t="s">
        <v>146</v>
      </c>
      <c r="B452" s="16">
        <v>903</v>
      </c>
      <c r="C452" s="20" t="s">
        <v>259</v>
      </c>
      <c r="D452" s="20" t="s">
        <v>230</v>
      </c>
      <c r="E452" s="20" t="s">
        <v>986</v>
      </c>
      <c r="F452" s="20" t="s">
        <v>147</v>
      </c>
      <c r="G452" s="415">
        <f>G453</f>
        <v>270</v>
      </c>
      <c r="H452" s="26">
        <f t="shared" si="232"/>
        <v>270</v>
      </c>
      <c r="I452" s="26">
        <f t="shared" si="232"/>
        <v>270</v>
      </c>
      <c r="L452" s="111"/>
    </row>
    <row r="453" spans="1:12" ht="31.5" x14ac:dyDescent="0.25">
      <c r="A453" s="25" t="s">
        <v>148</v>
      </c>
      <c r="B453" s="16">
        <v>903</v>
      </c>
      <c r="C453" s="20" t="s">
        <v>259</v>
      </c>
      <c r="D453" s="20" t="s">
        <v>230</v>
      </c>
      <c r="E453" s="20" t="s">
        <v>986</v>
      </c>
      <c r="F453" s="20" t="s">
        <v>149</v>
      </c>
      <c r="G453" s="415">
        <v>270</v>
      </c>
      <c r="H453" s="26">
        <f>G453</f>
        <v>270</v>
      </c>
      <c r="I453" s="26">
        <f>H453</f>
        <v>270</v>
      </c>
      <c r="J453" s="240"/>
      <c r="L453" s="111"/>
    </row>
    <row r="454" spans="1:12" s="230" customFormat="1" ht="15.75" x14ac:dyDescent="0.25">
      <c r="A454" s="25" t="s">
        <v>263</v>
      </c>
      <c r="B454" s="16">
        <v>903</v>
      </c>
      <c r="C454" s="20" t="s">
        <v>259</v>
      </c>
      <c r="D454" s="20" t="s">
        <v>230</v>
      </c>
      <c r="E454" s="20" t="s">
        <v>986</v>
      </c>
      <c r="F454" s="20" t="s">
        <v>264</v>
      </c>
      <c r="G454" s="415">
        <f>G455</f>
        <v>210</v>
      </c>
      <c r="H454" s="26">
        <f t="shared" ref="H454:I454" si="233">H455</f>
        <v>210</v>
      </c>
      <c r="I454" s="26">
        <f t="shared" si="233"/>
        <v>210</v>
      </c>
      <c r="J454" s="249"/>
      <c r="K454" s="111"/>
      <c r="L454" s="111"/>
    </row>
    <row r="455" spans="1:12" s="230" customFormat="1" ht="15.75" x14ac:dyDescent="0.25">
      <c r="A455" s="25" t="s">
        <v>363</v>
      </c>
      <c r="B455" s="16">
        <v>903</v>
      </c>
      <c r="C455" s="20" t="s">
        <v>259</v>
      </c>
      <c r="D455" s="20" t="s">
        <v>230</v>
      </c>
      <c r="E455" s="20" t="s">
        <v>986</v>
      </c>
      <c r="F455" s="20" t="s">
        <v>364</v>
      </c>
      <c r="G455" s="415">
        <v>210</v>
      </c>
      <c r="H455" s="26">
        <f>G455</f>
        <v>210</v>
      </c>
      <c r="I455" s="26">
        <f>H455</f>
        <v>210</v>
      </c>
      <c r="J455" s="249"/>
      <c r="K455" s="111"/>
      <c r="L455" s="111"/>
    </row>
    <row r="456" spans="1:12" ht="37.5" customHeight="1" x14ac:dyDescent="0.25">
      <c r="A456" s="23" t="s">
        <v>376</v>
      </c>
      <c r="B456" s="19">
        <v>903</v>
      </c>
      <c r="C456" s="24" t="s">
        <v>259</v>
      </c>
      <c r="D456" s="24" t="s">
        <v>230</v>
      </c>
      <c r="E456" s="24" t="s">
        <v>377</v>
      </c>
      <c r="F456" s="24"/>
      <c r="G456" s="416">
        <f>G457</f>
        <v>250</v>
      </c>
      <c r="H456" s="21">
        <f t="shared" ref="H456:I459" si="234">H457</f>
        <v>250</v>
      </c>
      <c r="I456" s="21">
        <f t="shared" si="234"/>
        <v>250</v>
      </c>
      <c r="L456" s="111"/>
    </row>
    <row r="457" spans="1:12" s="230" customFormat="1" ht="38.25" customHeight="1" x14ac:dyDescent="0.25">
      <c r="A457" s="23" t="s">
        <v>1219</v>
      </c>
      <c r="B457" s="19">
        <v>903</v>
      </c>
      <c r="C457" s="24" t="s">
        <v>259</v>
      </c>
      <c r="D457" s="24" t="s">
        <v>230</v>
      </c>
      <c r="E457" s="24" t="s">
        <v>988</v>
      </c>
      <c r="F457" s="24"/>
      <c r="G457" s="416">
        <f>G458</f>
        <v>250</v>
      </c>
      <c r="H457" s="21">
        <f t="shared" si="234"/>
        <v>250</v>
      </c>
      <c r="I457" s="21">
        <f t="shared" si="234"/>
        <v>250</v>
      </c>
      <c r="J457" s="212"/>
      <c r="K457" s="111"/>
      <c r="L457" s="111"/>
    </row>
    <row r="458" spans="1:12" ht="35.25" customHeight="1" x14ac:dyDescent="0.25">
      <c r="A458" s="25" t="s">
        <v>1218</v>
      </c>
      <c r="B458" s="16">
        <v>903</v>
      </c>
      <c r="C458" s="20" t="s">
        <v>259</v>
      </c>
      <c r="D458" s="20" t="s">
        <v>230</v>
      </c>
      <c r="E458" s="20" t="s">
        <v>987</v>
      </c>
      <c r="F458" s="20"/>
      <c r="G458" s="415">
        <f>G459</f>
        <v>250</v>
      </c>
      <c r="H458" s="26">
        <f t="shared" si="234"/>
        <v>250</v>
      </c>
      <c r="I458" s="26">
        <f t="shared" si="234"/>
        <v>250</v>
      </c>
      <c r="L458" s="111"/>
    </row>
    <row r="459" spans="1:12" ht="15.75" x14ac:dyDescent="0.25">
      <c r="A459" s="25" t="s">
        <v>263</v>
      </c>
      <c r="B459" s="16">
        <v>903</v>
      </c>
      <c r="C459" s="20" t="s">
        <v>259</v>
      </c>
      <c r="D459" s="20" t="s">
        <v>230</v>
      </c>
      <c r="E459" s="20" t="s">
        <v>987</v>
      </c>
      <c r="F459" s="20" t="s">
        <v>264</v>
      </c>
      <c r="G459" s="415">
        <f>G460</f>
        <v>250</v>
      </c>
      <c r="H459" s="26">
        <f t="shared" si="234"/>
        <v>250</v>
      </c>
      <c r="I459" s="26">
        <f t="shared" si="234"/>
        <v>250</v>
      </c>
      <c r="L459" s="111"/>
    </row>
    <row r="460" spans="1:12" ht="15.75" x14ac:dyDescent="0.25">
      <c r="A460" s="25" t="s">
        <v>363</v>
      </c>
      <c r="B460" s="16">
        <v>903</v>
      </c>
      <c r="C460" s="20" t="s">
        <v>259</v>
      </c>
      <c r="D460" s="20" t="s">
        <v>230</v>
      </c>
      <c r="E460" s="20" t="s">
        <v>987</v>
      </c>
      <c r="F460" s="20" t="s">
        <v>364</v>
      </c>
      <c r="G460" s="415">
        <v>250</v>
      </c>
      <c r="H460" s="26">
        <v>250</v>
      </c>
      <c r="I460" s="26">
        <v>250</v>
      </c>
      <c r="L460" s="111"/>
    </row>
    <row r="461" spans="1:12" s="230" customFormat="1" ht="15.75" x14ac:dyDescent="0.25">
      <c r="A461" s="23" t="s">
        <v>597</v>
      </c>
      <c r="B461" s="19">
        <v>903</v>
      </c>
      <c r="C461" s="24" t="s">
        <v>253</v>
      </c>
      <c r="D461" s="20"/>
      <c r="E461" s="20"/>
      <c r="F461" s="20"/>
      <c r="G461" s="416">
        <f>G462</f>
        <v>6504</v>
      </c>
      <c r="H461" s="26"/>
      <c r="I461" s="26"/>
      <c r="J461" s="212"/>
      <c r="K461" s="111"/>
      <c r="L461" s="111"/>
    </row>
    <row r="462" spans="1:12" s="230" customFormat="1" ht="15.75" x14ac:dyDescent="0.25">
      <c r="A462" s="23" t="s">
        <v>598</v>
      </c>
      <c r="B462" s="19">
        <v>903</v>
      </c>
      <c r="C462" s="24" t="s">
        <v>253</v>
      </c>
      <c r="D462" s="24" t="s">
        <v>228</v>
      </c>
      <c r="E462" s="24"/>
      <c r="F462" s="24"/>
      <c r="G462" s="416">
        <f>G463+G475</f>
        <v>6504</v>
      </c>
      <c r="H462" s="26"/>
      <c r="I462" s="26"/>
      <c r="J462" s="212"/>
      <c r="K462" s="111"/>
      <c r="L462" s="111"/>
    </row>
    <row r="463" spans="1:12" s="230" customFormat="1" ht="15.75" x14ac:dyDescent="0.25">
      <c r="A463" s="23" t="s">
        <v>156</v>
      </c>
      <c r="B463" s="19">
        <v>903</v>
      </c>
      <c r="C463" s="24" t="s">
        <v>253</v>
      </c>
      <c r="D463" s="24" t="s">
        <v>228</v>
      </c>
      <c r="E463" s="24" t="s">
        <v>914</v>
      </c>
      <c r="F463" s="24"/>
      <c r="G463" s="416">
        <f>G464</f>
        <v>6444</v>
      </c>
      <c r="H463" s="26"/>
      <c r="I463" s="26"/>
      <c r="J463" s="212"/>
      <c r="K463" s="111"/>
      <c r="L463" s="111"/>
    </row>
    <row r="464" spans="1:12" s="230" customFormat="1" ht="15.75" x14ac:dyDescent="0.25">
      <c r="A464" s="23" t="s">
        <v>1095</v>
      </c>
      <c r="B464" s="19">
        <v>903</v>
      </c>
      <c r="C464" s="24" t="s">
        <v>253</v>
      </c>
      <c r="D464" s="24" t="s">
        <v>228</v>
      </c>
      <c r="E464" s="24" t="s">
        <v>1094</v>
      </c>
      <c r="F464" s="24"/>
      <c r="G464" s="416">
        <f>G465+G472</f>
        <v>6444</v>
      </c>
      <c r="H464" s="26"/>
      <c r="I464" s="26"/>
      <c r="J464" s="212"/>
      <c r="K464" s="111"/>
      <c r="L464" s="111"/>
    </row>
    <row r="465" spans="1:12" s="230" customFormat="1" ht="15.75" x14ac:dyDescent="0.25">
      <c r="A465" s="25" t="s">
        <v>834</v>
      </c>
      <c r="B465" s="16">
        <v>903</v>
      </c>
      <c r="C465" s="20" t="s">
        <v>253</v>
      </c>
      <c r="D465" s="20" t="s">
        <v>228</v>
      </c>
      <c r="E465" s="20" t="s">
        <v>1096</v>
      </c>
      <c r="F465" s="20"/>
      <c r="G465" s="415">
        <f>G466+G468+G470</f>
        <v>6234</v>
      </c>
      <c r="H465" s="26"/>
      <c r="I465" s="26"/>
      <c r="J465" s="212"/>
      <c r="K465" s="111"/>
      <c r="L465" s="111"/>
    </row>
    <row r="466" spans="1:12" s="230" customFormat="1" ht="47.25" x14ac:dyDescent="0.25">
      <c r="A466" s="25" t="s">
        <v>142</v>
      </c>
      <c r="B466" s="16">
        <v>903</v>
      </c>
      <c r="C466" s="20" t="s">
        <v>253</v>
      </c>
      <c r="D466" s="20" t="s">
        <v>228</v>
      </c>
      <c r="E466" s="20" t="s">
        <v>1096</v>
      </c>
      <c r="F466" s="20" t="s">
        <v>143</v>
      </c>
      <c r="G466" s="415">
        <f>G467</f>
        <v>5525</v>
      </c>
      <c r="H466" s="26"/>
      <c r="I466" s="26"/>
      <c r="J466" s="212"/>
      <c r="K466" s="111"/>
      <c r="L466" s="111"/>
    </row>
    <row r="467" spans="1:12" s="230" customFormat="1" ht="15.75" x14ac:dyDescent="0.25">
      <c r="A467" s="25" t="s">
        <v>223</v>
      </c>
      <c r="B467" s="16">
        <v>903</v>
      </c>
      <c r="C467" s="20" t="s">
        <v>253</v>
      </c>
      <c r="D467" s="20" t="s">
        <v>228</v>
      </c>
      <c r="E467" s="20" t="s">
        <v>1096</v>
      </c>
      <c r="F467" s="20" t="s">
        <v>224</v>
      </c>
      <c r="G467" s="419">
        <f>5853-357.5-36+280.5-215</f>
        <v>5525</v>
      </c>
      <c r="H467" s="26"/>
      <c r="I467" s="26"/>
      <c r="J467" s="212"/>
      <c r="K467" s="111"/>
      <c r="L467" s="111"/>
    </row>
    <row r="468" spans="1:12" s="230" customFormat="1" ht="15.75" x14ac:dyDescent="0.25">
      <c r="A468" s="25" t="s">
        <v>146</v>
      </c>
      <c r="B468" s="16">
        <v>903</v>
      </c>
      <c r="C468" s="20" t="s">
        <v>253</v>
      </c>
      <c r="D468" s="20" t="s">
        <v>228</v>
      </c>
      <c r="E468" s="20" t="s">
        <v>1096</v>
      </c>
      <c r="F468" s="20" t="s">
        <v>147</v>
      </c>
      <c r="G468" s="415">
        <f>G469</f>
        <v>659</v>
      </c>
      <c r="H468" s="26"/>
      <c r="I468" s="26"/>
      <c r="J468" s="212"/>
      <c r="K468" s="111"/>
      <c r="L468" s="111"/>
    </row>
    <row r="469" spans="1:12" s="230" customFormat="1" ht="31.5" x14ac:dyDescent="0.25">
      <c r="A469" s="25" t="s">
        <v>148</v>
      </c>
      <c r="B469" s="16">
        <v>903</v>
      </c>
      <c r="C469" s="20" t="s">
        <v>253</v>
      </c>
      <c r="D469" s="20" t="s">
        <v>228</v>
      </c>
      <c r="E469" s="20" t="s">
        <v>1096</v>
      </c>
      <c r="F469" s="20" t="s">
        <v>149</v>
      </c>
      <c r="G469" s="419">
        <f>1456-797</f>
        <v>659</v>
      </c>
      <c r="H469" s="26"/>
      <c r="I469" s="26"/>
      <c r="J469" s="212"/>
      <c r="K469" s="111"/>
      <c r="L469" s="111"/>
    </row>
    <row r="470" spans="1:12" s="230" customFormat="1" ht="15.75" x14ac:dyDescent="0.25">
      <c r="A470" s="25" t="s">
        <v>150</v>
      </c>
      <c r="B470" s="16">
        <v>903</v>
      </c>
      <c r="C470" s="20" t="s">
        <v>253</v>
      </c>
      <c r="D470" s="20" t="s">
        <v>228</v>
      </c>
      <c r="E470" s="20" t="s">
        <v>1096</v>
      </c>
      <c r="F470" s="20" t="s">
        <v>160</v>
      </c>
      <c r="G470" s="415">
        <f>G471</f>
        <v>50</v>
      </c>
      <c r="H470" s="26"/>
      <c r="I470" s="26"/>
      <c r="J470" s="212"/>
      <c r="K470" s="111"/>
      <c r="L470" s="111"/>
    </row>
    <row r="471" spans="1:12" s="230" customFormat="1" ht="15.75" x14ac:dyDescent="0.25">
      <c r="A471" s="25" t="s">
        <v>583</v>
      </c>
      <c r="B471" s="16">
        <v>903</v>
      </c>
      <c r="C471" s="20" t="s">
        <v>253</v>
      </c>
      <c r="D471" s="20" t="s">
        <v>228</v>
      </c>
      <c r="E471" s="20" t="s">
        <v>1096</v>
      </c>
      <c r="F471" s="20" t="s">
        <v>153</v>
      </c>
      <c r="G471" s="415">
        <v>50</v>
      </c>
      <c r="H471" s="26"/>
      <c r="I471" s="26"/>
      <c r="J471" s="212"/>
      <c r="K471" s="111"/>
      <c r="L471" s="111"/>
    </row>
    <row r="472" spans="1:12" s="230" customFormat="1" ht="31.5" x14ac:dyDescent="0.25">
      <c r="A472" s="25" t="s">
        <v>886</v>
      </c>
      <c r="B472" s="16">
        <v>903</v>
      </c>
      <c r="C472" s="20" t="s">
        <v>253</v>
      </c>
      <c r="D472" s="20" t="s">
        <v>228</v>
      </c>
      <c r="E472" s="20" t="s">
        <v>1097</v>
      </c>
      <c r="F472" s="20"/>
      <c r="G472" s="415">
        <f>G473</f>
        <v>210</v>
      </c>
      <c r="H472" s="26"/>
      <c r="I472" s="26"/>
      <c r="J472" s="212"/>
      <c r="K472" s="111"/>
      <c r="L472" s="111"/>
    </row>
    <row r="473" spans="1:12" s="230" customFormat="1" ht="47.25" x14ac:dyDescent="0.25">
      <c r="A473" s="25" t="s">
        <v>142</v>
      </c>
      <c r="B473" s="16">
        <v>903</v>
      </c>
      <c r="C473" s="20" t="s">
        <v>253</v>
      </c>
      <c r="D473" s="20" t="s">
        <v>228</v>
      </c>
      <c r="E473" s="20" t="s">
        <v>1097</v>
      </c>
      <c r="F473" s="20" t="s">
        <v>143</v>
      </c>
      <c r="G473" s="415">
        <f>G474</f>
        <v>210</v>
      </c>
      <c r="H473" s="26"/>
      <c r="I473" s="26"/>
      <c r="J473" s="212"/>
      <c r="K473" s="111"/>
      <c r="L473" s="111"/>
    </row>
    <row r="474" spans="1:12" s="230" customFormat="1" ht="15.75" x14ac:dyDescent="0.25">
      <c r="A474" s="25" t="s">
        <v>223</v>
      </c>
      <c r="B474" s="16">
        <v>903</v>
      </c>
      <c r="C474" s="20" t="s">
        <v>253</v>
      </c>
      <c r="D474" s="20" t="s">
        <v>228</v>
      </c>
      <c r="E474" s="20" t="s">
        <v>1097</v>
      </c>
      <c r="F474" s="20" t="s">
        <v>224</v>
      </c>
      <c r="G474" s="415">
        <v>210</v>
      </c>
      <c r="H474" s="26"/>
      <c r="I474" s="26"/>
      <c r="J474" s="212"/>
      <c r="K474" s="111"/>
      <c r="L474" s="111"/>
    </row>
    <row r="475" spans="1:12" s="230" customFormat="1" ht="31.5" x14ac:dyDescent="0.25">
      <c r="A475" s="41" t="s">
        <v>1185</v>
      </c>
      <c r="B475" s="19">
        <v>903</v>
      </c>
      <c r="C475" s="24" t="s">
        <v>253</v>
      </c>
      <c r="D475" s="24" t="s">
        <v>228</v>
      </c>
      <c r="E475" s="24" t="s">
        <v>727</v>
      </c>
      <c r="F475" s="285"/>
      <c r="G475" s="416">
        <f>G477</f>
        <v>60</v>
      </c>
      <c r="H475" s="26"/>
      <c r="I475" s="26"/>
      <c r="J475" s="212"/>
      <c r="K475" s="111"/>
      <c r="L475" s="111"/>
    </row>
    <row r="476" spans="1:12" s="230" customFormat="1" ht="31.5" x14ac:dyDescent="0.25">
      <c r="A476" s="41" t="s">
        <v>951</v>
      </c>
      <c r="B476" s="19">
        <v>903</v>
      </c>
      <c r="C476" s="24" t="s">
        <v>253</v>
      </c>
      <c r="D476" s="24" t="s">
        <v>228</v>
      </c>
      <c r="E476" s="24" t="s">
        <v>949</v>
      </c>
      <c r="F476" s="285"/>
      <c r="G476" s="416">
        <f>G477</f>
        <v>60</v>
      </c>
      <c r="H476" s="26"/>
      <c r="I476" s="26"/>
      <c r="J476" s="212"/>
      <c r="K476" s="111"/>
      <c r="L476" s="111"/>
    </row>
    <row r="477" spans="1:12" s="230" customFormat="1" ht="31.5" x14ac:dyDescent="0.25">
      <c r="A477" s="101" t="s">
        <v>1163</v>
      </c>
      <c r="B477" s="16">
        <v>903</v>
      </c>
      <c r="C477" s="20" t="s">
        <v>253</v>
      </c>
      <c r="D477" s="20" t="s">
        <v>228</v>
      </c>
      <c r="E477" s="20" t="s">
        <v>950</v>
      </c>
      <c r="F477" s="32"/>
      <c r="G477" s="415">
        <f>G478</f>
        <v>60</v>
      </c>
      <c r="H477" s="26"/>
      <c r="I477" s="26"/>
      <c r="J477" s="212"/>
      <c r="K477" s="111"/>
      <c r="L477" s="111"/>
    </row>
    <row r="478" spans="1:12" s="230" customFormat="1" ht="15.75" x14ac:dyDescent="0.25">
      <c r="A478" s="25" t="s">
        <v>146</v>
      </c>
      <c r="B478" s="16">
        <v>903</v>
      </c>
      <c r="C478" s="20" t="s">
        <v>253</v>
      </c>
      <c r="D478" s="20" t="s">
        <v>228</v>
      </c>
      <c r="E478" s="20" t="s">
        <v>950</v>
      </c>
      <c r="F478" s="32" t="s">
        <v>147</v>
      </c>
      <c r="G478" s="415">
        <f>G479</f>
        <v>60</v>
      </c>
      <c r="H478" s="26"/>
      <c r="I478" s="26"/>
      <c r="J478" s="212"/>
      <c r="K478" s="111"/>
      <c r="L478" s="111"/>
    </row>
    <row r="479" spans="1:12" s="230" customFormat="1" ht="31.5" x14ac:dyDescent="0.25">
      <c r="A479" s="25" t="s">
        <v>148</v>
      </c>
      <c r="B479" s="16">
        <v>903</v>
      </c>
      <c r="C479" s="20" t="s">
        <v>253</v>
      </c>
      <c r="D479" s="20" t="s">
        <v>228</v>
      </c>
      <c r="E479" s="20" t="s">
        <v>950</v>
      </c>
      <c r="F479" s="32" t="s">
        <v>149</v>
      </c>
      <c r="G479" s="415">
        <v>60</v>
      </c>
      <c r="H479" s="26"/>
      <c r="I479" s="26"/>
      <c r="J479" s="212"/>
      <c r="K479" s="111"/>
      <c r="L479" s="111"/>
    </row>
    <row r="480" spans="1:12" ht="31.5" x14ac:dyDescent="0.25">
      <c r="A480" s="19" t="s">
        <v>402</v>
      </c>
      <c r="B480" s="19">
        <v>905</v>
      </c>
      <c r="C480" s="20"/>
      <c r="D480" s="20"/>
      <c r="E480" s="20"/>
      <c r="F480" s="20"/>
      <c r="G480" s="416">
        <f>G481+G513+G523</f>
        <v>16714.02</v>
      </c>
      <c r="H480" s="21">
        <f>H481+H513</f>
        <v>22434.999999999996</v>
      </c>
      <c r="I480" s="21">
        <f>I481+I513</f>
        <v>22434.999999999996</v>
      </c>
      <c r="J480" s="242">
        <f>G482+G500+G509+G515</f>
        <v>15282.82</v>
      </c>
      <c r="L480" s="111"/>
    </row>
    <row r="481" spans="1:13" ht="15.75" x14ac:dyDescent="0.25">
      <c r="A481" s="23" t="s">
        <v>132</v>
      </c>
      <c r="B481" s="19">
        <v>905</v>
      </c>
      <c r="C481" s="24" t="s">
        <v>133</v>
      </c>
      <c r="D481" s="20"/>
      <c r="E481" s="20"/>
      <c r="F481" s="20"/>
      <c r="G481" s="416">
        <f>G482+G499</f>
        <v>14101.82</v>
      </c>
      <c r="H481" s="21">
        <f>H482+H499</f>
        <v>21535.199999999997</v>
      </c>
      <c r="I481" s="21">
        <f>I482+I499</f>
        <v>21535.199999999997</v>
      </c>
      <c r="L481" s="111"/>
    </row>
    <row r="482" spans="1:13" ht="65.25" customHeight="1" x14ac:dyDescent="0.25">
      <c r="A482" s="23" t="s">
        <v>164</v>
      </c>
      <c r="B482" s="19">
        <v>905</v>
      </c>
      <c r="C482" s="24" t="s">
        <v>133</v>
      </c>
      <c r="D482" s="24" t="s">
        <v>165</v>
      </c>
      <c r="E482" s="24"/>
      <c r="F482" s="24"/>
      <c r="G482" s="416">
        <f>G483</f>
        <v>10962</v>
      </c>
      <c r="H482" s="21">
        <f t="shared" ref="H482:I483" si="235">H483</f>
        <v>11414.099999999999</v>
      </c>
      <c r="I482" s="21">
        <f t="shared" si="235"/>
        <v>11414.099999999999</v>
      </c>
      <c r="L482" s="111"/>
    </row>
    <row r="483" spans="1:13" ht="15.75" x14ac:dyDescent="0.25">
      <c r="A483" s="23" t="s">
        <v>992</v>
      </c>
      <c r="B483" s="19">
        <v>905</v>
      </c>
      <c r="C483" s="24" t="s">
        <v>133</v>
      </c>
      <c r="D483" s="24" t="s">
        <v>165</v>
      </c>
      <c r="E483" s="24" t="s">
        <v>906</v>
      </c>
      <c r="F483" s="24"/>
      <c r="G483" s="416">
        <f>G484+G495</f>
        <v>10962</v>
      </c>
      <c r="H483" s="21">
        <f t="shared" si="235"/>
        <v>11414.099999999999</v>
      </c>
      <c r="I483" s="21">
        <f t="shared" si="235"/>
        <v>11414.099999999999</v>
      </c>
      <c r="L483" s="111"/>
    </row>
    <row r="484" spans="1:13" ht="15.75" x14ac:dyDescent="0.25">
      <c r="A484" s="23" t="s">
        <v>993</v>
      </c>
      <c r="B484" s="19">
        <v>905</v>
      </c>
      <c r="C484" s="24" t="s">
        <v>133</v>
      </c>
      <c r="D484" s="24" t="s">
        <v>165</v>
      </c>
      <c r="E484" s="24" t="s">
        <v>907</v>
      </c>
      <c r="F484" s="24"/>
      <c r="G484" s="416">
        <f>G485+G492</f>
        <v>10940</v>
      </c>
      <c r="H484" s="21">
        <f t="shared" ref="H484:I484" si="236">H485+H492</f>
        <v>11414.099999999999</v>
      </c>
      <c r="I484" s="21">
        <f t="shared" si="236"/>
        <v>11414.099999999999</v>
      </c>
      <c r="L484" s="111"/>
    </row>
    <row r="485" spans="1:13" ht="15.75" x14ac:dyDescent="0.25">
      <c r="A485" s="25" t="s">
        <v>969</v>
      </c>
      <c r="B485" s="16">
        <v>905</v>
      </c>
      <c r="C485" s="20" t="s">
        <v>133</v>
      </c>
      <c r="D485" s="20" t="s">
        <v>165</v>
      </c>
      <c r="E485" s="20" t="s">
        <v>908</v>
      </c>
      <c r="F485" s="20"/>
      <c r="G485" s="415">
        <f>G486+G488+G490</f>
        <v>10604</v>
      </c>
      <c r="H485" s="26">
        <f t="shared" ref="H485:I485" si="237">H486+H488+H490</f>
        <v>10987.699999999999</v>
      </c>
      <c r="I485" s="26">
        <f t="shared" si="237"/>
        <v>10987.699999999999</v>
      </c>
      <c r="L485" s="111"/>
    </row>
    <row r="486" spans="1:13" ht="47.25" x14ac:dyDescent="0.25">
      <c r="A486" s="25" t="s">
        <v>142</v>
      </c>
      <c r="B486" s="16">
        <v>905</v>
      </c>
      <c r="C486" s="20" t="s">
        <v>133</v>
      </c>
      <c r="D486" s="20" t="s">
        <v>165</v>
      </c>
      <c r="E486" s="20" t="s">
        <v>908</v>
      </c>
      <c r="F486" s="20" t="s">
        <v>143</v>
      </c>
      <c r="G486" s="415">
        <f>G487</f>
        <v>10033</v>
      </c>
      <c r="H486" s="26">
        <f t="shared" ref="H486:I486" si="238">H487</f>
        <v>10192.4</v>
      </c>
      <c r="I486" s="26">
        <f t="shared" si="238"/>
        <v>10192.4</v>
      </c>
      <c r="L486" s="111"/>
    </row>
    <row r="487" spans="1:13" ht="25.5" x14ac:dyDescent="0.25">
      <c r="A487" s="25" t="s">
        <v>144</v>
      </c>
      <c r="B487" s="16">
        <v>905</v>
      </c>
      <c r="C487" s="20" t="s">
        <v>133</v>
      </c>
      <c r="D487" s="20" t="s">
        <v>165</v>
      </c>
      <c r="E487" s="20" t="s">
        <v>908</v>
      </c>
      <c r="F487" s="20" t="s">
        <v>145</v>
      </c>
      <c r="G487" s="419">
        <v>10033</v>
      </c>
      <c r="H487" s="27">
        <f t="shared" ref="H487:I487" si="239">10286.1-1052.7+1385.4-426.4</f>
        <v>10192.4</v>
      </c>
      <c r="I487" s="27">
        <f t="shared" si="239"/>
        <v>10192.4</v>
      </c>
      <c r="J487" s="313" t="s">
        <v>888</v>
      </c>
      <c r="K487" s="111">
        <v>1043</v>
      </c>
      <c r="L487" s="332">
        <v>10033</v>
      </c>
      <c r="M487" s="1" t="s">
        <v>1392</v>
      </c>
    </row>
    <row r="488" spans="1:13" ht="15.75" x14ac:dyDescent="0.25">
      <c r="A488" s="25" t="s">
        <v>146</v>
      </c>
      <c r="B488" s="16">
        <v>905</v>
      </c>
      <c r="C488" s="20" t="s">
        <v>133</v>
      </c>
      <c r="D488" s="20" t="s">
        <v>165</v>
      </c>
      <c r="E488" s="20" t="s">
        <v>908</v>
      </c>
      <c r="F488" s="20" t="s">
        <v>147</v>
      </c>
      <c r="G488" s="415">
        <f>G489</f>
        <v>440</v>
      </c>
      <c r="H488" s="26">
        <f t="shared" ref="H488:I488" si="240">H489</f>
        <v>664</v>
      </c>
      <c r="I488" s="26">
        <f t="shared" si="240"/>
        <v>664</v>
      </c>
      <c r="L488" s="224"/>
    </row>
    <row r="489" spans="1:13" ht="31.5" x14ac:dyDescent="0.25">
      <c r="A489" s="25" t="s">
        <v>148</v>
      </c>
      <c r="B489" s="16">
        <v>905</v>
      </c>
      <c r="C489" s="20" t="s">
        <v>133</v>
      </c>
      <c r="D489" s="20" t="s">
        <v>165</v>
      </c>
      <c r="E489" s="20" t="s">
        <v>908</v>
      </c>
      <c r="F489" s="20" t="s">
        <v>149</v>
      </c>
      <c r="G489" s="419">
        <v>440</v>
      </c>
      <c r="H489" s="27">
        <f>664</f>
        <v>664</v>
      </c>
      <c r="I489" s="27">
        <f>664</f>
        <v>664</v>
      </c>
      <c r="J489" s="242"/>
      <c r="L489" s="111"/>
    </row>
    <row r="490" spans="1:13" ht="15.75" x14ac:dyDescent="0.25">
      <c r="A490" s="25" t="s">
        <v>150</v>
      </c>
      <c r="B490" s="16">
        <v>905</v>
      </c>
      <c r="C490" s="20" t="s">
        <v>133</v>
      </c>
      <c r="D490" s="20" t="s">
        <v>165</v>
      </c>
      <c r="E490" s="20" t="s">
        <v>908</v>
      </c>
      <c r="F490" s="20" t="s">
        <v>160</v>
      </c>
      <c r="G490" s="415">
        <f>G491</f>
        <v>131</v>
      </c>
      <c r="H490" s="26">
        <f t="shared" ref="H490:I490" si="241">H491</f>
        <v>131.30000000000001</v>
      </c>
      <c r="I490" s="26">
        <f t="shared" si="241"/>
        <v>131.30000000000001</v>
      </c>
      <c r="L490" s="111"/>
    </row>
    <row r="491" spans="1:13" ht="15.75" x14ac:dyDescent="0.25">
      <c r="A491" s="25" t="s">
        <v>583</v>
      </c>
      <c r="B491" s="16">
        <v>905</v>
      </c>
      <c r="C491" s="20" t="s">
        <v>133</v>
      </c>
      <c r="D491" s="20" t="s">
        <v>165</v>
      </c>
      <c r="E491" s="20" t="s">
        <v>908</v>
      </c>
      <c r="F491" s="20" t="s">
        <v>153</v>
      </c>
      <c r="G491" s="415">
        <f>8.8+7.5+20+30+65-0.3</f>
        <v>131</v>
      </c>
      <c r="H491" s="26">
        <f t="shared" ref="H491:I491" si="242">8.8+7.5+20+30+65</f>
        <v>131.30000000000001</v>
      </c>
      <c r="I491" s="26">
        <f t="shared" si="242"/>
        <v>131.30000000000001</v>
      </c>
      <c r="L491" s="111"/>
    </row>
    <row r="492" spans="1:13" s="230" customFormat="1" ht="31.5" x14ac:dyDescent="0.25">
      <c r="A492" s="25" t="s">
        <v>886</v>
      </c>
      <c r="B492" s="16">
        <v>905</v>
      </c>
      <c r="C492" s="20" t="s">
        <v>133</v>
      </c>
      <c r="D492" s="20" t="s">
        <v>165</v>
      </c>
      <c r="E492" s="20" t="s">
        <v>910</v>
      </c>
      <c r="F492" s="20"/>
      <c r="G492" s="415">
        <f>G493</f>
        <v>336</v>
      </c>
      <c r="H492" s="26">
        <f t="shared" ref="H492:I493" si="243">H493</f>
        <v>426.4</v>
      </c>
      <c r="I492" s="26">
        <f t="shared" si="243"/>
        <v>426.4</v>
      </c>
      <c r="J492" s="212"/>
      <c r="K492" s="111"/>
      <c r="L492" s="111"/>
    </row>
    <row r="493" spans="1:13" s="230" customFormat="1" ht="47.25" x14ac:dyDescent="0.25">
      <c r="A493" s="25" t="s">
        <v>142</v>
      </c>
      <c r="B493" s="16">
        <v>905</v>
      </c>
      <c r="C493" s="20" t="s">
        <v>133</v>
      </c>
      <c r="D493" s="20" t="s">
        <v>165</v>
      </c>
      <c r="E493" s="20" t="s">
        <v>910</v>
      </c>
      <c r="F493" s="20" t="s">
        <v>143</v>
      </c>
      <c r="G493" s="415">
        <f>G494</f>
        <v>336</v>
      </c>
      <c r="H493" s="26">
        <f t="shared" si="243"/>
        <v>426.4</v>
      </c>
      <c r="I493" s="26">
        <f t="shared" si="243"/>
        <v>426.4</v>
      </c>
      <c r="J493" s="212"/>
      <c r="K493" s="111"/>
      <c r="L493" s="111"/>
    </row>
    <row r="494" spans="1:13" s="230" customFormat="1" ht="15.75" x14ac:dyDescent="0.25">
      <c r="A494" s="25" t="s">
        <v>144</v>
      </c>
      <c r="B494" s="16">
        <v>905</v>
      </c>
      <c r="C494" s="20" t="s">
        <v>133</v>
      </c>
      <c r="D494" s="20" t="s">
        <v>165</v>
      </c>
      <c r="E494" s="20" t="s">
        <v>910</v>
      </c>
      <c r="F494" s="20" t="s">
        <v>145</v>
      </c>
      <c r="G494" s="415">
        <v>336</v>
      </c>
      <c r="H494" s="26">
        <v>426.4</v>
      </c>
      <c r="I494" s="26">
        <v>426.4</v>
      </c>
      <c r="J494" s="212"/>
      <c r="K494" s="111"/>
      <c r="L494" s="111"/>
    </row>
    <row r="495" spans="1:13" s="230" customFormat="1" ht="31.5" x14ac:dyDescent="0.25">
      <c r="A495" s="23" t="s">
        <v>934</v>
      </c>
      <c r="B495" s="19">
        <v>905</v>
      </c>
      <c r="C495" s="24" t="s">
        <v>133</v>
      </c>
      <c r="D495" s="24" t="s">
        <v>165</v>
      </c>
      <c r="E495" s="24" t="s">
        <v>911</v>
      </c>
      <c r="F495" s="24"/>
      <c r="G495" s="416">
        <f>G496</f>
        <v>22</v>
      </c>
      <c r="H495" s="26"/>
      <c r="I495" s="26"/>
      <c r="J495" s="212"/>
      <c r="K495" s="111"/>
    </row>
    <row r="496" spans="1:13" s="230" customFormat="1" ht="63" x14ac:dyDescent="0.25">
      <c r="A496" s="31" t="s">
        <v>1435</v>
      </c>
      <c r="B496" s="16">
        <v>905</v>
      </c>
      <c r="C496" s="20" t="s">
        <v>133</v>
      </c>
      <c r="D496" s="20" t="s">
        <v>165</v>
      </c>
      <c r="E496" s="20" t="s">
        <v>1434</v>
      </c>
      <c r="F496" s="20"/>
      <c r="G496" s="415">
        <f>G497</f>
        <v>22</v>
      </c>
      <c r="H496" s="26"/>
      <c r="I496" s="26"/>
      <c r="J496" s="212"/>
      <c r="K496" s="111"/>
    </row>
    <row r="497" spans="1:12" s="230" customFormat="1" ht="47.25" x14ac:dyDescent="0.25">
      <c r="A497" s="25" t="s">
        <v>142</v>
      </c>
      <c r="B497" s="16">
        <v>905</v>
      </c>
      <c r="C497" s="20" t="s">
        <v>133</v>
      </c>
      <c r="D497" s="20" t="s">
        <v>165</v>
      </c>
      <c r="E497" s="20" t="s">
        <v>1434</v>
      </c>
      <c r="F497" s="20" t="s">
        <v>143</v>
      </c>
      <c r="G497" s="415">
        <f>G498</f>
        <v>22</v>
      </c>
      <c r="H497" s="26"/>
      <c r="I497" s="26"/>
      <c r="J497" s="212"/>
      <c r="K497" s="111"/>
    </row>
    <row r="498" spans="1:12" s="230" customFormat="1" ht="15.75" x14ac:dyDescent="0.25">
      <c r="A498" s="25" t="s">
        <v>144</v>
      </c>
      <c r="B498" s="16">
        <v>905</v>
      </c>
      <c r="C498" s="20" t="s">
        <v>133</v>
      </c>
      <c r="D498" s="20" t="s">
        <v>165</v>
      </c>
      <c r="E498" s="20" t="s">
        <v>1434</v>
      </c>
      <c r="F498" s="20" t="s">
        <v>145</v>
      </c>
      <c r="G498" s="415">
        <v>22</v>
      </c>
      <c r="H498" s="26"/>
      <c r="I498" s="26"/>
      <c r="J498" s="212"/>
      <c r="K498" s="111"/>
    </row>
    <row r="499" spans="1:12" ht="15.75" x14ac:dyDescent="0.25">
      <c r="A499" s="23" t="s">
        <v>154</v>
      </c>
      <c r="B499" s="19">
        <v>905</v>
      </c>
      <c r="C499" s="24" t="s">
        <v>133</v>
      </c>
      <c r="D499" s="24" t="s">
        <v>155</v>
      </c>
      <c r="E499" s="24"/>
      <c r="F499" s="24"/>
      <c r="G499" s="416">
        <f>G500+G508</f>
        <v>3139.82</v>
      </c>
      <c r="H499" s="21">
        <f t="shared" ref="H499:I499" si="244">H500+H508</f>
        <v>10121.099999999999</v>
      </c>
      <c r="I499" s="21">
        <f t="shared" si="244"/>
        <v>10121.099999999999</v>
      </c>
      <c r="L499" s="1"/>
    </row>
    <row r="500" spans="1:12" s="230" customFormat="1" ht="15.75" x14ac:dyDescent="0.25">
      <c r="A500" s="23" t="s">
        <v>156</v>
      </c>
      <c r="B500" s="19">
        <v>905</v>
      </c>
      <c r="C500" s="24" t="s">
        <v>133</v>
      </c>
      <c r="D500" s="24" t="s">
        <v>155</v>
      </c>
      <c r="E500" s="24" t="s">
        <v>914</v>
      </c>
      <c r="F500" s="24"/>
      <c r="G500" s="416">
        <f>G501</f>
        <v>2900</v>
      </c>
      <c r="H500" s="21">
        <f t="shared" ref="H500:I500" si="245">H501</f>
        <v>5188.7999999999993</v>
      </c>
      <c r="I500" s="21">
        <f t="shared" si="245"/>
        <v>5188.7999999999993</v>
      </c>
      <c r="J500" s="212"/>
      <c r="K500" s="111"/>
      <c r="L500" s="111"/>
    </row>
    <row r="501" spans="1:12" s="230" customFormat="1" ht="31.5" x14ac:dyDescent="0.25">
      <c r="A501" s="23" t="s">
        <v>918</v>
      </c>
      <c r="B501" s="19">
        <v>905</v>
      </c>
      <c r="C501" s="24" t="s">
        <v>133</v>
      </c>
      <c r="D501" s="24" t="s">
        <v>155</v>
      </c>
      <c r="E501" s="24" t="s">
        <v>913</v>
      </c>
      <c r="F501" s="24"/>
      <c r="G501" s="416">
        <f>G502+G505</f>
        <v>2900</v>
      </c>
      <c r="H501" s="21">
        <f t="shared" ref="H501:I501" si="246">H502+H505</f>
        <v>5188.7999999999993</v>
      </c>
      <c r="I501" s="21">
        <f t="shared" si="246"/>
        <v>5188.7999999999993</v>
      </c>
      <c r="J501" s="212"/>
      <c r="K501" s="111"/>
      <c r="L501" s="111"/>
    </row>
    <row r="502" spans="1:12" s="230" customFormat="1" ht="31.5" x14ac:dyDescent="0.25">
      <c r="A502" s="25" t="s">
        <v>403</v>
      </c>
      <c r="B502" s="16">
        <v>905</v>
      </c>
      <c r="C502" s="20" t="s">
        <v>133</v>
      </c>
      <c r="D502" s="20" t="s">
        <v>155</v>
      </c>
      <c r="E502" s="20" t="s">
        <v>1175</v>
      </c>
      <c r="F502" s="20"/>
      <c r="G502" s="415">
        <f>G503</f>
        <v>2900</v>
      </c>
      <c r="H502" s="26">
        <f t="shared" ref="H502:I503" si="247">H503</f>
        <v>5088.7999999999993</v>
      </c>
      <c r="I502" s="26">
        <f t="shared" si="247"/>
        <v>5088.7999999999993</v>
      </c>
      <c r="J502" s="212"/>
      <c r="K502" s="111"/>
      <c r="L502" s="111"/>
    </row>
    <row r="503" spans="1:12" s="230" customFormat="1" ht="15.75" x14ac:dyDescent="0.25">
      <c r="A503" s="25" t="s">
        <v>146</v>
      </c>
      <c r="B503" s="16">
        <v>905</v>
      </c>
      <c r="C503" s="20" t="s">
        <v>133</v>
      </c>
      <c r="D503" s="20" t="s">
        <v>155</v>
      </c>
      <c r="E503" s="20" t="s">
        <v>1175</v>
      </c>
      <c r="F503" s="20" t="s">
        <v>147</v>
      </c>
      <c r="G503" s="415">
        <f>G504</f>
        <v>2900</v>
      </c>
      <c r="H503" s="26">
        <f t="shared" si="247"/>
        <v>5088.7999999999993</v>
      </c>
      <c r="I503" s="26">
        <f t="shared" si="247"/>
        <v>5088.7999999999993</v>
      </c>
      <c r="J503" s="212"/>
      <c r="K503" s="111"/>
      <c r="L503" s="111"/>
    </row>
    <row r="504" spans="1:12" s="230" customFormat="1" ht="31.5" x14ac:dyDescent="0.25">
      <c r="A504" s="25" t="s">
        <v>148</v>
      </c>
      <c r="B504" s="16">
        <v>905</v>
      </c>
      <c r="C504" s="20" t="s">
        <v>133</v>
      </c>
      <c r="D504" s="20" t="s">
        <v>155</v>
      </c>
      <c r="E504" s="20" t="s">
        <v>1175</v>
      </c>
      <c r="F504" s="20" t="s">
        <v>149</v>
      </c>
      <c r="G504" s="415">
        <v>2900</v>
      </c>
      <c r="H504" s="26">
        <f t="shared" ref="H504:I504" si="248">3123.5+1000+1427.4-355-7.1-100</f>
        <v>5088.7999999999993</v>
      </c>
      <c r="I504" s="26">
        <f t="shared" si="248"/>
        <v>5088.7999999999993</v>
      </c>
      <c r="J504" s="212"/>
      <c r="K504" s="111"/>
      <c r="L504" s="111"/>
    </row>
    <row r="505" spans="1:12" s="230" customFormat="1" ht="31.5" hidden="1" x14ac:dyDescent="0.25">
      <c r="A505" s="25" t="s">
        <v>1008</v>
      </c>
      <c r="B505" s="16">
        <v>905</v>
      </c>
      <c r="C505" s="20" t="s">
        <v>133</v>
      </c>
      <c r="D505" s="20" t="s">
        <v>155</v>
      </c>
      <c r="E505" s="20" t="s">
        <v>1176</v>
      </c>
      <c r="F505" s="20"/>
      <c r="G505" s="415">
        <f>G506</f>
        <v>0</v>
      </c>
      <c r="H505" s="26">
        <f t="shared" ref="H505:I506" si="249">H506</f>
        <v>100</v>
      </c>
      <c r="I505" s="26">
        <f t="shared" si="249"/>
        <v>100</v>
      </c>
      <c r="J505" s="212"/>
      <c r="K505" s="111"/>
      <c r="L505" s="111"/>
    </row>
    <row r="506" spans="1:12" s="230" customFormat="1" ht="15.75" hidden="1" x14ac:dyDescent="0.25">
      <c r="A506" s="25" t="s">
        <v>146</v>
      </c>
      <c r="B506" s="16">
        <v>905</v>
      </c>
      <c r="C506" s="20" t="s">
        <v>133</v>
      </c>
      <c r="D506" s="20" t="s">
        <v>155</v>
      </c>
      <c r="E506" s="20" t="s">
        <v>1176</v>
      </c>
      <c r="F506" s="20" t="s">
        <v>147</v>
      </c>
      <c r="G506" s="415">
        <f>G507</f>
        <v>0</v>
      </c>
      <c r="H506" s="26">
        <f t="shared" si="249"/>
        <v>100</v>
      </c>
      <c r="I506" s="26">
        <f t="shared" si="249"/>
        <v>100</v>
      </c>
      <c r="J506" s="212"/>
      <c r="K506" s="111"/>
      <c r="L506" s="111"/>
    </row>
    <row r="507" spans="1:12" s="230" customFormat="1" ht="31.5" hidden="1" x14ac:dyDescent="0.25">
      <c r="A507" s="25" t="s">
        <v>148</v>
      </c>
      <c r="B507" s="16">
        <v>905</v>
      </c>
      <c r="C507" s="20" t="s">
        <v>133</v>
      </c>
      <c r="D507" s="20" t="s">
        <v>155</v>
      </c>
      <c r="E507" s="20" t="s">
        <v>1176</v>
      </c>
      <c r="F507" s="20" t="s">
        <v>149</v>
      </c>
      <c r="G507" s="415">
        <f>100-100</f>
        <v>0</v>
      </c>
      <c r="H507" s="26">
        <v>100</v>
      </c>
      <c r="I507" s="26">
        <v>100</v>
      </c>
      <c r="J507" s="212"/>
      <c r="K507" s="111"/>
      <c r="L507" s="111"/>
    </row>
    <row r="508" spans="1:12" s="114" customFormat="1" ht="69" customHeight="1" x14ac:dyDescent="0.25">
      <c r="A508" s="23" t="s">
        <v>1188</v>
      </c>
      <c r="B508" s="19">
        <v>905</v>
      </c>
      <c r="C508" s="24" t="s">
        <v>133</v>
      </c>
      <c r="D508" s="24" t="s">
        <v>155</v>
      </c>
      <c r="E508" s="24" t="s">
        <v>805</v>
      </c>
      <c r="F508" s="24"/>
      <c r="G508" s="416">
        <f>G509</f>
        <v>239.82</v>
      </c>
      <c r="H508" s="21">
        <f t="shared" ref="H508:I511" si="250">H509</f>
        <v>4932.3</v>
      </c>
      <c r="I508" s="21">
        <f t="shared" si="250"/>
        <v>4932.3</v>
      </c>
      <c r="J508" s="248"/>
      <c r="K508" s="130"/>
      <c r="L508" s="130"/>
    </row>
    <row r="509" spans="1:12" s="232" customFormat="1" ht="29.25" customHeight="1" x14ac:dyDescent="0.25">
      <c r="A509" s="23" t="s">
        <v>1007</v>
      </c>
      <c r="B509" s="19">
        <v>905</v>
      </c>
      <c r="C509" s="24" t="s">
        <v>133</v>
      </c>
      <c r="D509" s="24" t="s">
        <v>155</v>
      </c>
      <c r="E509" s="24" t="s">
        <v>1189</v>
      </c>
      <c r="F509" s="24"/>
      <c r="G509" s="416">
        <f>G510</f>
        <v>239.82</v>
      </c>
      <c r="H509" s="21">
        <f t="shared" si="250"/>
        <v>4932.3</v>
      </c>
      <c r="I509" s="21">
        <f t="shared" si="250"/>
        <v>4932.3</v>
      </c>
      <c r="J509" s="248"/>
      <c r="K509" s="130"/>
      <c r="L509" s="130"/>
    </row>
    <row r="510" spans="1:12" s="114" customFormat="1" ht="31.5" customHeight="1" x14ac:dyDescent="0.25">
      <c r="A510" s="25" t="s">
        <v>815</v>
      </c>
      <c r="B510" s="16">
        <v>905</v>
      </c>
      <c r="C510" s="20" t="s">
        <v>133</v>
      </c>
      <c r="D510" s="20" t="s">
        <v>155</v>
      </c>
      <c r="E510" s="20" t="s">
        <v>1190</v>
      </c>
      <c r="F510" s="20"/>
      <c r="G510" s="415">
        <f>G511</f>
        <v>239.82</v>
      </c>
      <c r="H510" s="26">
        <f t="shared" si="250"/>
        <v>4932.3</v>
      </c>
      <c r="I510" s="26">
        <f t="shared" si="250"/>
        <v>4932.3</v>
      </c>
      <c r="J510" s="248"/>
      <c r="K510" s="130"/>
      <c r="L510" s="130"/>
    </row>
    <row r="511" spans="1:12" s="114" customFormat="1" ht="15.75" x14ac:dyDescent="0.25">
      <c r="A511" s="25" t="s">
        <v>146</v>
      </c>
      <c r="B511" s="16">
        <v>905</v>
      </c>
      <c r="C511" s="20" t="s">
        <v>133</v>
      </c>
      <c r="D511" s="20" t="s">
        <v>155</v>
      </c>
      <c r="E511" s="20" t="s">
        <v>1190</v>
      </c>
      <c r="F511" s="20" t="s">
        <v>147</v>
      </c>
      <c r="G511" s="415">
        <f>G512</f>
        <v>239.82</v>
      </c>
      <c r="H511" s="26">
        <f t="shared" si="250"/>
        <v>4932.3</v>
      </c>
      <c r="I511" s="26">
        <f t="shared" si="250"/>
        <v>4932.3</v>
      </c>
      <c r="J511" s="248"/>
      <c r="K511" s="130"/>
      <c r="L511" s="130"/>
    </row>
    <row r="512" spans="1:12" s="114" customFormat="1" ht="31.5" x14ac:dyDescent="0.25">
      <c r="A512" s="25" t="s">
        <v>148</v>
      </c>
      <c r="B512" s="16">
        <v>905</v>
      </c>
      <c r="C512" s="20" t="s">
        <v>133</v>
      </c>
      <c r="D512" s="20" t="s">
        <v>155</v>
      </c>
      <c r="E512" s="20" t="s">
        <v>1190</v>
      </c>
      <c r="F512" s="20" t="s">
        <v>149</v>
      </c>
      <c r="G512" s="415">
        <v>239.82</v>
      </c>
      <c r="H512" s="26">
        <f t="shared" ref="H512:I512" si="251">448.5+4483.8</f>
        <v>4932.3</v>
      </c>
      <c r="I512" s="26">
        <f t="shared" si="251"/>
        <v>4932.3</v>
      </c>
      <c r="J512" s="240"/>
      <c r="K512" s="130"/>
      <c r="L512" s="130"/>
    </row>
    <row r="513" spans="1:12" ht="15.75" x14ac:dyDescent="0.25">
      <c r="A513" s="41" t="s">
        <v>405</v>
      </c>
      <c r="B513" s="19">
        <v>905</v>
      </c>
      <c r="C513" s="24" t="s">
        <v>249</v>
      </c>
      <c r="D513" s="24"/>
      <c r="E513" s="24"/>
      <c r="F513" s="24"/>
      <c r="G513" s="416">
        <f>G514</f>
        <v>1181</v>
      </c>
      <c r="H513" s="21">
        <f t="shared" ref="H513:I515" si="252">H514</f>
        <v>899.8</v>
      </c>
      <c r="I513" s="21">
        <f t="shared" si="252"/>
        <v>899.8</v>
      </c>
      <c r="L513" s="111"/>
    </row>
    <row r="514" spans="1:12" ht="15.75" x14ac:dyDescent="0.25">
      <c r="A514" s="41" t="s">
        <v>406</v>
      </c>
      <c r="B514" s="19">
        <v>905</v>
      </c>
      <c r="C514" s="24" t="s">
        <v>249</v>
      </c>
      <c r="D514" s="24" t="s">
        <v>133</v>
      </c>
      <c r="E514" s="24"/>
      <c r="F514" s="24"/>
      <c r="G514" s="416">
        <f>G515</f>
        <v>1181</v>
      </c>
      <c r="H514" s="21">
        <f t="shared" si="252"/>
        <v>899.8</v>
      </c>
      <c r="I514" s="21">
        <f t="shared" si="252"/>
        <v>899.8</v>
      </c>
      <c r="L514" s="111"/>
    </row>
    <row r="515" spans="1:12" s="230" customFormat="1" ht="15.75" x14ac:dyDescent="0.25">
      <c r="A515" s="23" t="s">
        <v>156</v>
      </c>
      <c r="B515" s="19">
        <v>905</v>
      </c>
      <c r="C515" s="24" t="s">
        <v>249</v>
      </c>
      <c r="D515" s="24" t="s">
        <v>133</v>
      </c>
      <c r="E515" s="24" t="s">
        <v>914</v>
      </c>
      <c r="F515" s="24"/>
      <c r="G515" s="416">
        <f>G516</f>
        <v>1181</v>
      </c>
      <c r="H515" s="21">
        <f t="shared" si="252"/>
        <v>899.8</v>
      </c>
      <c r="I515" s="21">
        <f t="shared" si="252"/>
        <v>899.8</v>
      </c>
      <c r="J515" s="212"/>
      <c r="K515" s="111"/>
      <c r="L515" s="111"/>
    </row>
    <row r="516" spans="1:12" s="230" customFormat="1" ht="31.5" x14ac:dyDescent="0.25">
      <c r="A516" s="23" t="s">
        <v>918</v>
      </c>
      <c r="B516" s="19">
        <v>905</v>
      </c>
      <c r="C516" s="24" t="s">
        <v>249</v>
      </c>
      <c r="D516" s="24" t="s">
        <v>133</v>
      </c>
      <c r="E516" s="24" t="s">
        <v>913</v>
      </c>
      <c r="F516" s="24"/>
      <c r="G516" s="416">
        <f>G517+G520</f>
        <v>1181</v>
      </c>
      <c r="H516" s="21">
        <f t="shared" ref="H516:I516" si="253">H517+H520</f>
        <v>899.8</v>
      </c>
      <c r="I516" s="21">
        <f t="shared" si="253"/>
        <v>899.8</v>
      </c>
      <c r="J516" s="212"/>
      <c r="K516" s="111"/>
      <c r="L516" s="111"/>
    </row>
    <row r="517" spans="1:12" ht="15.75" x14ac:dyDescent="0.25">
      <c r="A517" s="29" t="s">
        <v>413</v>
      </c>
      <c r="B517" s="16">
        <v>905</v>
      </c>
      <c r="C517" s="20" t="s">
        <v>249</v>
      </c>
      <c r="D517" s="20" t="s">
        <v>133</v>
      </c>
      <c r="E517" s="20" t="s">
        <v>1102</v>
      </c>
      <c r="F517" s="20"/>
      <c r="G517" s="415">
        <f>G518</f>
        <v>270.39999999999998</v>
      </c>
      <c r="H517" s="26">
        <f t="shared" ref="H517:I518" si="254">H518</f>
        <v>270.2</v>
      </c>
      <c r="I517" s="26">
        <f t="shared" si="254"/>
        <v>270.2</v>
      </c>
      <c r="L517" s="111"/>
    </row>
    <row r="518" spans="1:12" ht="15.75" x14ac:dyDescent="0.25">
      <c r="A518" s="25" t="s">
        <v>146</v>
      </c>
      <c r="B518" s="16">
        <v>905</v>
      </c>
      <c r="C518" s="20" t="s">
        <v>249</v>
      </c>
      <c r="D518" s="20" t="s">
        <v>133</v>
      </c>
      <c r="E518" s="20" t="s">
        <v>1102</v>
      </c>
      <c r="F518" s="20" t="s">
        <v>147</v>
      </c>
      <c r="G518" s="415">
        <f>G519</f>
        <v>270.39999999999998</v>
      </c>
      <c r="H518" s="26">
        <f t="shared" si="254"/>
        <v>270.2</v>
      </c>
      <c r="I518" s="26">
        <f t="shared" si="254"/>
        <v>270.2</v>
      </c>
      <c r="L518" s="111"/>
    </row>
    <row r="519" spans="1:12" ht="31.5" x14ac:dyDescent="0.25">
      <c r="A519" s="25" t="s">
        <v>148</v>
      </c>
      <c r="B519" s="16">
        <v>905</v>
      </c>
      <c r="C519" s="20" t="s">
        <v>249</v>
      </c>
      <c r="D519" s="20" t="s">
        <v>133</v>
      </c>
      <c r="E519" s="20" t="s">
        <v>1102</v>
      </c>
      <c r="F519" s="20" t="s">
        <v>149</v>
      </c>
      <c r="G519" s="415">
        <f>263.2+7+0.2</f>
        <v>270.39999999999998</v>
      </c>
      <c r="H519" s="26">
        <f t="shared" ref="H519:I519" si="255">263.2+7</f>
        <v>270.2</v>
      </c>
      <c r="I519" s="26">
        <f t="shared" si="255"/>
        <v>270.2</v>
      </c>
      <c r="J519" s="240"/>
      <c r="L519" s="111"/>
    </row>
    <row r="520" spans="1:12" ht="31.5" x14ac:dyDescent="0.25">
      <c r="A520" s="29" t="s">
        <v>1009</v>
      </c>
      <c r="B520" s="16">
        <v>905</v>
      </c>
      <c r="C520" s="20" t="s">
        <v>249</v>
      </c>
      <c r="D520" s="20" t="s">
        <v>133</v>
      </c>
      <c r="E520" s="20" t="s">
        <v>1103</v>
      </c>
      <c r="F520" s="20"/>
      <c r="G520" s="415">
        <f>G521</f>
        <v>910.6</v>
      </c>
      <c r="H520" s="26">
        <f t="shared" ref="H520:I521" si="256">H521</f>
        <v>629.6</v>
      </c>
      <c r="I520" s="26">
        <f t="shared" si="256"/>
        <v>629.6</v>
      </c>
      <c r="L520" s="111"/>
    </row>
    <row r="521" spans="1:12" ht="15.75" x14ac:dyDescent="0.25">
      <c r="A521" s="25" t="s">
        <v>146</v>
      </c>
      <c r="B521" s="16">
        <v>905</v>
      </c>
      <c r="C521" s="20" t="s">
        <v>249</v>
      </c>
      <c r="D521" s="20" t="s">
        <v>133</v>
      </c>
      <c r="E521" s="20" t="s">
        <v>1103</v>
      </c>
      <c r="F521" s="20" t="s">
        <v>147</v>
      </c>
      <c r="G521" s="415">
        <f>G522</f>
        <v>910.6</v>
      </c>
      <c r="H521" s="26">
        <f t="shared" si="256"/>
        <v>629.6</v>
      </c>
      <c r="I521" s="26">
        <f t="shared" si="256"/>
        <v>629.6</v>
      </c>
      <c r="L521" s="111"/>
    </row>
    <row r="522" spans="1:12" ht="31.5" x14ac:dyDescent="0.25">
      <c r="A522" s="25" t="s">
        <v>148</v>
      </c>
      <c r="B522" s="16">
        <v>905</v>
      </c>
      <c r="C522" s="20" t="s">
        <v>249</v>
      </c>
      <c r="D522" s="20" t="s">
        <v>133</v>
      </c>
      <c r="E522" s="20" t="s">
        <v>1103</v>
      </c>
      <c r="F522" s="20" t="s">
        <v>149</v>
      </c>
      <c r="G522" s="415">
        <v>910.6</v>
      </c>
      <c r="H522" s="26">
        <f t="shared" ref="H522:I522" si="257">274.5+355.1</f>
        <v>629.6</v>
      </c>
      <c r="I522" s="26">
        <f t="shared" si="257"/>
        <v>629.6</v>
      </c>
      <c r="J522" s="240"/>
      <c r="L522" s="111"/>
    </row>
    <row r="523" spans="1:12" s="230" customFormat="1" ht="15.75" x14ac:dyDescent="0.25">
      <c r="A523" s="23" t="s">
        <v>258</v>
      </c>
      <c r="B523" s="19">
        <v>905</v>
      </c>
      <c r="C523" s="24" t="s">
        <v>259</v>
      </c>
      <c r="D523" s="20"/>
      <c r="E523" s="20"/>
      <c r="F523" s="20"/>
      <c r="G523" s="416">
        <f>G524</f>
        <v>1431.2</v>
      </c>
      <c r="H523" s="26"/>
      <c r="I523" s="26"/>
      <c r="J523" s="249"/>
      <c r="K523" s="111"/>
      <c r="L523" s="111"/>
    </row>
    <row r="524" spans="1:12" s="230" customFormat="1" ht="15.75" x14ac:dyDescent="0.25">
      <c r="A524" s="23" t="s">
        <v>267</v>
      </c>
      <c r="B524" s="19">
        <v>905</v>
      </c>
      <c r="C524" s="24" t="s">
        <v>259</v>
      </c>
      <c r="D524" s="24" t="s">
        <v>230</v>
      </c>
      <c r="E524" s="20"/>
      <c r="F524" s="20"/>
      <c r="G524" s="416">
        <f>G525</f>
        <v>1431.2</v>
      </c>
      <c r="H524" s="26"/>
      <c r="I524" s="26"/>
      <c r="J524" s="249"/>
      <c r="K524" s="111"/>
      <c r="L524" s="111"/>
    </row>
    <row r="525" spans="1:12" s="230" customFormat="1" ht="31.5" x14ac:dyDescent="0.25">
      <c r="A525" s="23" t="s">
        <v>934</v>
      </c>
      <c r="B525" s="19">
        <v>905</v>
      </c>
      <c r="C525" s="24" t="s">
        <v>259</v>
      </c>
      <c r="D525" s="24" t="s">
        <v>230</v>
      </c>
      <c r="E525" s="24" t="s">
        <v>911</v>
      </c>
      <c r="F525" s="20"/>
      <c r="G525" s="416">
        <f>G526</f>
        <v>1431.2</v>
      </c>
      <c r="H525" s="26"/>
      <c r="I525" s="26"/>
      <c r="J525" s="249"/>
      <c r="K525" s="111"/>
      <c r="L525" s="111"/>
    </row>
    <row r="526" spans="1:12" s="230" customFormat="1" ht="31.5" x14ac:dyDescent="0.25">
      <c r="A526" s="25" t="s">
        <v>1437</v>
      </c>
      <c r="B526" s="16">
        <v>905</v>
      </c>
      <c r="C526" s="20" t="s">
        <v>259</v>
      </c>
      <c r="D526" s="20" t="s">
        <v>230</v>
      </c>
      <c r="E526" s="20" t="s">
        <v>1436</v>
      </c>
      <c r="F526" s="20"/>
      <c r="G526" s="415">
        <f>G527</f>
        <v>1431.2</v>
      </c>
      <c r="H526" s="26"/>
      <c r="I526" s="26"/>
      <c r="J526" s="249"/>
      <c r="K526" s="111"/>
      <c r="L526" s="111"/>
    </row>
    <row r="527" spans="1:12" s="230" customFormat="1" ht="15.75" x14ac:dyDescent="0.25">
      <c r="A527" s="25" t="s">
        <v>146</v>
      </c>
      <c r="B527" s="16">
        <v>905</v>
      </c>
      <c r="C527" s="20" t="s">
        <v>259</v>
      </c>
      <c r="D527" s="20" t="s">
        <v>230</v>
      </c>
      <c r="E527" s="20" t="s">
        <v>1436</v>
      </c>
      <c r="F527" s="20" t="s">
        <v>147</v>
      </c>
      <c r="G527" s="415">
        <f>G528</f>
        <v>1431.2</v>
      </c>
      <c r="H527" s="26"/>
      <c r="I527" s="26"/>
      <c r="J527" s="249"/>
      <c r="K527" s="111"/>
      <c r="L527" s="111"/>
    </row>
    <row r="528" spans="1:12" s="230" customFormat="1" ht="31.5" x14ac:dyDescent="0.25">
      <c r="A528" s="25" t="s">
        <v>148</v>
      </c>
      <c r="B528" s="16">
        <v>905</v>
      </c>
      <c r="C528" s="20" t="s">
        <v>259</v>
      </c>
      <c r="D528" s="20" t="s">
        <v>230</v>
      </c>
      <c r="E528" s="20" t="s">
        <v>1436</v>
      </c>
      <c r="F528" s="20" t="s">
        <v>149</v>
      </c>
      <c r="G528" s="415">
        <v>1431.2</v>
      </c>
      <c r="H528" s="26"/>
      <c r="I528" s="26"/>
      <c r="J528" s="249"/>
      <c r="K528" s="111"/>
      <c r="L528" s="111"/>
    </row>
    <row r="529" spans="1:12" ht="31.5" x14ac:dyDescent="0.25">
      <c r="A529" s="19" t="s">
        <v>418</v>
      </c>
      <c r="B529" s="19">
        <v>906</v>
      </c>
      <c r="C529" s="24"/>
      <c r="D529" s="24"/>
      <c r="E529" s="24"/>
      <c r="F529" s="24"/>
      <c r="G529" s="416">
        <f>G540+G530</f>
        <v>362162.16999999993</v>
      </c>
      <c r="H529" s="21">
        <f>H540+H530</f>
        <v>292115.3</v>
      </c>
      <c r="I529" s="21">
        <f>I540+I530</f>
        <v>292115.3</v>
      </c>
      <c r="J529" s="242">
        <f>G530+G544+G565+G575+G586+G599+G604+G612+G639+G653+G660+G666+G673+G677+G686+G694+G708+G717+G726+G732</f>
        <v>114854.7</v>
      </c>
      <c r="L529" s="111"/>
    </row>
    <row r="530" spans="1:12" ht="15.75" x14ac:dyDescent="0.25">
      <c r="A530" s="23" t="s">
        <v>132</v>
      </c>
      <c r="B530" s="19">
        <v>906</v>
      </c>
      <c r="C530" s="24" t="s">
        <v>133</v>
      </c>
      <c r="D530" s="24"/>
      <c r="E530" s="24"/>
      <c r="F530" s="24"/>
      <c r="G530" s="416">
        <f t="shared" ref="G530:G535" si="258">G531</f>
        <v>50</v>
      </c>
      <c r="H530" s="21">
        <f t="shared" ref="H530:I531" si="259">H531</f>
        <v>20</v>
      </c>
      <c r="I530" s="21">
        <f t="shared" si="259"/>
        <v>20</v>
      </c>
      <c r="L530" s="111"/>
    </row>
    <row r="531" spans="1:12" ht="15.75" x14ac:dyDescent="0.25">
      <c r="A531" s="34" t="s">
        <v>154</v>
      </c>
      <c r="B531" s="19">
        <v>906</v>
      </c>
      <c r="C531" s="24" t="s">
        <v>133</v>
      </c>
      <c r="D531" s="24" t="s">
        <v>155</v>
      </c>
      <c r="E531" s="24"/>
      <c r="F531" s="24"/>
      <c r="G531" s="416">
        <f t="shared" si="258"/>
        <v>50</v>
      </c>
      <c r="H531" s="21">
        <f t="shared" si="259"/>
        <v>20</v>
      </c>
      <c r="I531" s="21">
        <f t="shared" si="259"/>
        <v>20</v>
      </c>
      <c r="L531" s="111"/>
    </row>
    <row r="532" spans="1:12" ht="31.5" x14ac:dyDescent="0.25">
      <c r="A532" s="23" t="s">
        <v>349</v>
      </c>
      <c r="B532" s="19">
        <v>906</v>
      </c>
      <c r="C532" s="24" t="s">
        <v>133</v>
      </c>
      <c r="D532" s="24" t="s">
        <v>155</v>
      </c>
      <c r="E532" s="24" t="s">
        <v>350</v>
      </c>
      <c r="F532" s="24"/>
      <c r="G532" s="416">
        <f t="shared" si="258"/>
        <v>50</v>
      </c>
      <c r="H532" s="21">
        <f t="shared" ref="H532:I532" si="260">H533</f>
        <v>20</v>
      </c>
      <c r="I532" s="21">
        <f t="shared" si="260"/>
        <v>20</v>
      </c>
      <c r="L532" s="111"/>
    </row>
    <row r="533" spans="1:12" s="230" customFormat="1" ht="31.5" x14ac:dyDescent="0.25">
      <c r="A533" s="275" t="s">
        <v>1236</v>
      </c>
      <c r="B533" s="19">
        <v>906</v>
      </c>
      <c r="C533" s="24" t="s">
        <v>133</v>
      </c>
      <c r="D533" s="24" t="s">
        <v>155</v>
      </c>
      <c r="E533" s="24" t="s">
        <v>1237</v>
      </c>
      <c r="F533" s="24"/>
      <c r="G533" s="416">
        <f t="shared" si="258"/>
        <v>50</v>
      </c>
      <c r="H533" s="21">
        <f t="shared" ref="H533:I535" si="261">H534</f>
        <v>20</v>
      </c>
      <c r="I533" s="21">
        <f t="shared" si="261"/>
        <v>20</v>
      </c>
      <c r="J533" s="212"/>
      <c r="K533" s="111"/>
      <c r="L533" s="111"/>
    </row>
    <row r="534" spans="1:12" ht="15.75" x14ac:dyDescent="0.25">
      <c r="A534" s="100" t="s">
        <v>351</v>
      </c>
      <c r="B534" s="16">
        <v>906</v>
      </c>
      <c r="C534" s="20" t="s">
        <v>133</v>
      </c>
      <c r="D534" s="20" t="s">
        <v>155</v>
      </c>
      <c r="E534" s="20" t="s">
        <v>1238</v>
      </c>
      <c r="F534" s="20"/>
      <c r="G534" s="415">
        <f t="shared" si="258"/>
        <v>50</v>
      </c>
      <c r="H534" s="26">
        <f t="shared" si="261"/>
        <v>20</v>
      </c>
      <c r="I534" s="26">
        <f t="shared" si="261"/>
        <v>20</v>
      </c>
      <c r="L534" s="111"/>
    </row>
    <row r="535" spans="1:12" ht="15.75" x14ac:dyDescent="0.25">
      <c r="A535" s="25" t="s">
        <v>146</v>
      </c>
      <c r="B535" s="16">
        <v>906</v>
      </c>
      <c r="C535" s="20" t="s">
        <v>133</v>
      </c>
      <c r="D535" s="20" t="s">
        <v>155</v>
      </c>
      <c r="E535" s="20" t="s">
        <v>1238</v>
      </c>
      <c r="F535" s="20" t="s">
        <v>147</v>
      </c>
      <c r="G535" s="415">
        <f t="shared" si="258"/>
        <v>50</v>
      </c>
      <c r="H535" s="26">
        <f t="shared" si="261"/>
        <v>20</v>
      </c>
      <c r="I535" s="26">
        <f t="shared" si="261"/>
        <v>20</v>
      </c>
      <c r="L535" s="111"/>
    </row>
    <row r="536" spans="1:12" ht="31.5" x14ac:dyDescent="0.25">
      <c r="A536" s="25" t="s">
        <v>148</v>
      </c>
      <c r="B536" s="16">
        <v>906</v>
      </c>
      <c r="C536" s="20" t="s">
        <v>133</v>
      </c>
      <c r="D536" s="20" t="s">
        <v>155</v>
      </c>
      <c r="E536" s="20" t="s">
        <v>1238</v>
      </c>
      <c r="F536" s="20" t="s">
        <v>149</v>
      </c>
      <c r="G536" s="415">
        <v>50</v>
      </c>
      <c r="H536" s="26">
        <v>20</v>
      </c>
      <c r="I536" s="26">
        <v>20</v>
      </c>
      <c r="L536" s="111"/>
    </row>
    <row r="537" spans="1:12" ht="15.75" hidden="1" x14ac:dyDescent="0.25">
      <c r="A537" s="31" t="s">
        <v>795</v>
      </c>
      <c r="B537" s="16">
        <v>906</v>
      </c>
      <c r="C537" s="20" t="s">
        <v>133</v>
      </c>
      <c r="D537" s="20" t="s">
        <v>155</v>
      </c>
      <c r="E537" s="20" t="s">
        <v>1271</v>
      </c>
      <c r="F537" s="20"/>
      <c r="G537" s="415">
        <f>G538</f>
        <v>0</v>
      </c>
      <c r="H537" s="26">
        <f t="shared" ref="H537:I538" si="262">H538</f>
        <v>0</v>
      </c>
      <c r="I537" s="26">
        <f t="shared" si="262"/>
        <v>0</v>
      </c>
      <c r="L537" s="111"/>
    </row>
    <row r="538" spans="1:12" ht="15.75" hidden="1" x14ac:dyDescent="0.25">
      <c r="A538" s="25" t="s">
        <v>146</v>
      </c>
      <c r="B538" s="16">
        <v>906</v>
      </c>
      <c r="C538" s="20" t="s">
        <v>133</v>
      </c>
      <c r="D538" s="20" t="s">
        <v>155</v>
      </c>
      <c r="E538" s="20" t="s">
        <v>1271</v>
      </c>
      <c r="F538" s="20" t="s">
        <v>147</v>
      </c>
      <c r="G538" s="415">
        <f>G539</f>
        <v>0</v>
      </c>
      <c r="H538" s="26">
        <f t="shared" si="262"/>
        <v>0</v>
      </c>
      <c r="I538" s="26">
        <f t="shared" si="262"/>
        <v>0</v>
      </c>
      <c r="L538" s="111"/>
    </row>
    <row r="539" spans="1:12" ht="31.5" hidden="1" x14ac:dyDescent="0.25">
      <c r="A539" s="25" t="s">
        <v>148</v>
      </c>
      <c r="B539" s="16">
        <v>906</v>
      </c>
      <c r="C539" s="20" t="s">
        <v>133</v>
      </c>
      <c r="D539" s="20" t="s">
        <v>155</v>
      </c>
      <c r="E539" s="20" t="s">
        <v>1271</v>
      </c>
      <c r="F539" s="20" t="s">
        <v>149</v>
      </c>
      <c r="G539" s="415">
        <v>0</v>
      </c>
      <c r="H539" s="26">
        <v>0</v>
      </c>
      <c r="I539" s="26">
        <v>0</v>
      </c>
      <c r="L539" s="111"/>
    </row>
    <row r="540" spans="1:12" ht="15.75" x14ac:dyDescent="0.25">
      <c r="A540" s="23" t="s">
        <v>278</v>
      </c>
      <c r="B540" s="19">
        <v>906</v>
      </c>
      <c r="C540" s="24" t="s">
        <v>279</v>
      </c>
      <c r="D540" s="24"/>
      <c r="E540" s="24"/>
      <c r="F540" s="24"/>
      <c r="G540" s="416">
        <f>G541+G609+G722+G732+G691</f>
        <v>362112.16999999993</v>
      </c>
      <c r="H540" s="21">
        <f>H541+H609+H722+H732+H691</f>
        <v>292095.3</v>
      </c>
      <c r="I540" s="21">
        <f>I541+I609+I722+I732+I691</f>
        <v>292095.3</v>
      </c>
      <c r="L540" s="111"/>
    </row>
    <row r="541" spans="1:12" ht="15.75" x14ac:dyDescent="0.25">
      <c r="A541" s="23" t="s">
        <v>419</v>
      </c>
      <c r="B541" s="19">
        <v>906</v>
      </c>
      <c r="C541" s="24" t="s">
        <v>279</v>
      </c>
      <c r="D541" s="24" t="s">
        <v>133</v>
      </c>
      <c r="E541" s="24"/>
      <c r="F541" s="24"/>
      <c r="G541" s="416">
        <f>G542+G599+G604</f>
        <v>109329.55</v>
      </c>
      <c r="H541" s="21">
        <f>H542+H599+H604</f>
        <v>92521.600000000006</v>
      </c>
      <c r="I541" s="21">
        <f>I542+I599+I604</f>
        <v>92521.600000000006</v>
      </c>
      <c r="J541" s="242"/>
      <c r="K541" s="116"/>
      <c r="L541" s="111"/>
    </row>
    <row r="542" spans="1:12" ht="51.75" customHeight="1" x14ac:dyDescent="0.25">
      <c r="A542" s="23" t="s">
        <v>420</v>
      </c>
      <c r="B542" s="19">
        <v>906</v>
      </c>
      <c r="C542" s="24" t="s">
        <v>279</v>
      </c>
      <c r="D542" s="24" t="s">
        <v>133</v>
      </c>
      <c r="E542" s="24" t="s">
        <v>421</v>
      </c>
      <c r="F542" s="24"/>
      <c r="G542" s="416">
        <f>G543+G564</f>
        <v>108865.25</v>
      </c>
      <c r="H542" s="21">
        <f t="shared" ref="H542:I542" si="263">H543+H564</f>
        <v>91360.3</v>
      </c>
      <c r="I542" s="21">
        <f t="shared" si="263"/>
        <v>91360.3</v>
      </c>
      <c r="J542" s="242"/>
      <c r="L542" s="111"/>
    </row>
    <row r="543" spans="1:12" ht="38.25" customHeight="1" x14ac:dyDescent="0.25">
      <c r="A543" s="23" t="s">
        <v>422</v>
      </c>
      <c r="B543" s="19">
        <v>906</v>
      </c>
      <c r="C543" s="24" t="s">
        <v>279</v>
      </c>
      <c r="D543" s="24" t="s">
        <v>133</v>
      </c>
      <c r="E543" s="24" t="s">
        <v>423</v>
      </c>
      <c r="F543" s="24"/>
      <c r="G543" s="416">
        <f>G544+G551</f>
        <v>97867.55</v>
      </c>
      <c r="H543" s="21">
        <f t="shared" ref="H543:I543" si="264">H544+H551</f>
        <v>80890.3</v>
      </c>
      <c r="I543" s="21">
        <f t="shared" si="264"/>
        <v>80890.3</v>
      </c>
      <c r="L543" s="111"/>
    </row>
    <row r="544" spans="1:12" s="230" customFormat="1" ht="38.25" customHeight="1" x14ac:dyDescent="0.25">
      <c r="A544" s="23" t="s">
        <v>1033</v>
      </c>
      <c r="B544" s="19">
        <v>906</v>
      </c>
      <c r="C544" s="24" t="s">
        <v>279</v>
      </c>
      <c r="D544" s="24" t="s">
        <v>133</v>
      </c>
      <c r="E544" s="24" t="s">
        <v>1011</v>
      </c>
      <c r="F544" s="24"/>
      <c r="G544" s="416">
        <f>G545+G548</f>
        <v>12027</v>
      </c>
      <c r="H544" s="21">
        <f t="shared" ref="H544:I544" si="265">H545+H548</f>
        <v>13527</v>
      </c>
      <c r="I544" s="21">
        <f t="shared" si="265"/>
        <v>13527</v>
      </c>
      <c r="J544" s="242">
        <f>G544+G565+G575+G586+G612+G639+G653+G660+G666+G673+G694+G713+G604+G686+G717+G728</f>
        <v>94974.7</v>
      </c>
      <c r="K544" s="111"/>
      <c r="L544" s="111"/>
    </row>
    <row r="545" spans="1:12" ht="31.5" x14ac:dyDescent="0.25">
      <c r="A545" s="25" t="s">
        <v>1068</v>
      </c>
      <c r="B545" s="16">
        <v>906</v>
      </c>
      <c r="C545" s="20" t="s">
        <v>279</v>
      </c>
      <c r="D545" s="20" t="s">
        <v>133</v>
      </c>
      <c r="E545" s="20" t="s">
        <v>1067</v>
      </c>
      <c r="F545" s="20"/>
      <c r="G545" s="415">
        <f>G546</f>
        <v>7224.2999999999993</v>
      </c>
      <c r="H545" s="26">
        <f t="shared" ref="H545:I546" si="266">H546</f>
        <v>13527</v>
      </c>
      <c r="I545" s="26">
        <f t="shared" si="266"/>
        <v>13527</v>
      </c>
      <c r="L545" s="111"/>
    </row>
    <row r="546" spans="1:12" ht="31.5" x14ac:dyDescent="0.25">
      <c r="A546" s="25" t="s">
        <v>287</v>
      </c>
      <c r="B546" s="16">
        <v>906</v>
      </c>
      <c r="C546" s="20" t="s">
        <v>279</v>
      </c>
      <c r="D546" s="20" t="s">
        <v>133</v>
      </c>
      <c r="E546" s="20" t="s">
        <v>1067</v>
      </c>
      <c r="F546" s="20" t="s">
        <v>288</v>
      </c>
      <c r="G546" s="415">
        <f>G547</f>
        <v>7224.2999999999993</v>
      </c>
      <c r="H546" s="26">
        <f t="shared" si="266"/>
        <v>13527</v>
      </c>
      <c r="I546" s="26">
        <f t="shared" si="266"/>
        <v>13527</v>
      </c>
      <c r="L546" s="111"/>
    </row>
    <row r="547" spans="1:12" ht="15.75" x14ac:dyDescent="0.25">
      <c r="A547" s="25" t="s">
        <v>289</v>
      </c>
      <c r="B547" s="16">
        <v>906</v>
      </c>
      <c r="C547" s="20" t="s">
        <v>279</v>
      </c>
      <c r="D547" s="20" t="s">
        <v>133</v>
      </c>
      <c r="E547" s="20" t="s">
        <v>1067</v>
      </c>
      <c r="F547" s="20" t="s">
        <v>290</v>
      </c>
      <c r="G547" s="419">
        <f>13527-5302.7-1000</f>
        <v>7224.2999999999993</v>
      </c>
      <c r="H547" s="27">
        <v>13527</v>
      </c>
      <c r="I547" s="27">
        <v>13527</v>
      </c>
      <c r="J547" s="247"/>
      <c r="K547" s="116"/>
      <c r="L547" s="111"/>
    </row>
    <row r="548" spans="1:12" s="230" customFormat="1" ht="31.5" x14ac:dyDescent="0.25">
      <c r="A548" s="25" t="s">
        <v>1249</v>
      </c>
      <c r="B548" s="16">
        <v>906</v>
      </c>
      <c r="C548" s="20" t="s">
        <v>279</v>
      </c>
      <c r="D548" s="20" t="s">
        <v>133</v>
      </c>
      <c r="E548" s="20" t="s">
        <v>1069</v>
      </c>
      <c r="F548" s="20"/>
      <c r="G548" s="415">
        <f>G549</f>
        <v>4802.7</v>
      </c>
      <c r="H548" s="26">
        <f t="shared" ref="H548:I549" si="267">H549</f>
        <v>0</v>
      </c>
      <c r="I548" s="26">
        <f t="shared" si="267"/>
        <v>0</v>
      </c>
      <c r="J548" s="250"/>
      <c r="K548" s="116"/>
      <c r="L548" s="111"/>
    </row>
    <row r="549" spans="1:12" s="230" customFormat="1" ht="31.5" x14ac:dyDescent="0.25">
      <c r="A549" s="25" t="s">
        <v>287</v>
      </c>
      <c r="B549" s="16">
        <v>906</v>
      </c>
      <c r="C549" s="20" t="s">
        <v>279</v>
      </c>
      <c r="D549" s="20" t="s">
        <v>133</v>
      </c>
      <c r="E549" s="20" t="s">
        <v>1069</v>
      </c>
      <c r="F549" s="20" t="s">
        <v>288</v>
      </c>
      <c r="G549" s="415">
        <f>G550</f>
        <v>4802.7</v>
      </c>
      <c r="H549" s="26">
        <f t="shared" si="267"/>
        <v>0</v>
      </c>
      <c r="I549" s="26">
        <f t="shared" si="267"/>
        <v>0</v>
      </c>
      <c r="J549" s="250"/>
      <c r="K549" s="116"/>
      <c r="L549" s="111"/>
    </row>
    <row r="550" spans="1:12" s="230" customFormat="1" ht="15.75" x14ac:dyDescent="0.25">
      <c r="A550" s="25" t="s">
        <v>289</v>
      </c>
      <c r="B550" s="16">
        <v>906</v>
      </c>
      <c r="C550" s="20" t="s">
        <v>279</v>
      </c>
      <c r="D550" s="20" t="s">
        <v>133</v>
      </c>
      <c r="E550" s="20" t="s">
        <v>1069</v>
      </c>
      <c r="F550" s="20" t="s">
        <v>290</v>
      </c>
      <c r="G550" s="419">
        <f>5302.7-1000+500</f>
        <v>4802.7</v>
      </c>
      <c r="H550" s="27"/>
      <c r="I550" s="27"/>
      <c r="J550" s="250">
        <v>500</v>
      </c>
      <c r="K550" s="116"/>
      <c r="L550" s="111"/>
    </row>
    <row r="551" spans="1:12" s="230" customFormat="1" ht="31.5" customHeight="1" x14ac:dyDescent="0.25">
      <c r="A551" s="23" t="s">
        <v>973</v>
      </c>
      <c r="B551" s="19">
        <v>906</v>
      </c>
      <c r="C551" s="24" t="s">
        <v>279</v>
      </c>
      <c r="D551" s="24" t="s">
        <v>133</v>
      </c>
      <c r="E551" s="24" t="s">
        <v>1026</v>
      </c>
      <c r="F551" s="24"/>
      <c r="G551" s="315">
        <f>G552+G555+G558+G561</f>
        <v>85840.55</v>
      </c>
      <c r="H551" s="44">
        <f t="shared" ref="H551:I551" si="268">H552+H555+H558+H561</f>
        <v>67363.3</v>
      </c>
      <c r="I551" s="44">
        <f t="shared" si="268"/>
        <v>67363.3</v>
      </c>
      <c r="J551" s="250"/>
      <c r="K551" s="116"/>
      <c r="L551" s="111"/>
    </row>
    <row r="552" spans="1:12" s="230" customFormat="1" ht="54.75" customHeight="1" x14ac:dyDescent="0.25">
      <c r="A552" s="31" t="s">
        <v>304</v>
      </c>
      <c r="B552" s="16">
        <v>906</v>
      </c>
      <c r="C552" s="20" t="s">
        <v>279</v>
      </c>
      <c r="D552" s="20" t="s">
        <v>133</v>
      </c>
      <c r="E552" s="20" t="s">
        <v>1025</v>
      </c>
      <c r="F552" s="20"/>
      <c r="G552" s="415">
        <f>G553</f>
        <v>559.71</v>
      </c>
      <c r="H552" s="26">
        <f t="shared" ref="H552:I553" si="269">H553</f>
        <v>363.7</v>
      </c>
      <c r="I552" s="26">
        <f t="shared" si="269"/>
        <v>363.7</v>
      </c>
      <c r="J552" s="250"/>
      <c r="K552" s="116"/>
      <c r="L552" s="111"/>
    </row>
    <row r="553" spans="1:12" s="230" customFormat="1" ht="31.5" x14ac:dyDescent="0.25">
      <c r="A553" s="25" t="s">
        <v>287</v>
      </c>
      <c r="B553" s="16">
        <v>906</v>
      </c>
      <c r="C553" s="20" t="s">
        <v>279</v>
      </c>
      <c r="D553" s="20" t="s">
        <v>133</v>
      </c>
      <c r="E553" s="20" t="s">
        <v>1025</v>
      </c>
      <c r="F553" s="20" t="s">
        <v>288</v>
      </c>
      <c r="G553" s="415">
        <f>G554</f>
        <v>559.71</v>
      </c>
      <c r="H553" s="26">
        <f t="shared" si="269"/>
        <v>363.7</v>
      </c>
      <c r="I553" s="26">
        <f t="shared" si="269"/>
        <v>363.7</v>
      </c>
      <c r="J553" s="250"/>
      <c r="K553" s="116"/>
      <c r="L553" s="111"/>
    </row>
    <row r="554" spans="1:12" s="230" customFormat="1" ht="15.75" x14ac:dyDescent="0.25">
      <c r="A554" s="25" t="s">
        <v>289</v>
      </c>
      <c r="B554" s="16">
        <v>906</v>
      </c>
      <c r="C554" s="20" t="s">
        <v>279</v>
      </c>
      <c r="D554" s="20" t="s">
        <v>133</v>
      </c>
      <c r="E554" s="20" t="s">
        <v>1025</v>
      </c>
      <c r="F554" s="20" t="s">
        <v>290</v>
      </c>
      <c r="G554" s="415">
        <v>559.71</v>
      </c>
      <c r="H554" s="26">
        <v>363.7</v>
      </c>
      <c r="I554" s="26">
        <v>363.7</v>
      </c>
      <c r="J554" s="362">
        <f>2075.4/1348.6*363.7</f>
        <v>559.70857185229124</v>
      </c>
      <c r="K554" s="116"/>
      <c r="L554" s="111"/>
    </row>
    <row r="555" spans="1:12" s="230" customFormat="1" ht="47.25" x14ac:dyDescent="0.25">
      <c r="A555" s="31" t="s">
        <v>435</v>
      </c>
      <c r="B555" s="16">
        <v>906</v>
      </c>
      <c r="C555" s="20" t="s">
        <v>279</v>
      </c>
      <c r="D555" s="20" t="s">
        <v>133</v>
      </c>
      <c r="E555" s="20" t="s">
        <v>1028</v>
      </c>
      <c r="F555" s="20"/>
      <c r="G555" s="415">
        <f>G556</f>
        <v>1629.37</v>
      </c>
      <c r="H555" s="26">
        <f t="shared" ref="H555:I556" si="270">H556</f>
        <v>1755.8</v>
      </c>
      <c r="I555" s="26">
        <f t="shared" si="270"/>
        <v>1755.8</v>
      </c>
      <c r="J555" s="250"/>
      <c r="K555" s="116"/>
      <c r="L555" s="111"/>
    </row>
    <row r="556" spans="1:12" s="230" customFormat="1" ht="31.5" x14ac:dyDescent="0.25">
      <c r="A556" s="25" t="s">
        <v>287</v>
      </c>
      <c r="B556" s="16">
        <v>906</v>
      </c>
      <c r="C556" s="20" t="s">
        <v>279</v>
      </c>
      <c r="D556" s="20" t="s">
        <v>133</v>
      </c>
      <c r="E556" s="20" t="s">
        <v>1028</v>
      </c>
      <c r="F556" s="20" t="s">
        <v>288</v>
      </c>
      <c r="G556" s="415">
        <f>G557</f>
        <v>1629.37</v>
      </c>
      <c r="H556" s="26">
        <f t="shared" si="270"/>
        <v>1755.8</v>
      </c>
      <c r="I556" s="26">
        <f t="shared" si="270"/>
        <v>1755.8</v>
      </c>
      <c r="J556" s="250"/>
      <c r="K556" s="116"/>
      <c r="L556" s="111"/>
    </row>
    <row r="557" spans="1:12" s="230" customFormat="1" ht="15.75" x14ac:dyDescent="0.25">
      <c r="A557" s="25" t="s">
        <v>289</v>
      </c>
      <c r="B557" s="16">
        <v>906</v>
      </c>
      <c r="C557" s="20" t="s">
        <v>279</v>
      </c>
      <c r="D557" s="20" t="s">
        <v>133</v>
      </c>
      <c r="E557" s="20" t="s">
        <v>1028</v>
      </c>
      <c r="F557" s="20" t="s">
        <v>290</v>
      </c>
      <c r="G557" s="415">
        <v>1629.37</v>
      </c>
      <c r="H557" s="26">
        <f t="shared" ref="H557:I557" si="271">1900-203.2+59</f>
        <v>1755.8</v>
      </c>
      <c r="I557" s="26">
        <f t="shared" si="271"/>
        <v>1755.8</v>
      </c>
      <c r="J557" s="362">
        <f>4743.9/5112*1755.8</f>
        <v>1629.3700352112676</v>
      </c>
      <c r="K557" s="116"/>
      <c r="L557" s="111"/>
    </row>
    <row r="558" spans="1:12" s="230" customFormat="1" ht="63" x14ac:dyDescent="0.25">
      <c r="A558" s="31" t="s">
        <v>436</v>
      </c>
      <c r="B558" s="16">
        <v>906</v>
      </c>
      <c r="C558" s="20" t="s">
        <v>279</v>
      </c>
      <c r="D558" s="20" t="s">
        <v>133</v>
      </c>
      <c r="E558" s="20" t="s">
        <v>1027</v>
      </c>
      <c r="F558" s="20"/>
      <c r="G558" s="415">
        <f>G559</f>
        <v>80735.399999999994</v>
      </c>
      <c r="H558" s="26">
        <f t="shared" ref="H558:I559" si="272">H559</f>
        <v>62531.4</v>
      </c>
      <c r="I558" s="26">
        <f t="shared" si="272"/>
        <v>62531.4</v>
      </c>
      <c r="J558" s="250"/>
      <c r="K558" s="116"/>
      <c r="L558" s="111"/>
    </row>
    <row r="559" spans="1:12" s="230" customFormat="1" ht="31.5" x14ac:dyDescent="0.25">
      <c r="A559" s="25" t="s">
        <v>287</v>
      </c>
      <c r="B559" s="16">
        <v>906</v>
      </c>
      <c r="C559" s="20" t="s">
        <v>279</v>
      </c>
      <c r="D559" s="20" t="s">
        <v>133</v>
      </c>
      <c r="E559" s="20" t="s">
        <v>1027</v>
      </c>
      <c r="F559" s="20" t="s">
        <v>288</v>
      </c>
      <c r="G559" s="415">
        <f>G560</f>
        <v>80735.399999999994</v>
      </c>
      <c r="H559" s="26">
        <f t="shared" si="272"/>
        <v>62531.4</v>
      </c>
      <c r="I559" s="26">
        <f t="shared" si="272"/>
        <v>62531.4</v>
      </c>
      <c r="J559" s="250"/>
      <c r="K559" s="116"/>
      <c r="L559" s="111"/>
    </row>
    <row r="560" spans="1:12" s="230" customFormat="1" ht="15.75" x14ac:dyDescent="0.25">
      <c r="A560" s="25" t="s">
        <v>289</v>
      </c>
      <c r="B560" s="16">
        <v>906</v>
      </c>
      <c r="C560" s="20" t="s">
        <v>279</v>
      </c>
      <c r="D560" s="20" t="s">
        <v>133</v>
      </c>
      <c r="E560" s="20" t="s">
        <v>1027</v>
      </c>
      <c r="F560" s="20" t="s">
        <v>290</v>
      </c>
      <c r="G560" s="419">
        <v>80735.399999999994</v>
      </c>
      <c r="H560" s="27">
        <v>62531.4</v>
      </c>
      <c r="I560" s="27">
        <v>62531.4</v>
      </c>
      <c r="J560" s="250"/>
      <c r="K560" s="116"/>
      <c r="L560" s="111"/>
    </row>
    <row r="561" spans="1:12" s="230" customFormat="1" ht="63" x14ac:dyDescent="0.25">
      <c r="A561" s="31" t="s">
        <v>308</v>
      </c>
      <c r="B561" s="16">
        <v>906</v>
      </c>
      <c r="C561" s="20" t="s">
        <v>279</v>
      </c>
      <c r="D561" s="20" t="s">
        <v>133</v>
      </c>
      <c r="E561" s="20" t="s">
        <v>1029</v>
      </c>
      <c r="F561" s="20"/>
      <c r="G561" s="415">
        <f>G562</f>
        <v>2916.07</v>
      </c>
      <c r="H561" s="26">
        <f t="shared" ref="H561:I562" si="273">H562</f>
        <v>2712.4</v>
      </c>
      <c r="I561" s="26">
        <f t="shared" si="273"/>
        <v>2712.4</v>
      </c>
      <c r="J561" s="250"/>
      <c r="K561" s="116"/>
      <c r="L561" s="111"/>
    </row>
    <row r="562" spans="1:12" s="230" customFormat="1" ht="31.5" x14ac:dyDescent="0.25">
      <c r="A562" s="25" t="s">
        <v>287</v>
      </c>
      <c r="B562" s="16">
        <v>906</v>
      </c>
      <c r="C562" s="20" t="s">
        <v>279</v>
      </c>
      <c r="D562" s="20" t="s">
        <v>133</v>
      </c>
      <c r="E562" s="20" t="s">
        <v>1029</v>
      </c>
      <c r="F562" s="20" t="s">
        <v>288</v>
      </c>
      <c r="G562" s="415">
        <f>G563</f>
        <v>2916.07</v>
      </c>
      <c r="H562" s="26">
        <f t="shared" si="273"/>
        <v>2712.4</v>
      </c>
      <c r="I562" s="26">
        <f t="shared" si="273"/>
        <v>2712.4</v>
      </c>
      <c r="J562" s="250"/>
      <c r="K562" s="116"/>
      <c r="L562" s="111"/>
    </row>
    <row r="563" spans="1:12" s="230" customFormat="1" ht="15.75" x14ac:dyDescent="0.25">
      <c r="A563" s="25" t="s">
        <v>289</v>
      </c>
      <c r="B563" s="16">
        <v>906</v>
      </c>
      <c r="C563" s="20" t="s">
        <v>279</v>
      </c>
      <c r="D563" s="20" t="s">
        <v>133</v>
      </c>
      <c r="E563" s="20" t="s">
        <v>1029</v>
      </c>
      <c r="F563" s="20" t="s">
        <v>290</v>
      </c>
      <c r="G563" s="419">
        <v>2916.07</v>
      </c>
      <c r="H563" s="27">
        <f t="shared" ref="H563:I563" si="274">2937.2-58.2-49+300-300-117.6</f>
        <v>2712.4</v>
      </c>
      <c r="I563" s="27">
        <f t="shared" si="274"/>
        <v>2712.4</v>
      </c>
      <c r="J563" s="362">
        <f>12177.1/11326.6*2712.4</f>
        <v>2916.07066904455</v>
      </c>
      <c r="K563" s="116"/>
      <c r="L563" s="111"/>
    </row>
    <row r="564" spans="1:12" ht="30" customHeight="1" x14ac:dyDescent="0.25">
      <c r="A564" s="23" t="s">
        <v>426</v>
      </c>
      <c r="B564" s="19">
        <v>906</v>
      </c>
      <c r="C564" s="24" t="s">
        <v>279</v>
      </c>
      <c r="D564" s="24" t="s">
        <v>133</v>
      </c>
      <c r="E564" s="24" t="s">
        <v>427</v>
      </c>
      <c r="F564" s="24"/>
      <c r="G564" s="416">
        <f>G565+G575+G585+G592</f>
        <v>10997.7</v>
      </c>
      <c r="H564" s="21">
        <f t="shared" ref="H564:I564" si="275">H565+H575+H585</f>
        <v>10470</v>
      </c>
      <c r="I564" s="21">
        <f t="shared" si="275"/>
        <v>10470</v>
      </c>
      <c r="K564" s="224"/>
      <c r="L564" s="224"/>
    </row>
    <row r="565" spans="1:12" s="230" customFormat="1" ht="30" customHeight="1" x14ac:dyDescent="0.25">
      <c r="A565" s="23" t="s">
        <v>1012</v>
      </c>
      <c r="B565" s="19">
        <v>906</v>
      </c>
      <c r="C565" s="24" t="s">
        <v>279</v>
      </c>
      <c r="D565" s="24" t="s">
        <v>133</v>
      </c>
      <c r="E565" s="24" t="s">
        <v>1013</v>
      </c>
      <c r="F565" s="24"/>
      <c r="G565" s="416">
        <f>G566+G569+G572</f>
        <v>4430</v>
      </c>
      <c r="H565" s="21">
        <f t="shared" ref="H565:I565" si="276">H566+H569+H572</f>
        <v>5964.2000000000007</v>
      </c>
      <c r="I565" s="21">
        <f t="shared" si="276"/>
        <v>5964.2000000000007</v>
      </c>
      <c r="J565" s="212"/>
      <c r="K565" s="224"/>
      <c r="L565" s="224"/>
    </row>
    <row r="566" spans="1:12" ht="35.25" hidden="1" customHeight="1" x14ac:dyDescent="0.25">
      <c r="A566" s="25" t="s">
        <v>293</v>
      </c>
      <c r="B566" s="16">
        <v>906</v>
      </c>
      <c r="C566" s="20" t="s">
        <v>279</v>
      </c>
      <c r="D566" s="20" t="s">
        <v>133</v>
      </c>
      <c r="E566" s="20" t="s">
        <v>1014</v>
      </c>
      <c r="F566" s="20"/>
      <c r="G566" s="415">
        <f>G567</f>
        <v>0</v>
      </c>
      <c r="H566" s="26">
        <f t="shared" ref="H566:I567" si="277">H567</f>
        <v>503.8</v>
      </c>
      <c r="I566" s="26">
        <f t="shared" si="277"/>
        <v>503.8</v>
      </c>
      <c r="L566" s="111"/>
    </row>
    <row r="567" spans="1:12" ht="35.25" hidden="1" customHeight="1" x14ac:dyDescent="0.25">
      <c r="A567" s="25" t="s">
        <v>287</v>
      </c>
      <c r="B567" s="16">
        <v>906</v>
      </c>
      <c r="C567" s="20" t="s">
        <v>279</v>
      </c>
      <c r="D567" s="20" t="s">
        <v>133</v>
      </c>
      <c r="E567" s="20" t="s">
        <v>1014</v>
      </c>
      <c r="F567" s="20" t="s">
        <v>288</v>
      </c>
      <c r="G567" s="415">
        <f>G568</f>
        <v>0</v>
      </c>
      <c r="H567" s="26">
        <f t="shared" si="277"/>
        <v>503.8</v>
      </c>
      <c r="I567" s="26">
        <f t="shared" si="277"/>
        <v>503.8</v>
      </c>
      <c r="L567" s="111"/>
    </row>
    <row r="568" spans="1:12" ht="15.75" hidden="1" customHeight="1" x14ac:dyDescent="0.25">
      <c r="A568" s="25" t="s">
        <v>289</v>
      </c>
      <c r="B568" s="16">
        <v>906</v>
      </c>
      <c r="C568" s="20" t="s">
        <v>279</v>
      </c>
      <c r="D568" s="20" t="s">
        <v>133</v>
      </c>
      <c r="E568" s="20" t="s">
        <v>1014</v>
      </c>
      <c r="F568" s="20" t="s">
        <v>290</v>
      </c>
      <c r="G568" s="415">
        <v>0</v>
      </c>
      <c r="H568" s="26">
        <f t="shared" ref="H568:I568" si="278">200+303.8</f>
        <v>503.8</v>
      </c>
      <c r="I568" s="26">
        <f t="shared" si="278"/>
        <v>503.8</v>
      </c>
      <c r="J568" s="240"/>
      <c r="L568" s="111"/>
    </row>
    <row r="569" spans="1:12" ht="39" hidden="1" customHeight="1" x14ac:dyDescent="0.25">
      <c r="A569" s="25" t="s">
        <v>295</v>
      </c>
      <c r="B569" s="16">
        <v>906</v>
      </c>
      <c r="C569" s="20" t="s">
        <v>279</v>
      </c>
      <c r="D569" s="20" t="s">
        <v>133</v>
      </c>
      <c r="E569" s="20" t="s">
        <v>1015</v>
      </c>
      <c r="F569" s="20"/>
      <c r="G569" s="415">
        <f>G570</f>
        <v>0</v>
      </c>
      <c r="H569" s="26">
        <f t="shared" ref="H569:I570" si="279">H570</f>
        <v>291.60000000000002</v>
      </c>
      <c r="I569" s="26">
        <f t="shared" si="279"/>
        <v>291.60000000000002</v>
      </c>
      <c r="L569" s="111"/>
    </row>
    <row r="570" spans="1:12" ht="31.5" hidden="1" x14ac:dyDescent="0.25">
      <c r="A570" s="25" t="s">
        <v>287</v>
      </c>
      <c r="B570" s="16">
        <v>906</v>
      </c>
      <c r="C570" s="20" t="s">
        <v>279</v>
      </c>
      <c r="D570" s="20" t="s">
        <v>133</v>
      </c>
      <c r="E570" s="20" t="s">
        <v>1015</v>
      </c>
      <c r="F570" s="20" t="s">
        <v>288</v>
      </c>
      <c r="G570" s="415">
        <f>G571</f>
        <v>0</v>
      </c>
      <c r="H570" s="26">
        <f t="shared" si="279"/>
        <v>291.60000000000002</v>
      </c>
      <c r="I570" s="26">
        <f t="shared" si="279"/>
        <v>291.60000000000002</v>
      </c>
      <c r="L570" s="111"/>
    </row>
    <row r="571" spans="1:12" ht="15.75" hidden="1" x14ac:dyDescent="0.25">
      <c r="A571" s="25" t="s">
        <v>289</v>
      </c>
      <c r="B571" s="16">
        <v>906</v>
      </c>
      <c r="C571" s="20" t="s">
        <v>279</v>
      </c>
      <c r="D571" s="20" t="s">
        <v>133</v>
      </c>
      <c r="E571" s="20" t="s">
        <v>1015</v>
      </c>
      <c r="F571" s="20" t="s">
        <v>290</v>
      </c>
      <c r="G571" s="415">
        <v>0</v>
      </c>
      <c r="H571" s="26">
        <v>291.60000000000002</v>
      </c>
      <c r="I571" s="26">
        <v>291.60000000000002</v>
      </c>
      <c r="J571" s="240"/>
      <c r="L571" s="111"/>
    </row>
    <row r="572" spans="1:12" ht="31.5" x14ac:dyDescent="0.25">
      <c r="A572" s="25" t="s">
        <v>430</v>
      </c>
      <c r="B572" s="16">
        <v>906</v>
      </c>
      <c r="C572" s="20" t="s">
        <v>279</v>
      </c>
      <c r="D572" s="20" t="s">
        <v>133</v>
      </c>
      <c r="E572" s="20" t="s">
        <v>1016</v>
      </c>
      <c r="F572" s="20"/>
      <c r="G572" s="415">
        <f>G573</f>
        <v>4430</v>
      </c>
      <c r="H572" s="26">
        <f t="shared" ref="H572:I573" si="280">H573</f>
        <v>5168.8</v>
      </c>
      <c r="I572" s="26">
        <f t="shared" si="280"/>
        <v>5168.8</v>
      </c>
      <c r="L572" s="111"/>
    </row>
    <row r="573" spans="1:12" ht="31.5" x14ac:dyDescent="0.25">
      <c r="A573" s="25" t="s">
        <v>287</v>
      </c>
      <c r="B573" s="16">
        <v>906</v>
      </c>
      <c r="C573" s="20" t="s">
        <v>279</v>
      </c>
      <c r="D573" s="20" t="s">
        <v>133</v>
      </c>
      <c r="E573" s="20" t="s">
        <v>1016</v>
      </c>
      <c r="F573" s="20" t="s">
        <v>288</v>
      </c>
      <c r="G573" s="415">
        <f>G574</f>
        <v>4430</v>
      </c>
      <c r="H573" s="26">
        <f t="shared" si="280"/>
        <v>5168.8</v>
      </c>
      <c r="I573" s="26">
        <f t="shared" si="280"/>
        <v>5168.8</v>
      </c>
      <c r="L573" s="111"/>
    </row>
    <row r="574" spans="1:12" ht="15.75" x14ac:dyDescent="0.25">
      <c r="A574" s="25" t="s">
        <v>289</v>
      </c>
      <c r="B574" s="16">
        <v>906</v>
      </c>
      <c r="C574" s="20" t="s">
        <v>279</v>
      </c>
      <c r="D574" s="20" t="s">
        <v>133</v>
      </c>
      <c r="E574" s="20" t="s">
        <v>1016</v>
      </c>
      <c r="F574" s="20" t="s">
        <v>290</v>
      </c>
      <c r="G574" s="419">
        <v>4430</v>
      </c>
      <c r="H574" s="27">
        <v>5168.8</v>
      </c>
      <c r="I574" s="27">
        <v>5168.8</v>
      </c>
      <c r="L574" s="111"/>
    </row>
    <row r="575" spans="1:12" s="230" customFormat="1" ht="31.5" x14ac:dyDescent="0.25">
      <c r="A575" s="281" t="s">
        <v>1082</v>
      </c>
      <c r="B575" s="19">
        <v>906</v>
      </c>
      <c r="C575" s="24" t="s">
        <v>279</v>
      </c>
      <c r="D575" s="24" t="s">
        <v>133</v>
      </c>
      <c r="E575" s="24" t="s">
        <v>1017</v>
      </c>
      <c r="F575" s="24"/>
      <c r="G575" s="315">
        <f>G576+G579+G582</f>
        <v>4610</v>
      </c>
      <c r="H575" s="44">
        <f t="shared" ref="H575:I575" si="281">H576+H579+H582</f>
        <v>4215.5</v>
      </c>
      <c r="I575" s="44">
        <f t="shared" si="281"/>
        <v>4215.5</v>
      </c>
      <c r="J575" s="212"/>
      <c r="K575" s="111"/>
      <c r="L575" s="111"/>
    </row>
    <row r="576" spans="1:12" ht="31.5" hidden="1" customHeight="1" x14ac:dyDescent="0.25">
      <c r="A576" s="25" t="s">
        <v>299</v>
      </c>
      <c r="B576" s="16">
        <v>906</v>
      </c>
      <c r="C576" s="20" t="s">
        <v>279</v>
      </c>
      <c r="D576" s="20" t="s">
        <v>133</v>
      </c>
      <c r="E576" s="20" t="s">
        <v>1018</v>
      </c>
      <c r="F576" s="20"/>
      <c r="G576" s="415">
        <f>G577</f>
        <v>0</v>
      </c>
      <c r="H576" s="26">
        <f t="shared" ref="H576:I577" si="282">H577</f>
        <v>0</v>
      </c>
      <c r="I576" s="26">
        <f t="shared" si="282"/>
        <v>0</v>
      </c>
      <c r="L576" s="111"/>
    </row>
    <row r="577" spans="1:12" ht="38.25" hidden="1" customHeight="1" x14ac:dyDescent="0.25">
      <c r="A577" s="25" t="s">
        <v>287</v>
      </c>
      <c r="B577" s="16">
        <v>906</v>
      </c>
      <c r="C577" s="20" t="s">
        <v>279</v>
      </c>
      <c r="D577" s="20" t="s">
        <v>133</v>
      </c>
      <c r="E577" s="20" t="s">
        <v>1018</v>
      </c>
      <c r="F577" s="20" t="s">
        <v>288</v>
      </c>
      <c r="G577" s="415">
        <f>G578</f>
        <v>0</v>
      </c>
      <c r="H577" s="26">
        <f t="shared" si="282"/>
        <v>0</v>
      </c>
      <c r="I577" s="26">
        <f t="shared" si="282"/>
        <v>0</v>
      </c>
      <c r="L577" s="111"/>
    </row>
    <row r="578" spans="1:12" ht="15.75" hidden="1" customHeight="1" x14ac:dyDescent="0.25">
      <c r="A578" s="25" t="s">
        <v>289</v>
      </c>
      <c r="B578" s="16">
        <v>906</v>
      </c>
      <c r="C578" s="20" t="s">
        <v>279</v>
      </c>
      <c r="D578" s="20" t="s">
        <v>133</v>
      </c>
      <c r="E578" s="20" t="s">
        <v>1018</v>
      </c>
      <c r="F578" s="20" t="s">
        <v>290</v>
      </c>
      <c r="G578" s="415">
        <v>0</v>
      </c>
      <c r="H578" s="26">
        <v>0</v>
      </c>
      <c r="I578" s="26">
        <v>0</v>
      </c>
      <c r="L578" s="111"/>
    </row>
    <row r="579" spans="1:12" ht="34.5" customHeight="1" x14ac:dyDescent="0.25">
      <c r="A579" s="60" t="s">
        <v>786</v>
      </c>
      <c r="B579" s="16">
        <v>906</v>
      </c>
      <c r="C579" s="20" t="s">
        <v>279</v>
      </c>
      <c r="D579" s="20" t="s">
        <v>133</v>
      </c>
      <c r="E579" s="20" t="s">
        <v>1019</v>
      </c>
      <c r="F579" s="20"/>
      <c r="G579" s="415">
        <f>G580</f>
        <v>2850</v>
      </c>
      <c r="H579" s="26">
        <f t="shared" ref="H579:I580" si="283">H580</f>
        <v>2850</v>
      </c>
      <c r="I579" s="26">
        <f t="shared" si="283"/>
        <v>2850</v>
      </c>
      <c r="L579" s="111"/>
    </row>
    <row r="580" spans="1:12" ht="32.25" customHeight="1" x14ac:dyDescent="0.25">
      <c r="A580" s="29" t="s">
        <v>287</v>
      </c>
      <c r="B580" s="16">
        <v>906</v>
      </c>
      <c r="C580" s="20" t="s">
        <v>279</v>
      </c>
      <c r="D580" s="20" t="s">
        <v>133</v>
      </c>
      <c r="E580" s="20" t="s">
        <v>1019</v>
      </c>
      <c r="F580" s="20" t="s">
        <v>288</v>
      </c>
      <c r="G580" s="415">
        <f>G581</f>
        <v>2850</v>
      </c>
      <c r="H580" s="26">
        <f t="shared" si="283"/>
        <v>2850</v>
      </c>
      <c r="I580" s="26">
        <f t="shared" si="283"/>
        <v>2850</v>
      </c>
      <c r="L580" s="111"/>
    </row>
    <row r="581" spans="1:12" ht="15.75" customHeight="1" x14ac:dyDescent="0.25">
      <c r="A581" s="195" t="s">
        <v>289</v>
      </c>
      <c r="B581" s="16">
        <v>906</v>
      </c>
      <c r="C581" s="20" t="s">
        <v>279</v>
      </c>
      <c r="D581" s="20" t="s">
        <v>133</v>
      </c>
      <c r="E581" s="20" t="s">
        <v>1019</v>
      </c>
      <c r="F581" s="20" t="s">
        <v>290</v>
      </c>
      <c r="G581" s="415">
        <f>2500+350</f>
        <v>2850</v>
      </c>
      <c r="H581" s="26">
        <f t="shared" ref="H581:I581" si="284">2500+350</f>
        <v>2850</v>
      </c>
      <c r="I581" s="26">
        <f t="shared" si="284"/>
        <v>2850</v>
      </c>
      <c r="J581" s="240"/>
      <c r="L581" s="111"/>
    </row>
    <row r="582" spans="1:12" ht="50.25" customHeight="1" x14ac:dyDescent="0.25">
      <c r="A582" s="60" t="s">
        <v>787</v>
      </c>
      <c r="B582" s="16">
        <v>906</v>
      </c>
      <c r="C582" s="20" t="s">
        <v>279</v>
      </c>
      <c r="D582" s="20" t="s">
        <v>133</v>
      </c>
      <c r="E582" s="20" t="s">
        <v>1020</v>
      </c>
      <c r="F582" s="20"/>
      <c r="G582" s="415">
        <f>G583</f>
        <v>1760</v>
      </c>
      <c r="H582" s="26">
        <f t="shared" ref="H582:I583" si="285">H583</f>
        <v>1365.4999999999998</v>
      </c>
      <c r="I582" s="26">
        <f t="shared" si="285"/>
        <v>1365.4999999999998</v>
      </c>
      <c r="L582" s="224"/>
    </row>
    <row r="583" spans="1:12" ht="31.5" x14ac:dyDescent="0.25">
      <c r="A583" s="29" t="s">
        <v>287</v>
      </c>
      <c r="B583" s="16">
        <v>906</v>
      </c>
      <c r="C583" s="20" t="s">
        <v>279</v>
      </c>
      <c r="D583" s="20" t="s">
        <v>133</v>
      </c>
      <c r="E583" s="20" t="s">
        <v>1020</v>
      </c>
      <c r="F583" s="20" t="s">
        <v>288</v>
      </c>
      <c r="G583" s="415">
        <f>G584</f>
        <v>1760</v>
      </c>
      <c r="H583" s="26">
        <f t="shared" si="285"/>
        <v>1365.4999999999998</v>
      </c>
      <c r="I583" s="26">
        <f t="shared" si="285"/>
        <v>1365.4999999999998</v>
      </c>
      <c r="L583" s="111"/>
    </row>
    <row r="584" spans="1:12" ht="15.75" x14ac:dyDescent="0.25">
      <c r="A584" s="195" t="s">
        <v>289</v>
      </c>
      <c r="B584" s="16">
        <v>906</v>
      </c>
      <c r="C584" s="20" t="s">
        <v>279</v>
      </c>
      <c r="D584" s="20" t="s">
        <v>133</v>
      </c>
      <c r="E584" s="20" t="s">
        <v>1020</v>
      </c>
      <c r="F584" s="20" t="s">
        <v>290</v>
      </c>
      <c r="G584" s="415">
        <v>1760</v>
      </c>
      <c r="H584" s="26">
        <f t="shared" ref="H584:I584" si="286">1230.6-457.8+486.9+105.8</f>
        <v>1365.4999999999998</v>
      </c>
      <c r="I584" s="26">
        <f t="shared" si="286"/>
        <v>1365.4999999999998</v>
      </c>
      <c r="J584" s="240"/>
      <c r="K584" s="249"/>
      <c r="L584" s="111"/>
    </row>
    <row r="585" spans="1:12" s="230" customFormat="1" ht="47.25" x14ac:dyDescent="0.25">
      <c r="A585" s="23" t="s">
        <v>1021</v>
      </c>
      <c r="B585" s="19">
        <v>906</v>
      </c>
      <c r="C585" s="24" t="s">
        <v>279</v>
      </c>
      <c r="D585" s="24" t="s">
        <v>133</v>
      </c>
      <c r="E585" s="24" t="s">
        <v>1022</v>
      </c>
      <c r="F585" s="24"/>
      <c r="G585" s="416">
        <f>G586+G589</f>
        <v>291.10000000000002</v>
      </c>
      <c r="H585" s="21">
        <f t="shared" ref="H585:I585" si="287">H586+H589</f>
        <v>290.3</v>
      </c>
      <c r="I585" s="21">
        <f t="shared" si="287"/>
        <v>290.3</v>
      </c>
      <c r="J585" s="249"/>
      <c r="K585" s="249"/>
      <c r="L585" s="111"/>
    </row>
    <row r="586" spans="1:12" ht="132.75" customHeight="1" x14ac:dyDescent="0.25">
      <c r="A586" s="25" t="s">
        <v>830</v>
      </c>
      <c r="B586" s="16">
        <v>906</v>
      </c>
      <c r="C586" s="20" t="s">
        <v>279</v>
      </c>
      <c r="D586" s="20" t="s">
        <v>133</v>
      </c>
      <c r="E586" s="20" t="s">
        <v>1023</v>
      </c>
      <c r="F586" s="20"/>
      <c r="G586" s="415">
        <f>G587</f>
        <v>124.4</v>
      </c>
      <c r="H586" s="26">
        <f t="shared" ref="H586:I587" si="288">H587</f>
        <v>124.4</v>
      </c>
      <c r="I586" s="26">
        <f t="shared" si="288"/>
        <v>124.4</v>
      </c>
      <c r="L586" s="111"/>
    </row>
    <row r="587" spans="1:12" ht="31.5" x14ac:dyDescent="0.25">
      <c r="A587" s="29" t="s">
        <v>287</v>
      </c>
      <c r="B587" s="16">
        <v>906</v>
      </c>
      <c r="C587" s="20" t="s">
        <v>279</v>
      </c>
      <c r="D587" s="20" t="s">
        <v>133</v>
      </c>
      <c r="E587" s="20" t="s">
        <v>1023</v>
      </c>
      <c r="F587" s="20" t="s">
        <v>288</v>
      </c>
      <c r="G587" s="415">
        <f>G588</f>
        <v>124.4</v>
      </c>
      <c r="H587" s="26">
        <f t="shared" si="288"/>
        <v>124.4</v>
      </c>
      <c r="I587" s="26">
        <f t="shared" si="288"/>
        <v>124.4</v>
      </c>
      <c r="L587" s="111"/>
    </row>
    <row r="588" spans="1:12" ht="18.75" customHeight="1" x14ac:dyDescent="0.25">
      <c r="A588" s="195" t="s">
        <v>289</v>
      </c>
      <c r="B588" s="16">
        <v>906</v>
      </c>
      <c r="C588" s="20" t="s">
        <v>279</v>
      </c>
      <c r="D588" s="20" t="s">
        <v>133</v>
      </c>
      <c r="E588" s="20" t="s">
        <v>1023</v>
      </c>
      <c r="F588" s="20" t="s">
        <v>290</v>
      </c>
      <c r="G588" s="415">
        <v>124.4</v>
      </c>
      <c r="H588" s="26">
        <v>124.4</v>
      </c>
      <c r="I588" s="26">
        <v>124.4</v>
      </c>
      <c r="L588" s="111"/>
    </row>
    <row r="589" spans="1:12" s="230" customFormat="1" ht="117.75" customHeight="1" x14ac:dyDescent="0.25">
      <c r="A589" s="25" t="s">
        <v>438</v>
      </c>
      <c r="B589" s="16">
        <v>906</v>
      </c>
      <c r="C589" s="20" t="s">
        <v>279</v>
      </c>
      <c r="D589" s="20" t="s">
        <v>133</v>
      </c>
      <c r="E589" s="20" t="s">
        <v>1024</v>
      </c>
      <c r="F589" s="20"/>
      <c r="G589" s="415">
        <f>G590</f>
        <v>166.7</v>
      </c>
      <c r="H589" s="26">
        <f t="shared" ref="H589:I590" si="289">H590</f>
        <v>165.9</v>
      </c>
      <c r="I589" s="26">
        <f t="shared" si="289"/>
        <v>165.9</v>
      </c>
      <c r="J589" s="212"/>
      <c r="K589" s="111"/>
      <c r="L589" s="111"/>
    </row>
    <row r="590" spans="1:12" s="230" customFormat="1" ht="32.25" customHeight="1" x14ac:dyDescent="0.25">
      <c r="A590" s="25" t="s">
        <v>287</v>
      </c>
      <c r="B590" s="16">
        <v>906</v>
      </c>
      <c r="C590" s="20" t="s">
        <v>279</v>
      </c>
      <c r="D590" s="20" t="s">
        <v>133</v>
      </c>
      <c r="E590" s="20" t="s">
        <v>1024</v>
      </c>
      <c r="F590" s="20" t="s">
        <v>288</v>
      </c>
      <c r="G590" s="415">
        <f>G591</f>
        <v>166.7</v>
      </c>
      <c r="H590" s="26">
        <f t="shared" si="289"/>
        <v>165.9</v>
      </c>
      <c r="I590" s="26">
        <f t="shared" si="289"/>
        <v>165.9</v>
      </c>
      <c r="J590" s="212"/>
      <c r="K590" s="111"/>
      <c r="L590" s="111"/>
    </row>
    <row r="591" spans="1:12" s="230" customFormat="1" ht="18.75" customHeight="1" x14ac:dyDescent="0.25">
      <c r="A591" s="25" t="s">
        <v>289</v>
      </c>
      <c r="B591" s="16">
        <v>906</v>
      </c>
      <c r="C591" s="20" t="s">
        <v>279</v>
      </c>
      <c r="D591" s="20" t="s">
        <v>133</v>
      </c>
      <c r="E591" s="20" t="s">
        <v>1024</v>
      </c>
      <c r="F591" s="20" t="s">
        <v>290</v>
      </c>
      <c r="G591" s="415">
        <v>166.7</v>
      </c>
      <c r="H591" s="26">
        <v>165.9</v>
      </c>
      <c r="I591" s="26">
        <v>165.9</v>
      </c>
      <c r="J591" s="212"/>
      <c r="K591" s="111"/>
      <c r="L591" s="111"/>
    </row>
    <row r="592" spans="1:12" s="230" customFormat="1" ht="84" customHeight="1" x14ac:dyDescent="0.25">
      <c r="A592" s="23" t="s">
        <v>1426</v>
      </c>
      <c r="B592" s="19">
        <v>906</v>
      </c>
      <c r="C592" s="24" t="s">
        <v>279</v>
      </c>
      <c r="D592" s="24" t="s">
        <v>133</v>
      </c>
      <c r="E592" s="24" t="s">
        <v>1424</v>
      </c>
      <c r="F592" s="24"/>
      <c r="G592" s="416">
        <f>G593+G596</f>
        <v>1666.6</v>
      </c>
      <c r="H592" s="26"/>
      <c r="I592" s="26"/>
      <c r="J592" s="212"/>
      <c r="K592" s="111"/>
      <c r="L592" s="111"/>
    </row>
    <row r="593" spans="1:12" s="230" customFormat="1" ht="64.5" customHeight="1" x14ac:dyDescent="0.25">
      <c r="A593" s="153" t="s">
        <v>1429</v>
      </c>
      <c r="B593" s="16">
        <v>906</v>
      </c>
      <c r="C593" s="20" t="s">
        <v>279</v>
      </c>
      <c r="D593" s="20" t="s">
        <v>133</v>
      </c>
      <c r="E593" s="20" t="s">
        <v>1428</v>
      </c>
      <c r="F593" s="20"/>
      <c r="G593" s="415">
        <f>G594</f>
        <v>0</v>
      </c>
      <c r="H593" s="26"/>
      <c r="I593" s="26"/>
      <c r="J593" s="212"/>
      <c r="K593" s="111"/>
      <c r="L593" s="111"/>
    </row>
    <row r="594" spans="1:12" s="230" customFormat="1" ht="33.75" customHeight="1" x14ac:dyDescent="0.25">
      <c r="A594" s="25" t="s">
        <v>287</v>
      </c>
      <c r="B594" s="16">
        <v>906</v>
      </c>
      <c r="C594" s="20" t="s">
        <v>279</v>
      </c>
      <c r="D594" s="20" t="s">
        <v>133</v>
      </c>
      <c r="E594" s="20" t="s">
        <v>1428</v>
      </c>
      <c r="F594" s="20" t="s">
        <v>288</v>
      </c>
      <c r="G594" s="415">
        <f>G595</f>
        <v>0</v>
      </c>
      <c r="H594" s="26"/>
      <c r="I594" s="26"/>
      <c r="J594" s="212"/>
      <c r="K594" s="111"/>
      <c r="L594" s="111"/>
    </row>
    <row r="595" spans="1:12" s="230" customFormat="1" ht="18.75" customHeight="1" x14ac:dyDescent="0.25">
      <c r="A595" s="25" t="s">
        <v>289</v>
      </c>
      <c r="B595" s="16">
        <v>906</v>
      </c>
      <c r="C595" s="20" t="s">
        <v>279</v>
      </c>
      <c r="D595" s="20" t="s">
        <v>133</v>
      </c>
      <c r="E595" s="20" t="s">
        <v>1428</v>
      </c>
      <c r="F595" s="20" t="s">
        <v>290</v>
      </c>
      <c r="G595" s="415">
        <v>0</v>
      </c>
      <c r="H595" s="26"/>
      <c r="I595" s="26"/>
      <c r="J595" s="212"/>
      <c r="K595" s="111"/>
      <c r="L595" s="111"/>
    </row>
    <row r="596" spans="1:12" s="230" customFormat="1" ht="85.5" customHeight="1" x14ac:dyDescent="0.25">
      <c r="A596" s="153" t="s">
        <v>1425</v>
      </c>
      <c r="B596" s="16">
        <v>906</v>
      </c>
      <c r="C596" s="20" t="s">
        <v>279</v>
      </c>
      <c r="D596" s="20" t="s">
        <v>133</v>
      </c>
      <c r="E596" s="20" t="s">
        <v>1427</v>
      </c>
      <c r="F596" s="20"/>
      <c r="G596" s="415">
        <f>G597</f>
        <v>1666.6</v>
      </c>
      <c r="H596" s="26"/>
      <c r="I596" s="26"/>
      <c r="J596" s="212"/>
      <c r="K596" s="111"/>
      <c r="L596" s="111"/>
    </row>
    <row r="597" spans="1:12" s="230" customFormat="1" ht="36.75" customHeight="1" x14ac:dyDescent="0.25">
      <c r="A597" s="25" t="s">
        <v>287</v>
      </c>
      <c r="B597" s="16">
        <v>906</v>
      </c>
      <c r="C597" s="20" t="s">
        <v>279</v>
      </c>
      <c r="D597" s="20" t="s">
        <v>133</v>
      </c>
      <c r="E597" s="20" t="s">
        <v>1427</v>
      </c>
      <c r="F597" s="20" t="s">
        <v>288</v>
      </c>
      <c r="G597" s="415">
        <f>G598</f>
        <v>1666.6</v>
      </c>
      <c r="H597" s="26"/>
      <c r="I597" s="26"/>
      <c r="J597" s="212"/>
      <c r="K597" s="111"/>
      <c r="L597" s="111"/>
    </row>
    <row r="598" spans="1:12" s="230" customFormat="1" ht="18.75" customHeight="1" x14ac:dyDescent="0.25">
      <c r="A598" s="25" t="s">
        <v>289</v>
      </c>
      <c r="B598" s="16">
        <v>906</v>
      </c>
      <c r="C598" s="20" t="s">
        <v>279</v>
      </c>
      <c r="D598" s="20" t="s">
        <v>133</v>
      </c>
      <c r="E598" s="20" t="s">
        <v>1427</v>
      </c>
      <c r="F598" s="20" t="s">
        <v>290</v>
      </c>
      <c r="G598" s="415">
        <v>1666.6</v>
      </c>
      <c r="H598" s="26"/>
      <c r="I598" s="26"/>
      <c r="J598" s="212"/>
      <c r="K598" s="111"/>
      <c r="L598" s="111"/>
    </row>
    <row r="599" spans="1:12" ht="43.5" hidden="1" customHeight="1" x14ac:dyDescent="0.25">
      <c r="A599" s="34" t="s">
        <v>804</v>
      </c>
      <c r="B599" s="19">
        <v>906</v>
      </c>
      <c r="C599" s="24" t="s">
        <v>279</v>
      </c>
      <c r="D599" s="24" t="s">
        <v>133</v>
      </c>
      <c r="E599" s="24" t="s">
        <v>339</v>
      </c>
      <c r="F599" s="24"/>
      <c r="G599" s="416">
        <f>G600</f>
        <v>0</v>
      </c>
      <c r="H599" s="21">
        <f t="shared" ref="H599:I602" si="290">H600</f>
        <v>697</v>
      </c>
      <c r="I599" s="21">
        <f t="shared" si="290"/>
        <v>697</v>
      </c>
      <c r="L599" s="111"/>
    </row>
    <row r="600" spans="1:12" s="230" customFormat="1" ht="49.5" hidden="1" customHeight="1" x14ac:dyDescent="0.25">
      <c r="A600" s="34" t="s">
        <v>1168</v>
      </c>
      <c r="B600" s="19">
        <v>906</v>
      </c>
      <c r="C600" s="24" t="s">
        <v>279</v>
      </c>
      <c r="D600" s="24" t="s">
        <v>133</v>
      </c>
      <c r="E600" s="24" t="s">
        <v>1030</v>
      </c>
      <c r="F600" s="24"/>
      <c r="G600" s="416">
        <f>G601</f>
        <v>0</v>
      </c>
      <c r="H600" s="21">
        <f t="shared" si="290"/>
        <v>697</v>
      </c>
      <c r="I600" s="21">
        <f t="shared" si="290"/>
        <v>697</v>
      </c>
      <c r="J600" s="212"/>
      <c r="K600" s="111"/>
      <c r="L600" s="111"/>
    </row>
    <row r="601" spans="1:12" ht="50.25" hidden="1" customHeight="1" x14ac:dyDescent="0.25">
      <c r="A601" s="31" t="s">
        <v>1285</v>
      </c>
      <c r="B601" s="16">
        <v>906</v>
      </c>
      <c r="C601" s="20" t="s">
        <v>279</v>
      </c>
      <c r="D601" s="20" t="s">
        <v>133</v>
      </c>
      <c r="E601" s="20" t="s">
        <v>1031</v>
      </c>
      <c r="F601" s="20"/>
      <c r="G601" s="415">
        <f>G602</f>
        <v>0</v>
      </c>
      <c r="H601" s="26">
        <f t="shared" si="290"/>
        <v>697</v>
      </c>
      <c r="I601" s="26">
        <f t="shared" si="290"/>
        <v>697</v>
      </c>
      <c r="L601" s="111"/>
    </row>
    <row r="602" spans="1:12" ht="42" hidden="1" customHeight="1" x14ac:dyDescent="0.25">
      <c r="A602" s="31" t="s">
        <v>287</v>
      </c>
      <c r="B602" s="16">
        <v>906</v>
      </c>
      <c r="C602" s="20" t="s">
        <v>279</v>
      </c>
      <c r="D602" s="20" t="s">
        <v>133</v>
      </c>
      <c r="E602" s="20" t="s">
        <v>1031</v>
      </c>
      <c r="F602" s="20" t="s">
        <v>288</v>
      </c>
      <c r="G602" s="415">
        <f>G603</f>
        <v>0</v>
      </c>
      <c r="H602" s="26">
        <f t="shared" si="290"/>
        <v>697</v>
      </c>
      <c r="I602" s="26">
        <f t="shared" si="290"/>
        <v>697</v>
      </c>
      <c r="L602" s="111"/>
    </row>
    <row r="603" spans="1:12" ht="16.5" hidden="1" customHeight="1" x14ac:dyDescent="0.25">
      <c r="A603" s="31" t="s">
        <v>289</v>
      </c>
      <c r="B603" s="16">
        <v>906</v>
      </c>
      <c r="C603" s="20" t="s">
        <v>279</v>
      </c>
      <c r="D603" s="20" t="s">
        <v>133</v>
      </c>
      <c r="E603" s="20" t="s">
        <v>1031</v>
      </c>
      <c r="F603" s="20" t="s">
        <v>290</v>
      </c>
      <c r="G603" s="415">
        <v>0</v>
      </c>
      <c r="H603" s="26">
        <v>697</v>
      </c>
      <c r="I603" s="26">
        <v>697</v>
      </c>
      <c r="L603" s="111"/>
    </row>
    <row r="604" spans="1:12" ht="46.5" customHeight="1" x14ac:dyDescent="0.25">
      <c r="A604" s="41" t="s">
        <v>1397</v>
      </c>
      <c r="B604" s="19">
        <v>906</v>
      </c>
      <c r="C604" s="24" t="s">
        <v>279</v>
      </c>
      <c r="D604" s="24" t="s">
        <v>133</v>
      </c>
      <c r="E604" s="24" t="s">
        <v>727</v>
      </c>
      <c r="F604" s="285"/>
      <c r="G604" s="416">
        <f>G606</f>
        <v>464.3</v>
      </c>
      <c r="H604" s="21">
        <f t="shared" ref="H604:I604" si="291">H606</f>
        <v>464.3</v>
      </c>
      <c r="I604" s="21">
        <f t="shared" si="291"/>
        <v>464.3</v>
      </c>
      <c r="L604" s="111"/>
    </row>
    <row r="605" spans="1:12" s="230" customFormat="1" ht="46.5" customHeight="1" x14ac:dyDescent="0.25">
      <c r="A605" s="41" t="s">
        <v>951</v>
      </c>
      <c r="B605" s="19">
        <v>906</v>
      </c>
      <c r="C605" s="24" t="s">
        <v>279</v>
      </c>
      <c r="D605" s="24" t="s">
        <v>133</v>
      </c>
      <c r="E605" s="24" t="s">
        <v>949</v>
      </c>
      <c r="F605" s="285"/>
      <c r="G605" s="416">
        <f>G606</f>
        <v>464.3</v>
      </c>
      <c r="H605" s="21">
        <f t="shared" ref="H605:I607" si="292">H606</f>
        <v>464.3</v>
      </c>
      <c r="I605" s="21">
        <f t="shared" si="292"/>
        <v>464.3</v>
      </c>
      <c r="J605" s="212"/>
      <c r="K605" s="111"/>
      <c r="L605" s="111"/>
    </row>
    <row r="606" spans="1:12" ht="36" customHeight="1" x14ac:dyDescent="0.25">
      <c r="A606" s="101" t="s">
        <v>802</v>
      </c>
      <c r="B606" s="16">
        <v>906</v>
      </c>
      <c r="C606" s="20" t="s">
        <v>279</v>
      </c>
      <c r="D606" s="20" t="s">
        <v>133</v>
      </c>
      <c r="E606" s="20" t="s">
        <v>1032</v>
      </c>
      <c r="F606" s="32"/>
      <c r="G606" s="415">
        <f>G607</f>
        <v>464.3</v>
      </c>
      <c r="H606" s="26">
        <f t="shared" si="292"/>
        <v>464.3</v>
      </c>
      <c r="I606" s="26">
        <f t="shared" si="292"/>
        <v>464.3</v>
      </c>
      <c r="L606" s="111"/>
    </row>
    <row r="607" spans="1:12" ht="35.25" customHeight="1" x14ac:dyDescent="0.25">
      <c r="A607" s="29" t="s">
        <v>287</v>
      </c>
      <c r="B607" s="16">
        <v>906</v>
      </c>
      <c r="C607" s="20" t="s">
        <v>279</v>
      </c>
      <c r="D607" s="20" t="s">
        <v>133</v>
      </c>
      <c r="E607" s="20" t="s">
        <v>1032</v>
      </c>
      <c r="F607" s="32" t="s">
        <v>288</v>
      </c>
      <c r="G607" s="415">
        <f>G608</f>
        <v>464.3</v>
      </c>
      <c r="H607" s="26">
        <f t="shared" si="292"/>
        <v>464.3</v>
      </c>
      <c r="I607" s="26">
        <f t="shared" si="292"/>
        <v>464.3</v>
      </c>
      <c r="L607" s="111"/>
    </row>
    <row r="608" spans="1:12" ht="15.75" customHeight="1" x14ac:dyDescent="0.25">
      <c r="A608" s="195" t="s">
        <v>289</v>
      </c>
      <c r="B608" s="16">
        <v>906</v>
      </c>
      <c r="C608" s="20" t="s">
        <v>279</v>
      </c>
      <c r="D608" s="20" t="s">
        <v>133</v>
      </c>
      <c r="E608" s="20" t="s">
        <v>1032</v>
      </c>
      <c r="F608" s="32" t="s">
        <v>290</v>
      </c>
      <c r="G608" s="415">
        <v>464.3</v>
      </c>
      <c r="H608" s="26">
        <v>464.3</v>
      </c>
      <c r="I608" s="26">
        <v>464.3</v>
      </c>
      <c r="L608" s="111"/>
    </row>
    <row r="609" spans="1:13" ht="15.75" x14ac:dyDescent="0.25">
      <c r="A609" s="23" t="s">
        <v>440</v>
      </c>
      <c r="B609" s="19">
        <v>906</v>
      </c>
      <c r="C609" s="24" t="s">
        <v>279</v>
      </c>
      <c r="D609" s="24" t="s">
        <v>228</v>
      </c>
      <c r="E609" s="24"/>
      <c r="F609" s="24"/>
      <c r="G609" s="416">
        <f>G610+G677+G686</f>
        <v>191920.87999999995</v>
      </c>
      <c r="H609" s="21">
        <f>H610+H677+H686</f>
        <v>139417.1</v>
      </c>
      <c r="I609" s="21">
        <f>I610+I677+I686</f>
        <v>139417.1</v>
      </c>
      <c r="L609" s="111"/>
    </row>
    <row r="610" spans="1:13" ht="50.25" customHeight="1" x14ac:dyDescent="0.25">
      <c r="A610" s="23" t="s">
        <v>441</v>
      </c>
      <c r="B610" s="19">
        <v>906</v>
      </c>
      <c r="C610" s="24" t="s">
        <v>279</v>
      </c>
      <c r="D610" s="24" t="s">
        <v>228</v>
      </c>
      <c r="E610" s="24" t="s">
        <v>421</v>
      </c>
      <c r="F610" s="24"/>
      <c r="G610" s="416">
        <f>G611+G638</f>
        <v>191197.57999999996</v>
      </c>
      <c r="H610" s="21">
        <f t="shared" ref="H610:I610" si="293">H611+H638</f>
        <v>138543.80000000002</v>
      </c>
      <c r="I610" s="21">
        <f t="shared" si="293"/>
        <v>138543.80000000002</v>
      </c>
      <c r="L610" s="111"/>
    </row>
    <row r="611" spans="1:13" ht="37.5" customHeight="1" x14ac:dyDescent="0.25">
      <c r="A611" s="23" t="s">
        <v>422</v>
      </c>
      <c r="B611" s="19">
        <v>906</v>
      </c>
      <c r="C611" s="24" t="s">
        <v>279</v>
      </c>
      <c r="D611" s="24" t="s">
        <v>228</v>
      </c>
      <c r="E611" s="24" t="s">
        <v>423</v>
      </c>
      <c r="F611" s="24"/>
      <c r="G611" s="416">
        <f>G612+G622</f>
        <v>181239.77999999997</v>
      </c>
      <c r="H611" s="21">
        <f t="shared" ref="H611:I611" si="294">H612+H622</f>
        <v>126914.40000000002</v>
      </c>
      <c r="I611" s="21">
        <f t="shared" si="294"/>
        <v>126914.40000000002</v>
      </c>
      <c r="L611" s="111"/>
    </row>
    <row r="612" spans="1:13" s="230" customFormat="1" ht="37.5" customHeight="1" x14ac:dyDescent="0.25">
      <c r="A612" s="23" t="s">
        <v>1033</v>
      </c>
      <c r="B612" s="19">
        <v>906</v>
      </c>
      <c r="C612" s="24" t="s">
        <v>279</v>
      </c>
      <c r="D612" s="24" t="s">
        <v>228</v>
      </c>
      <c r="E612" s="24" t="s">
        <v>1011</v>
      </c>
      <c r="F612" s="24"/>
      <c r="G612" s="416">
        <f>G613+G616+G619</f>
        <v>28803</v>
      </c>
      <c r="H612" s="21">
        <f t="shared" ref="H612:I612" si="295">H613+H616+H619</f>
        <v>29802.400000000001</v>
      </c>
      <c r="I612" s="21">
        <f t="shared" si="295"/>
        <v>29802.400000000001</v>
      </c>
      <c r="J612" s="212"/>
      <c r="K612" s="111"/>
      <c r="L612" s="111"/>
    </row>
    <row r="613" spans="1:13" ht="31.5" x14ac:dyDescent="0.25">
      <c r="A613" s="25" t="s">
        <v>1073</v>
      </c>
      <c r="B613" s="16">
        <v>906</v>
      </c>
      <c r="C613" s="20" t="s">
        <v>279</v>
      </c>
      <c r="D613" s="20" t="s">
        <v>228</v>
      </c>
      <c r="E613" s="20" t="s">
        <v>1070</v>
      </c>
      <c r="F613" s="20"/>
      <c r="G613" s="415">
        <f>G614</f>
        <v>9775.4000000000015</v>
      </c>
      <c r="H613" s="26">
        <f t="shared" ref="H613:I614" si="296">H614</f>
        <v>29802.400000000001</v>
      </c>
      <c r="I613" s="26">
        <f t="shared" si="296"/>
        <v>29802.400000000001</v>
      </c>
      <c r="L613" s="111"/>
    </row>
    <row r="614" spans="1:13" ht="32.25" customHeight="1" x14ac:dyDescent="0.25">
      <c r="A614" s="25" t="s">
        <v>287</v>
      </c>
      <c r="B614" s="16">
        <v>906</v>
      </c>
      <c r="C614" s="20" t="s">
        <v>279</v>
      </c>
      <c r="D614" s="20" t="s">
        <v>228</v>
      </c>
      <c r="E614" s="20" t="s">
        <v>1070</v>
      </c>
      <c r="F614" s="20" t="s">
        <v>288</v>
      </c>
      <c r="G614" s="415">
        <f>G615</f>
        <v>9775.4000000000015</v>
      </c>
      <c r="H614" s="26">
        <f t="shared" si="296"/>
        <v>29802.400000000001</v>
      </c>
      <c r="I614" s="26">
        <f t="shared" si="296"/>
        <v>29802.400000000001</v>
      </c>
      <c r="L614" s="111">
        <v>29803</v>
      </c>
    </row>
    <row r="615" spans="1:13" ht="15.75" x14ac:dyDescent="0.25">
      <c r="A615" s="25" t="s">
        <v>289</v>
      </c>
      <c r="B615" s="16">
        <v>906</v>
      </c>
      <c r="C615" s="20" t="s">
        <v>279</v>
      </c>
      <c r="D615" s="20" t="s">
        <v>228</v>
      </c>
      <c r="E615" s="20" t="s">
        <v>1070</v>
      </c>
      <c r="F615" s="20" t="s">
        <v>290</v>
      </c>
      <c r="G615" s="419">
        <f>29802.4+0.6-20027.6</f>
        <v>9775.4000000000015</v>
      </c>
      <c r="H615" s="27">
        <v>29802.400000000001</v>
      </c>
      <c r="I615" s="27">
        <v>29802.400000000001</v>
      </c>
      <c r="J615" s="242"/>
      <c r="K615" s="474"/>
      <c r="L615" s="474"/>
      <c r="M615" s="111"/>
    </row>
    <row r="616" spans="1:13" s="230" customFormat="1" ht="51.75" customHeight="1" x14ac:dyDescent="0.25">
      <c r="A616" s="25" t="s">
        <v>1074</v>
      </c>
      <c r="B616" s="16">
        <v>906</v>
      </c>
      <c r="C616" s="20" t="s">
        <v>279</v>
      </c>
      <c r="D616" s="20" t="s">
        <v>228</v>
      </c>
      <c r="E616" s="20" t="s">
        <v>1071</v>
      </c>
      <c r="F616" s="20"/>
      <c r="G616" s="415">
        <f>G617</f>
        <v>12351.7</v>
      </c>
      <c r="H616" s="26">
        <f t="shared" ref="H616:I617" si="297">H617</f>
        <v>0</v>
      </c>
      <c r="I616" s="26">
        <f t="shared" si="297"/>
        <v>0</v>
      </c>
      <c r="J616" s="242"/>
      <c r="K616" s="267"/>
      <c r="L616" s="267"/>
      <c r="M616" s="111"/>
    </row>
    <row r="617" spans="1:13" s="230" customFormat="1" ht="31.5" x14ac:dyDescent="0.25">
      <c r="A617" s="25" t="s">
        <v>287</v>
      </c>
      <c r="B617" s="16">
        <v>906</v>
      </c>
      <c r="C617" s="20" t="s">
        <v>279</v>
      </c>
      <c r="D617" s="20" t="s">
        <v>228</v>
      </c>
      <c r="E617" s="20" t="s">
        <v>1071</v>
      </c>
      <c r="F617" s="20" t="s">
        <v>288</v>
      </c>
      <c r="G617" s="415">
        <f>G618</f>
        <v>12351.7</v>
      </c>
      <c r="H617" s="26">
        <f t="shared" si="297"/>
        <v>0</v>
      </c>
      <c r="I617" s="26">
        <f t="shared" si="297"/>
        <v>0</v>
      </c>
      <c r="J617" s="242"/>
      <c r="K617" s="267"/>
      <c r="L617" s="267"/>
      <c r="M617" s="111"/>
    </row>
    <row r="618" spans="1:13" s="230" customFormat="1" ht="15.75" x14ac:dyDescent="0.25">
      <c r="A618" s="25" t="s">
        <v>289</v>
      </c>
      <c r="B618" s="16">
        <v>906</v>
      </c>
      <c r="C618" s="20" t="s">
        <v>279</v>
      </c>
      <c r="D618" s="20" t="s">
        <v>228</v>
      </c>
      <c r="E618" s="20" t="s">
        <v>1071</v>
      </c>
      <c r="F618" s="20" t="s">
        <v>290</v>
      </c>
      <c r="G618" s="419">
        <f>13351.7-2000+1000</f>
        <v>12351.7</v>
      </c>
      <c r="H618" s="27"/>
      <c r="I618" s="27"/>
      <c r="J618" s="242">
        <v>1000</v>
      </c>
      <c r="K618" s="267"/>
      <c r="L618" s="267"/>
      <c r="M618" s="111"/>
    </row>
    <row r="619" spans="1:13" s="230" customFormat="1" ht="31.5" x14ac:dyDescent="0.25">
      <c r="A619" s="25" t="s">
        <v>1075</v>
      </c>
      <c r="B619" s="16">
        <v>906</v>
      </c>
      <c r="C619" s="20" t="s">
        <v>279</v>
      </c>
      <c r="D619" s="20" t="s">
        <v>228</v>
      </c>
      <c r="E619" s="20" t="s">
        <v>1072</v>
      </c>
      <c r="F619" s="20"/>
      <c r="G619" s="415">
        <f>G620</f>
        <v>6675.9</v>
      </c>
      <c r="H619" s="26">
        <f t="shared" ref="H619:I620" si="298">H620</f>
        <v>0</v>
      </c>
      <c r="I619" s="26">
        <f t="shared" si="298"/>
        <v>0</v>
      </c>
      <c r="J619" s="242"/>
      <c r="K619" s="267"/>
      <c r="L619" s="267"/>
      <c r="M619" s="111"/>
    </row>
    <row r="620" spans="1:13" s="230" customFormat="1" ht="31.5" x14ac:dyDescent="0.25">
      <c r="A620" s="25" t="s">
        <v>287</v>
      </c>
      <c r="B620" s="16">
        <v>906</v>
      </c>
      <c r="C620" s="20" t="s">
        <v>279</v>
      </c>
      <c r="D620" s="20" t="s">
        <v>228</v>
      </c>
      <c r="E620" s="20" t="s">
        <v>1072</v>
      </c>
      <c r="F620" s="20" t="s">
        <v>288</v>
      </c>
      <c r="G620" s="415">
        <f>G621</f>
        <v>6675.9</v>
      </c>
      <c r="H620" s="26">
        <f t="shared" si="298"/>
        <v>0</v>
      </c>
      <c r="I620" s="26">
        <f t="shared" si="298"/>
        <v>0</v>
      </c>
      <c r="J620" s="242"/>
      <c r="K620" s="267"/>
      <c r="L620" s="267"/>
      <c r="M620" s="111"/>
    </row>
    <row r="621" spans="1:13" s="230" customFormat="1" ht="15.75" x14ac:dyDescent="0.25">
      <c r="A621" s="25" t="s">
        <v>289</v>
      </c>
      <c r="B621" s="16">
        <v>906</v>
      </c>
      <c r="C621" s="20" t="s">
        <v>279</v>
      </c>
      <c r="D621" s="20" t="s">
        <v>228</v>
      </c>
      <c r="E621" s="20" t="s">
        <v>1072</v>
      </c>
      <c r="F621" s="20" t="s">
        <v>290</v>
      </c>
      <c r="G621" s="419">
        <f>6675.9</f>
        <v>6675.9</v>
      </c>
      <c r="H621" s="27"/>
      <c r="I621" s="27"/>
      <c r="J621" s="242"/>
      <c r="K621" s="322"/>
      <c r="L621" s="267"/>
      <c r="M621" s="111"/>
    </row>
    <row r="622" spans="1:13" s="230" customFormat="1" ht="36.75" customHeight="1" x14ac:dyDescent="0.25">
      <c r="A622" s="23" t="s">
        <v>973</v>
      </c>
      <c r="B622" s="19">
        <v>906</v>
      </c>
      <c r="C622" s="24" t="s">
        <v>279</v>
      </c>
      <c r="D622" s="24" t="s">
        <v>228</v>
      </c>
      <c r="E622" s="24" t="s">
        <v>1026</v>
      </c>
      <c r="F622" s="24"/>
      <c r="G622" s="315">
        <f>G623+G626+G629+G632+G635</f>
        <v>152436.77999999997</v>
      </c>
      <c r="H622" s="44">
        <f t="shared" ref="H622:I622" si="299">H623+H626+H629+H632+H635</f>
        <v>97112.000000000015</v>
      </c>
      <c r="I622" s="44">
        <f t="shared" si="299"/>
        <v>97112.000000000015</v>
      </c>
      <c r="J622" s="242"/>
      <c r="K622" s="267"/>
      <c r="L622" s="267"/>
      <c r="M622" s="111"/>
    </row>
    <row r="623" spans="1:13" s="230" customFormat="1" ht="47.25" x14ac:dyDescent="0.25">
      <c r="A623" s="31" t="s">
        <v>475</v>
      </c>
      <c r="B623" s="16">
        <v>906</v>
      </c>
      <c r="C623" s="20" t="s">
        <v>279</v>
      </c>
      <c r="D623" s="20" t="s">
        <v>228</v>
      </c>
      <c r="E623" s="20" t="s">
        <v>1054</v>
      </c>
      <c r="F623" s="20"/>
      <c r="G623" s="415">
        <f>G624</f>
        <v>143160</v>
      </c>
      <c r="H623" s="26">
        <f t="shared" ref="H623:I624" si="300">H624</f>
        <v>88243.6</v>
      </c>
      <c r="I623" s="26">
        <f t="shared" si="300"/>
        <v>88243.6</v>
      </c>
      <c r="J623" s="242"/>
      <c r="K623" s="267"/>
      <c r="L623" s="267"/>
      <c r="M623" s="111"/>
    </row>
    <row r="624" spans="1:13" s="230" customFormat="1" ht="31.5" x14ac:dyDescent="0.25">
      <c r="A624" s="25" t="s">
        <v>287</v>
      </c>
      <c r="B624" s="16">
        <v>906</v>
      </c>
      <c r="C624" s="20" t="s">
        <v>279</v>
      </c>
      <c r="D624" s="20" t="s">
        <v>228</v>
      </c>
      <c r="E624" s="20" t="s">
        <v>1054</v>
      </c>
      <c r="F624" s="20" t="s">
        <v>288</v>
      </c>
      <c r="G624" s="415">
        <f>G625</f>
        <v>143160</v>
      </c>
      <c r="H624" s="26">
        <f t="shared" si="300"/>
        <v>88243.6</v>
      </c>
      <c r="I624" s="26">
        <f t="shared" si="300"/>
        <v>88243.6</v>
      </c>
      <c r="J624" s="242"/>
      <c r="K624" s="267"/>
      <c r="L624" s="267"/>
      <c r="M624" s="111"/>
    </row>
    <row r="625" spans="1:13" s="230" customFormat="1" ht="15.75" x14ac:dyDescent="0.25">
      <c r="A625" s="25" t="s">
        <v>289</v>
      </c>
      <c r="B625" s="16">
        <v>906</v>
      </c>
      <c r="C625" s="20" t="s">
        <v>279</v>
      </c>
      <c r="D625" s="20" t="s">
        <v>228</v>
      </c>
      <c r="E625" s="20" t="s">
        <v>1054</v>
      </c>
      <c r="F625" s="20" t="s">
        <v>290</v>
      </c>
      <c r="G625" s="419">
        <v>143160</v>
      </c>
      <c r="H625" s="27">
        <v>88243.6</v>
      </c>
      <c r="I625" s="27">
        <v>88243.6</v>
      </c>
      <c r="J625" s="242"/>
      <c r="K625" s="267"/>
      <c r="L625" s="267"/>
      <c r="M625" s="111"/>
    </row>
    <row r="626" spans="1:13" s="230" customFormat="1" ht="47.25" x14ac:dyDescent="0.25">
      <c r="A626" s="31" t="s">
        <v>304</v>
      </c>
      <c r="B626" s="16">
        <v>906</v>
      </c>
      <c r="C626" s="20" t="s">
        <v>279</v>
      </c>
      <c r="D626" s="20" t="s">
        <v>228</v>
      </c>
      <c r="E626" s="20" t="s">
        <v>1025</v>
      </c>
      <c r="F626" s="20"/>
      <c r="G626" s="415">
        <f>G627</f>
        <v>1245.6099999999999</v>
      </c>
      <c r="H626" s="26">
        <f t="shared" ref="H626:I627" si="301">H627</f>
        <v>809.4</v>
      </c>
      <c r="I626" s="26">
        <f t="shared" si="301"/>
        <v>809.4</v>
      </c>
      <c r="J626" s="242"/>
      <c r="K626" s="267"/>
      <c r="L626" s="267"/>
      <c r="M626" s="111"/>
    </row>
    <row r="627" spans="1:13" s="230" customFormat="1" ht="31.5" x14ac:dyDescent="0.25">
      <c r="A627" s="25" t="s">
        <v>287</v>
      </c>
      <c r="B627" s="16">
        <v>906</v>
      </c>
      <c r="C627" s="20" t="s">
        <v>279</v>
      </c>
      <c r="D627" s="20" t="s">
        <v>228</v>
      </c>
      <c r="E627" s="20" t="s">
        <v>1025</v>
      </c>
      <c r="F627" s="20" t="s">
        <v>288</v>
      </c>
      <c r="G627" s="415">
        <f>G628</f>
        <v>1245.6099999999999</v>
      </c>
      <c r="H627" s="26">
        <f t="shared" si="301"/>
        <v>809.4</v>
      </c>
      <c r="I627" s="26">
        <f t="shared" si="301"/>
        <v>809.4</v>
      </c>
      <c r="J627" s="242"/>
      <c r="K627" s="267"/>
      <c r="L627" s="267"/>
      <c r="M627" s="111"/>
    </row>
    <row r="628" spans="1:13" s="230" customFormat="1" ht="15.75" x14ac:dyDescent="0.25">
      <c r="A628" s="25" t="s">
        <v>289</v>
      </c>
      <c r="B628" s="16">
        <v>906</v>
      </c>
      <c r="C628" s="20" t="s">
        <v>279</v>
      </c>
      <c r="D628" s="20" t="s">
        <v>228</v>
      </c>
      <c r="E628" s="20" t="s">
        <v>1025</v>
      </c>
      <c r="F628" s="20" t="s">
        <v>290</v>
      </c>
      <c r="G628" s="419">
        <v>1245.6099999999999</v>
      </c>
      <c r="H628" s="27">
        <v>809.4</v>
      </c>
      <c r="I628" s="27">
        <v>809.4</v>
      </c>
      <c r="J628" s="363">
        <f>2075.4/1348.6*809.4</f>
        <v>1245.6093430223937</v>
      </c>
      <c r="K628" s="267"/>
      <c r="L628" s="267"/>
      <c r="M628" s="111"/>
    </row>
    <row r="629" spans="1:13" s="230" customFormat="1" ht="47.25" x14ac:dyDescent="0.25">
      <c r="A629" s="31" t="s">
        <v>306</v>
      </c>
      <c r="B629" s="16">
        <v>906</v>
      </c>
      <c r="C629" s="20" t="s">
        <v>279</v>
      </c>
      <c r="D629" s="20" t="s">
        <v>228</v>
      </c>
      <c r="E629" s="20" t="s">
        <v>1028</v>
      </c>
      <c r="F629" s="20"/>
      <c r="G629" s="415">
        <f>G630</f>
        <v>2266.7199999999998</v>
      </c>
      <c r="H629" s="26">
        <f t="shared" ref="H629:I630" si="302">H630</f>
        <v>2442.6</v>
      </c>
      <c r="I629" s="26">
        <f t="shared" si="302"/>
        <v>2442.6</v>
      </c>
      <c r="J629" s="264"/>
      <c r="K629" s="267"/>
      <c r="L629" s="267"/>
      <c r="M629" s="111"/>
    </row>
    <row r="630" spans="1:13" s="230" customFormat="1" ht="31.5" x14ac:dyDescent="0.25">
      <c r="A630" s="25" t="s">
        <v>287</v>
      </c>
      <c r="B630" s="16">
        <v>906</v>
      </c>
      <c r="C630" s="20" t="s">
        <v>279</v>
      </c>
      <c r="D630" s="20" t="s">
        <v>228</v>
      </c>
      <c r="E630" s="20" t="s">
        <v>1028</v>
      </c>
      <c r="F630" s="20" t="s">
        <v>288</v>
      </c>
      <c r="G630" s="415">
        <f>G631</f>
        <v>2266.7199999999998</v>
      </c>
      <c r="H630" s="26">
        <f t="shared" si="302"/>
        <v>2442.6</v>
      </c>
      <c r="I630" s="26">
        <f t="shared" si="302"/>
        <v>2442.6</v>
      </c>
      <c r="J630" s="264"/>
      <c r="K630" s="267"/>
      <c r="L630" s="267"/>
      <c r="M630" s="111"/>
    </row>
    <row r="631" spans="1:13" s="230" customFormat="1" ht="15.75" x14ac:dyDescent="0.25">
      <c r="A631" s="25" t="s">
        <v>289</v>
      </c>
      <c r="B631" s="16">
        <v>906</v>
      </c>
      <c r="C631" s="20" t="s">
        <v>279</v>
      </c>
      <c r="D631" s="20" t="s">
        <v>228</v>
      </c>
      <c r="E631" s="20" t="s">
        <v>1028</v>
      </c>
      <c r="F631" s="20" t="s">
        <v>290</v>
      </c>
      <c r="G631" s="419">
        <v>2266.7199999999998</v>
      </c>
      <c r="H631" s="27">
        <f t="shared" ref="H631:I631" si="303">2238.4+204.2</f>
        <v>2442.6</v>
      </c>
      <c r="I631" s="27">
        <f t="shared" si="303"/>
        <v>2442.6</v>
      </c>
      <c r="J631" s="363">
        <f>4743.9/5112*2442.6</f>
        <v>2266.7155985915492</v>
      </c>
      <c r="K631" s="267"/>
      <c r="L631" s="267"/>
      <c r="M631" s="111"/>
    </row>
    <row r="632" spans="1:13" s="230" customFormat="1" ht="31.5" x14ac:dyDescent="0.25">
      <c r="A632" s="31" t="s">
        <v>477</v>
      </c>
      <c r="B632" s="16">
        <v>906</v>
      </c>
      <c r="C632" s="20" t="s">
        <v>279</v>
      </c>
      <c r="D632" s="20" t="s">
        <v>228</v>
      </c>
      <c r="E632" s="20" t="s">
        <v>1055</v>
      </c>
      <c r="F632" s="20"/>
      <c r="G632" s="415">
        <f>G633</f>
        <v>923.4</v>
      </c>
      <c r="H632" s="26">
        <f t="shared" ref="H632:I633" si="304">H633</f>
        <v>946.8</v>
      </c>
      <c r="I632" s="26">
        <f t="shared" si="304"/>
        <v>946.8</v>
      </c>
      <c r="J632" s="242"/>
      <c r="K632" s="267"/>
      <c r="L632" s="267"/>
      <c r="M632" s="111"/>
    </row>
    <row r="633" spans="1:13" s="230" customFormat="1" ht="31.5" x14ac:dyDescent="0.25">
      <c r="A633" s="25" t="s">
        <v>287</v>
      </c>
      <c r="B633" s="16">
        <v>906</v>
      </c>
      <c r="C633" s="20" t="s">
        <v>279</v>
      </c>
      <c r="D633" s="20" t="s">
        <v>228</v>
      </c>
      <c r="E633" s="20" t="s">
        <v>1055</v>
      </c>
      <c r="F633" s="20" t="s">
        <v>288</v>
      </c>
      <c r="G633" s="415">
        <f>G634</f>
        <v>923.4</v>
      </c>
      <c r="H633" s="26">
        <f t="shared" si="304"/>
        <v>946.8</v>
      </c>
      <c r="I633" s="26">
        <f t="shared" si="304"/>
        <v>946.8</v>
      </c>
      <c r="J633" s="242"/>
      <c r="K633" s="267"/>
      <c r="L633" s="267"/>
      <c r="M633" s="111"/>
    </row>
    <row r="634" spans="1:13" s="230" customFormat="1" ht="15.75" x14ac:dyDescent="0.25">
      <c r="A634" s="25" t="s">
        <v>289</v>
      </c>
      <c r="B634" s="16">
        <v>906</v>
      </c>
      <c r="C634" s="20" t="s">
        <v>279</v>
      </c>
      <c r="D634" s="20" t="s">
        <v>228</v>
      </c>
      <c r="E634" s="20" t="s">
        <v>1055</v>
      </c>
      <c r="F634" s="20" t="s">
        <v>290</v>
      </c>
      <c r="G634" s="419">
        <v>923.4</v>
      </c>
      <c r="H634" s="27">
        <v>946.8</v>
      </c>
      <c r="I634" s="27">
        <v>946.8</v>
      </c>
      <c r="J634" s="242"/>
      <c r="K634" s="267"/>
      <c r="L634" s="267"/>
      <c r="M634" s="111"/>
    </row>
    <row r="635" spans="1:13" s="230" customFormat="1" ht="63" x14ac:dyDescent="0.25">
      <c r="A635" s="31" t="s">
        <v>479</v>
      </c>
      <c r="B635" s="16">
        <v>906</v>
      </c>
      <c r="C635" s="20" t="s">
        <v>279</v>
      </c>
      <c r="D635" s="20" t="s">
        <v>228</v>
      </c>
      <c r="E635" s="20" t="s">
        <v>1029</v>
      </c>
      <c r="F635" s="20"/>
      <c r="G635" s="415">
        <f>G636</f>
        <v>4841.0499999999993</v>
      </c>
      <c r="H635" s="26">
        <f t="shared" ref="H635:I636" si="305">H636</f>
        <v>4669.6000000000004</v>
      </c>
      <c r="I635" s="26">
        <f t="shared" si="305"/>
        <v>4669.6000000000004</v>
      </c>
      <c r="J635" s="242"/>
      <c r="K635" s="267"/>
      <c r="L635" s="267"/>
      <c r="M635" s="111"/>
    </row>
    <row r="636" spans="1:13" s="230" customFormat="1" ht="31.5" x14ac:dyDescent="0.25">
      <c r="A636" s="25" t="s">
        <v>287</v>
      </c>
      <c r="B636" s="16">
        <v>906</v>
      </c>
      <c r="C636" s="20" t="s">
        <v>279</v>
      </c>
      <c r="D636" s="20" t="s">
        <v>228</v>
      </c>
      <c r="E636" s="20" t="s">
        <v>1029</v>
      </c>
      <c r="F636" s="20" t="s">
        <v>288</v>
      </c>
      <c r="G636" s="415">
        <f>G637</f>
        <v>4841.0499999999993</v>
      </c>
      <c r="H636" s="26">
        <f t="shared" si="305"/>
        <v>4669.6000000000004</v>
      </c>
      <c r="I636" s="26">
        <f t="shared" si="305"/>
        <v>4669.6000000000004</v>
      </c>
      <c r="J636" s="242"/>
      <c r="K636" s="267"/>
      <c r="L636" s="267"/>
      <c r="M636" s="111"/>
    </row>
    <row r="637" spans="1:13" s="230" customFormat="1" ht="15.75" x14ac:dyDescent="0.25">
      <c r="A637" s="25" t="s">
        <v>289</v>
      </c>
      <c r="B637" s="16">
        <v>906</v>
      </c>
      <c r="C637" s="20" t="s">
        <v>279</v>
      </c>
      <c r="D637" s="20" t="s">
        <v>228</v>
      </c>
      <c r="E637" s="20" t="s">
        <v>1029</v>
      </c>
      <c r="F637" s="20" t="s">
        <v>290</v>
      </c>
      <c r="G637" s="419">
        <f>5020.23-179.18</f>
        <v>4841.0499999999993</v>
      </c>
      <c r="H637" s="27">
        <f t="shared" ref="H637:I637" si="306">5441.9-1072.9-74.3+582.6+114.9-114.9-207.7</f>
        <v>4669.6000000000004</v>
      </c>
      <c r="I637" s="27">
        <f t="shared" si="306"/>
        <v>4669.6000000000004</v>
      </c>
      <c r="J637" s="363">
        <f>12177.1/11326.6*4669.6</f>
        <v>5020.2343298077094</v>
      </c>
      <c r="K637" s="267"/>
      <c r="L637" s="267"/>
      <c r="M637" s="111"/>
    </row>
    <row r="638" spans="1:13" ht="36" customHeight="1" x14ac:dyDescent="0.25">
      <c r="A638" s="353" t="s">
        <v>445</v>
      </c>
      <c r="B638" s="19">
        <v>906</v>
      </c>
      <c r="C638" s="24" t="s">
        <v>279</v>
      </c>
      <c r="D638" s="24" t="s">
        <v>228</v>
      </c>
      <c r="E638" s="24" t="s">
        <v>446</v>
      </c>
      <c r="F638" s="24"/>
      <c r="G638" s="416">
        <f>G639+G652+G659+G666+G673+G682</f>
        <v>9957.8000000000011</v>
      </c>
      <c r="H638" s="21">
        <f t="shared" ref="H638:I638" si="307">H639+H652+H659+H666+H673</f>
        <v>11629.4</v>
      </c>
      <c r="I638" s="21">
        <f t="shared" si="307"/>
        <v>11629.4</v>
      </c>
      <c r="K638" s="224"/>
      <c r="L638" s="224"/>
      <c r="M638" s="224"/>
    </row>
    <row r="639" spans="1:13" s="230" customFormat="1" ht="35.25" customHeight="1" x14ac:dyDescent="0.25">
      <c r="A639" s="23" t="s">
        <v>1034</v>
      </c>
      <c r="B639" s="356">
        <v>906</v>
      </c>
      <c r="C639" s="24" t="s">
        <v>279</v>
      </c>
      <c r="D639" s="24" t="s">
        <v>228</v>
      </c>
      <c r="E639" s="24" t="s">
        <v>1035</v>
      </c>
      <c r="F639" s="24"/>
      <c r="G639" s="416">
        <f>G640+G643+G646+G649</f>
        <v>224</v>
      </c>
      <c r="H639" s="21">
        <f t="shared" ref="H639:I639" si="308">H640+H643+H646+H649</f>
        <v>2166.1999999999998</v>
      </c>
      <c r="I639" s="21">
        <f t="shared" si="308"/>
        <v>2166.1999999999998</v>
      </c>
      <c r="J639" s="212"/>
      <c r="K639" s="111"/>
      <c r="L639" s="111"/>
    </row>
    <row r="640" spans="1:13" s="230" customFormat="1" ht="35.25" hidden="1" customHeight="1" x14ac:dyDescent="0.25">
      <c r="A640" s="25" t="s">
        <v>455</v>
      </c>
      <c r="B640" s="37">
        <v>906</v>
      </c>
      <c r="C640" s="20" t="s">
        <v>279</v>
      </c>
      <c r="D640" s="20" t="s">
        <v>228</v>
      </c>
      <c r="E640" s="20" t="s">
        <v>1039</v>
      </c>
      <c r="F640" s="20"/>
      <c r="G640" s="415">
        <f>G641</f>
        <v>0</v>
      </c>
      <c r="H640" s="26">
        <f t="shared" ref="H640:I641" si="309">H641</f>
        <v>57.3</v>
      </c>
      <c r="I640" s="26">
        <f t="shared" si="309"/>
        <v>57.3</v>
      </c>
      <c r="J640" s="212"/>
      <c r="K640" s="111"/>
      <c r="L640" s="111"/>
    </row>
    <row r="641" spans="1:12" s="230" customFormat="1" ht="39.75" hidden="1" customHeight="1" x14ac:dyDescent="0.25">
      <c r="A641" s="25" t="s">
        <v>287</v>
      </c>
      <c r="B641" s="37">
        <v>906</v>
      </c>
      <c r="C641" s="20" t="s">
        <v>279</v>
      </c>
      <c r="D641" s="20" t="s">
        <v>228</v>
      </c>
      <c r="E641" s="20" t="s">
        <v>1039</v>
      </c>
      <c r="F641" s="20" t="s">
        <v>288</v>
      </c>
      <c r="G641" s="415">
        <f>G642</f>
        <v>0</v>
      </c>
      <c r="H641" s="26">
        <f t="shared" si="309"/>
        <v>57.3</v>
      </c>
      <c r="I641" s="26">
        <f t="shared" si="309"/>
        <v>57.3</v>
      </c>
      <c r="J641" s="212"/>
      <c r="K641" s="111"/>
      <c r="L641" s="111"/>
    </row>
    <row r="642" spans="1:12" s="230" customFormat="1" ht="18.75" hidden="1" customHeight="1" x14ac:dyDescent="0.25">
      <c r="A642" s="25" t="s">
        <v>289</v>
      </c>
      <c r="B642" s="37">
        <v>906</v>
      </c>
      <c r="C642" s="20" t="s">
        <v>279</v>
      </c>
      <c r="D642" s="20" t="s">
        <v>228</v>
      </c>
      <c r="E642" s="20" t="s">
        <v>1039</v>
      </c>
      <c r="F642" s="20" t="s">
        <v>290</v>
      </c>
      <c r="G642" s="415">
        <v>0</v>
      </c>
      <c r="H642" s="26">
        <f t="shared" ref="H642:I642" si="310">25.3+32</f>
        <v>57.3</v>
      </c>
      <c r="I642" s="26">
        <f t="shared" si="310"/>
        <v>57.3</v>
      </c>
      <c r="J642" s="212"/>
      <c r="K642" s="111"/>
      <c r="L642" s="111"/>
    </row>
    <row r="643" spans="1:12" s="230" customFormat="1" ht="41.25" hidden="1" customHeight="1" x14ac:dyDescent="0.25">
      <c r="A643" s="25" t="s">
        <v>293</v>
      </c>
      <c r="B643" s="37">
        <v>906</v>
      </c>
      <c r="C643" s="20" t="s">
        <v>279</v>
      </c>
      <c r="D643" s="20" t="s">
        <v>228</v>
      </c>
      <c r="E643" s="20" t="s">
        <v>1040</v>
      </c>
      <c r="F643" s="20"/>
      <c r="G643" s="415">
        <f>G644</f>
        <v>0</v>
      </c>
      <c r="H643" s="26">
        <f t="shared" ref="H643:I644" si="311">H644</f>
        <v>1337.5</v>
      </c>
      <c r="I643" s="26">
        <f t="shared" si="311"/>
        <v>1337.5</v>
      </c>
      <c r="J643" s="212"/>
      <c r="K643" s="111"/>
      <c r="L643" s="111"/>
    </row>
    <row r="644" spans="1:12" s="230" customFormat="1" ht="33" hidden="1" customHeight="1" x14ac:dyDescent="0.25">
      <c r="A644" s="25" t="s">
        <v>287</v>
      </c>
      <c r="B644" s="37">
        <v>906</v>
      </c>
      <c r="C644" s="20" t="s">
        <v>279</v>
      </c>
      <c r="D644" s="20" t="s">
        <v>228</v>
      </c>
      <c r="E644" s="20" t="s">
        <v>1040</v>
      </c>
      <c r="F644" s="20" t="s">
        <v>288</v>
      </c>
      <c r="G644" s="415">
        <f>G645</f>
        <v>0</v>
      </c>
      <c r="H644" s="26">
        <f t="shared" si="311"/>
        <v>1337.5</v>
      </c>
      <c r="I644" s="26">
        <f t="shared" si="311"/>
        <v>1337.5</v>
      </c>
      <c r="J644" s="212"/>
      <c r="K644" s="111"/>
      <c r="L644" s="111"/>
    </row>
    <row r="645" spans="1:12" s="230" customFormat="1" ht="18.75" hidden="1" customHeight="1" x14ac:dyDescent="0.25">
      <c r="A645" s="25" t="s">
        <v>289</v>
      </c>
      <c r="B645" s="37">
        <v>906</v>
      </c>
      <c r="C645" s="20" t="s">
        <v>279</v>
      </c>
      <c r="D645" s="20" t="s">
        <v>228</v>
      </c>
      <c r="E645" s="20" t="s">
        <v>1040</v>
      </c>
      <c r="F645" s="20" t="s">
        <v>290</v>
      </c>
      <c r="G645" s="415">
        <v>0</v>
      </c>
      <c r="H645" s="26">
        <f t="shared" ref="H645:I645" si="312">300+100-100+700+237.5+100</f>
        <v>1337.5</v>
      </c>
      <c r="I645" s="26">
        <f t="shared" si="312"/>
        <v>1337.5</v>
      </c>
      <c r="J645" s="212"/>
      <c r="K645" s="111"/>
      <c r="L645" s="111"/>
    </row>
    <row r="646" spans="1:12" s="230" customFormat="1" ht="31.5" hidden="1" customHeight="1" x14ac:dyDescent="0.25">
      <c r="A646" s="25" t="s">
        <v>295</v>
      </c>
      <c r="B646" s="37">
        <v>906</v>
      </c>
      <c r="C646" s="20" t="s">
        <v>279</v>
      </c>
      <c r="D646" s="20" t="s">
        <v>228</v>
      </c>
      <c r="E646" s="20" t="s">
        <v>1041</v>
      </c>
      <c r="F646" s="20"/>
      <c r="G646" s="415">
        <f>G647</f>
        <v>0</v>
      </c>
      <c r="H646" s="26">
        <f t="shared" ref="H646:I647" si="313">H647</f>
        <v>547.20000000000005</v>
      </c>
      <c r="I646" s="26">
        <f t="shared" si="313"/>
        <v>547.20000000000005</v>
      </c>
      <c r="J646" s="212"/>
      <c r="K646" s="111"/>
      <c r="L646" s="111"/>
    </row>
    <row r="647" spans="1:12" s="230" customFormat="1" ht="29.25" hidden="1" customHeight="1" x14ac:dyDescent="0.25">
      <c r="A647" s="25" t="s">
        <v>287</v>
      </c>
      <c r="B647" s="37">
        <v>906</v>
      </c>
      <c r="C647" s="20" t="s">
        <v>279</v>
      </c>
      <c r="D647" s="20" t="s">
        <v>228</v>
      </c>
      <c r="E647" s="20" t="s">
        <v>1041</v>
      </c>
      <c r="F647" s="20" t="s">
        <v>288</v>
      </c>
      <c r="G647" s="415">
        <f>G648</f>
        <v>0</v>
      </c>
      <c r="H647" s="26">
        <f t="shared" si="313"/>
        <v>547.20000000000005</v>
      </c>
      <c r="I647" s="26">
        <f t="shared" si="313"/>
        <v>547.20000000000005</v>
      </c>
      <c r="J647" s="212"/>
      <c r="K647" s="111"/>
      <c r="L647" s="111"/>
    </row>
    <row r="648" spans="1:12" s="230" customFormat="1" ht="18.75" hidden="1" customHeight="1" x14ac:dyDescent="0.25">
      <c r="A648" s="25" t="s">
        <v>289</v>
      </c>
      <c r="B648" s="37">
        <v>906</v>
      </c>
      <c r="C648" s="20" t="s">
        <v>279</v>
      </c>
      <c r="D648" s="20" t="s">
        <v>228</v>
      </c>
      <c r="E648" s="20" t="s">
        <v>1041</v>
      </c>
      <c r="F648" s="20" t="s">
        <v>290</v>
      </c>
      <c r="G648" s="415">
        <v>0</v>
      </c>
      <c r="H648" s="26">
        <v>547.20000000000005</v>
      </c>
      <c r="I648" s="26">
        <v>547.20000000000005</v>
      </c>
      <c r="J648" s="212"/>
      <c r="K648" s="111"/>
      <c r="L648" s="111"/>
    </row>
    <row r="649" spans="1:12" s="230" customFormat="1" ht="36" customHeight="1" x14ac:dyDescent="0.25">
      <c r="A649" s="25" t="s">
        <v>297</v>
      </c>
      <c r="B649" s="37">
        <v>906</v>
      </c>
      <c r="C649" s="20" t="s">
        <v>279</v>
      </c>
      <c r="D649" s="20" t="s">
        <v>228</v>
      </c>
      <c r="E649" s="20" t="s">
        <v>1042</v>
      </c>
      <c r="F649" s="20"/>
      <c r="G649" s="415">
        <f>G650</f>
        <v>224</v>
      </c>
      <c r="H649" s="26">
        <f t="shared" ref="H649:I650" si="314">H650</f>
        <v>224.2</v>
      </c>
      <c r="I649" s="26">
        <f t="shared" si="314"/>
        <v>224.2</v>
      </c>
      <c r="J649" s="212"/>
      <c r="K649" s="111"/>
      <c r="L649" s="111"/>
    </row>
    <row r="650" spans="1:12" s="230" customFormat="1" ht="39.75" customHeight="1" x14ac:dyDescent="0.25">
      <c r="A650" s="25" t="s">
        <v>287</v>
      </c>
      <c r="B650" s="37">
        <v>906</v>
      </c>
      <c r="C650" s="20" t="s">
        <v>279</v>
      </c>
      <c r="D650" s="20" t="s">
        <v>228</v>
      </c>
      <c r="E650" s="20" t="s">
        <v>1042</v>
      </c>
      <c r="F650" s="20" t="s">
        <v>288</v>
      </c>
      <c r="G650" s="415">
        <f>G651</f>
        <v>224</v>
      </c>
      <c r="H650" s="26">
        <f t="shared" si="314"/>
        <v>224.2</v>
      </c>
      <c r="I650" s="26">
        <f t="shared" si="314"/>
        <v>224.2</v>
      </c>
      <c r="J650" s="212"/>
      <c r="K650" s="111"/>
      <c r="L650" s="111"/>
    </row>
    <row r="651" spans="1:12" s="230" customFormat="1" ht="18.75" customHeight="1" x14ac:dyDescent="0.25">
      <c r="A651" s="25" t="s">
        <v>289</v>
      </c>
      <c r="B651" s="37">
        <v>906</v>
      </c>
      <c r="C651" s="20" t="s">
        <v>279</v>
      </c>
      <c r="D651" s="20" t="s">
        <v>228</v>
      </c>
      <c r="E651" s="20" t="s">
        <v>1042</v>
      </c>
      <c r="F651" s="20" t="s">
        <v>290</v>
      </c>
      <c r="G651" s="415">
        <f>127-72+72+97.2-0.2</f>
        <v>224</v>
      </c>
      <c r="H651" s="26">
        <f t="shared" ref="H651:I651" si="315">127-72+72+97.2</f>
        <v>224.2</v>
      </c>
      <c r="I651" s="26">
        <f t="shared" si="315"/>
        <v>224.2</v>
      </c>
      <c r="J651" s="212"/>
      <c r="K651" s="111"/>
      <c r="L651" s="111"/>
    </row>
    <row r="652" spans="1:12" s="230" customFormat="1" ht="33" customHeight="1" x14ac:dyDescent="0.25">
      <c r="A652" s="23" t="s">
        <v>1036</v>
      </c>
      <c r="B652" s="356">
        <v>906</v>
      </c>
      <c r="C652" s="24" t="s">
        <v>279</v>
      </c>
      <c r="D652" s="24" t="s">
        <v>228</v>
      </c>
      <c r="E652" s="24" t="s">
        <v>1037</v>
      </c>
      <c r="F652" s="24"/>
      <c r="G652" s="416">
        <f>G653+G656</f>
        <v>3940</v>
      </c>
      <c r="H652" s="21">
        <f t="shared" ref="H652:I652" si="316">H653+H656</f>
        <v>4582.8</v>
      </c>
      <c r="I652" s="21">
        <f t="shared" si="316"/>
        <v>4582.8</v>
      </c>
      <c r="J652" s="212"/>
      <c r="K652" s="111"/>
      <c r="L652" s="111"/>
    </row>
    <row r="653" spans="1:12" ht="52.5" customHeight="1" x14ac:dyDescent="0.25">
      <c r="A653" s="271" t="s">
        <v>451</v>
      </c>
      <c r="B653" s="37">
        <v>906</v>
      </c>
      <c r="C653" s="20" t="s">
        <v>279</v>
      </c>
      <c r="D653" s="20" t="s">
        <v>228</v>
      </c>
      <c r="E653" s="20" t="s">
        <v>1043</v>
      </c>
      <c r="F653" s="20"/>
      <c r="G653" s="415">
        <f>G654</f>
        <v>2200</v>
      </c>
      <c r="H653" s="26">
        <f t="shared" ref="H653:I654" si="317">H654</f>
        <v>2914.2000000000003</v>
      </c>
      <c r="I653" s="26">
        <f t="shared" si="317"/>
        <v>2914.2000000000003</v>
      </c>
      <c r="L653" s="111"/>
    </row>
    <row r="654" spans="1:12" ht="31.5" x14ac:dyDescent="0.25">
      <c r="A654" s="25" t="s">
        <v>287</v>
      </c>
      <c r="B654" s="37">
        <v>906</v>
      </c>
      <c r="C654" s="20" t="s">
        <v>279</v>
      </c>
      <c r="D654" s="20" t="s">
        <v>228</v>
      </c>
      <c r="E654" s="20" t="s">
        <v>1043</v>
      </c>
      <c r="F654" s="20" t="s">
        <v>288</v>
      </c>
      <c r="G654" s="415">
        <f>G655</f>
        <v>2200</v>
      </c>
      <c r="H654" s="26">
        <f t="shared" si="317"/>
        <v>2914.2000000000003</v>
      </c>
      <c r="I654" s="26">
        <f t="shared" si="317"/>
        <v>2914.2000000000003</v>
      </c>
      <c r="L654" s="111"/>
    </row>
    <row r="655" spans="1:12" ht="15.75" x14ac:dyDescent="0.25">
      <c r="A655" s="25" t="s">
        <v>289</v>
      </c>
      <c r="B655" s="37">
        <v>906</v>
      </c>
      <c r="C655" s="20" t="s">
        <v>279</v>
      </c>
      <c r="D655" s="20" t="s">
        <v>228</v>
      </c>
      <c r="E655" s="20" t="s">
        <v>1043</v>
      </c>
      <c r="F655" s="20" t="s">
        <v>290</v>
      </c>
      <c r="G655" s="419">
        <v>2200</v>
      </c>
      <c r="H655" s="27">
        <f t="shared" ref="H655:I655" si="318">2967.9-53.7</f>
        <v>2914.2000000000003</v>
      </c>
      <c r="I655" s="27">
        <f t="shared" si="318"/>
        <v>2914.2000000000003</v>
      </c>
      <c r="J655" s="242"/>
      <c r="L655" s="111"/>
    </row>
    <row r="656" spans="1:12" s="230" customFormat="1" ht="15.75" x14ac:dyDescent="0.25">
      <c r="A656" s="25" t="s">
        <v>471</v>
      </c>
      <c r="B656" s="37">
        <v>906</v>
      </c>
      <c r="C656" s="20" t="s">
        <v>279</v>
      </c>
      <c r="D656" s="20" t="s">
        <v>228</v>
      </c>
      <c r="E656" s="20" t="s">
        <v>1044</v>
      </c>
      <c r="F656" s="20"/>
      <c r="G656" s="415">
        <f>G657</f>
        <v>1740</v>
      </c>
      <c r="H656" s="26">
        <f t="shared" ref="H656:I657" si="319">H657</f>
        <v>1668.6</v>
      </c>
      <c r="I656" s="26">
        <f t="shared" si="319"/>
        <v>1668.6</v>
      </c>
      <c r="J656" s="242"/>
      <c r="K656" s="111"/>
      <c r="L656" s="111"/>
    </row>
    <row r="657" spans="1:12" s="230" customFormat="1" ht="31.5" x14ac:dyDescent="0.25">
      <c r="A657" s="25" t="s">
        <v>287</v>
      </c>
      <c r="B657" s="37">
        <v>906</v>
      </c>
      <c r="C657" s="20" t="s">
        <v>279</v>
      </c>
      <c r="D657" s="20" t="s">
        <v>228</v>
      </c>
      <c r="E657" s="20" t="s">
        <v>1044</v>
      </c>
      <c r="F657" s="20" t="s">
        <v>288</v>
      </c>
      <c r="G657" s="415">
        <f>G658</f>
        <v>1740</v>
      </c>
      <c r="H657" s="26">
        <f t="shared" si="319"/>
        <v>1668.6</v>
      </c>
      <c r="I657" s="26">
        <f t="shared" si="319"/>
        <v>1668.6</v>
      </c>
      <c r="J657" s="242"/>
      <c r="K657" s="111"/>
      <c r="L657" s="111"/>
    </row>
    <row r="658" spans="1:12" s="230" customFormat="1" ht="15.75" x14ac:dyDescent="0.25">
      <c r="A658" s="25" t="s">
        <v>289</v>
      </c>
      <c r="B658" s="37">
        <v>906</v>
      </c>
      <c r="C658" s="20" t="s">
        <v>279</v>
      </c>
      <c r="D658" s="20" t="s">
        <v>228</v>
      </c>
      <c r="E658" s="20" t="s">
        <v>1044</v>
      </c>
      <c r="F658" s="20" t="s">
        <v>290</v>
      </c>
      <c r="G658" s="419">
        <v>1740</v>
      </c>
      <c r="H658" s="27">
        <f t="shared" ref="H658:I658" si="320">1317.5+351.1</f>
        <v>1668.6</v>
      </c>
      <c r="I658" s="27">
        <f t="shared" si="320"/>
        <v>1668.6</v>
      </c>
      <c r="J658" s="242"/>
      <c r="K658" s="111"/>
      <c r="L658" s="111"/>
    </row>
    <row r="659" spans="1:12" s="230" customFormat="1" ht="34.5" customHeight="1" x14ac:dyDescent="0.25">
      <c r="A659" s="23" t="s">
        <v>1038</v>
      </c>
      <c r="B659" s="356">
        <v>906</v>
      </c>
      <c r="C659" s="24" t="s">
        <v>279</v>
      </c>
      <c r="D659" s="24" t="s">
        <v>228</v>
      </c>
      <c r="E659" s="24" t="s">
        <v>1045</v>
      </c>
      <c r="F659" s="24"/>
      <c r="G659" s="315">
        <f>G660+G663</f>
        <v>1364.7</v>
      </c>
      <c r="H659" s="44">
        <f t="shared" ref="H659:I659" si="321">H660+H663</f>
        <v>912.7</v>
      </c>
      <c r="I659" s="44">
        <f t="shared" si="321"/>
        <v>912.7</v>
      </c>
      <c r="J659" s="242"/>
      <c r="K659" s="111"/>
      <c r="L659" s="111"/>
    </row>
    <row r="660" spans="1:12" ht="31.5" x14ac:dyDescent="0.25">
      <c r="A660" s="25" t="s">
        <v>453</v>
      </c>
      <c r="B660" s="37">
        <v>906</v>
      </c>
      <c r="C660" s="20" t="s">
        <v>279</v>
      </c>
      <c r="D660" s="20" t="s">
        <v>228</v>
      </c>
      <c r="E660" s="20" t="s">
        <v>1046</v>
      </c>
      <c r="F660" s="20"/>
      <c r="G660" s="415">
        <f>G661</f>
        <v>868</v>
      </c>
      <c r="H660" s="26">
        <f t="shared" ref="H660:I661" si="322">H661</f>
        <v>416</v>
      </c>
      <c r="I660" s="26">
        <f t="shared" si="322"/>
        <v>416</v>
      </c>
      <c r="L660" s="111"/>
    </row>
    <row r="661" spans="1:12" ht="31.5" x14ac:dyDescent="0.25">
      <c r="A661" s="25" t="s">
        <v>287</v>
      </c>
      <c r="B661" s="37">
        <v>906</v>
      </c>
      <c r="C661" s="20" t="s">
        <v>279</v>
      </c>
      <c r="D661" s="20" t="s">
        <v>228</v>
      </c>
      <c r="E661" s="20" t="s">
        <v>1046</v>
      </c>
      <c r="F661" s="20" t="s">
        <v>288</v>
      </c>
      <c r="G661" s="415">
        <f>G662</f>
        <v>868</v>
      </c>
      <c r="H661" s="26">
        <f t="shared" si="322"/>
        <v>416</v>
      </c>
      <c r="I661" s="26">
        <f t="shared" si="322"/>
        <v>416</v>
      </c>
      <c r="J661" s="242"/>
      <c r="L661" s="111"/>
    </row>
    <row r="662" spans="1:12" ht="15.75" x14ac:dyDescent="0.25">
      <c r="A662" s="25" t="s">
        <v>289</v>
      </c>
      <c r="B662" s="37">
        <v>906</v>
      </c>
      <c r="C662" s="20" t="s">
        <v>279</v>
      </c>
      <c r="D662" s="20" t="s">
        <v>228</v>
      </c>
      <c r="E662" s="20" t="s">
        <v>1046</v>
      </c>
      <c r="F662" s="20" t="s">
        <v>290</v>
      </c>
      <c r="G662" s="415">
        <v>868</v>
      </c>
      <c r="H662" s="26">
        <f t="shared" ref="H662:I662" si="323">320+96</f>
        <v>416</v>
      </c>
      <c r="I662" s="26">
        <f t="shared" si="323"/>
        <v>416</v>
      </c>
      <c r="L662" s="111"/>
    </row>
    <row r="663" spans="1:12" s="230" customFormat="1" ht="31.5" x14ac:dyDescent="0.25">
      <c r="A663" s="25" t="s">
        <v>473</v>
      </c>
      <c r="B663" s="37">
        <v>906</v>
      </c>
      <c r="C663" s="20" t="s">
        <v>279</v>
      </c>
      <c r="D663" s="20" t="s">
        <v>228</v>
      </c>
      <c r="E663" s="20" t="s">
        <v>1047</v>
      </c>
      <c r="F663" s="20"/>
      <c r="G663" s="419">
        <f>G664</f>
        <v>496.7</v>
      </c>
      <c r="H663" s="27">
        <f t="shared" ref="H663:I664" si="324">H664</f>
        <v>496.7</v>
      </c>
      <c r="I663" s="27">
        <f t="shared" si="324"/>
        <v>496.7</v>
      </c>
      <c r="J663" s="212"/>
      <c r="K663" s="111"/>
      <c r="L663" s="111"/>
    </row>
    <row r="664" spans="1:12" s="230" customFormat="1" ht="31.5" x14ac:dyDescent="0.25">
      <c r="A664" s="354" t="s">
        <v>287</v>
      </c>
      <c r="B664" s="16">
        <v>906</v>
      </c>
      <c r="C664" s="20" t="s">
        <v>279</v>
      </c>
      <c r="D664" s="20" t="s">
        <v>228</v>
      </c>
      <c r="E664" s="20" t="s">
        <v>1047</v>
      </c>
      <c r="F664" s="20" t="s">
        <v>288</v>
      </c>
      <c r="G664" s="419">
        <f>G665</f>
        <v>496.7</v>
      </c>
      <c r="H664" s="27">
        <f t="shared" si="324"/>
        <v>496.7</v>
      </c>
      <c r="I664" s="27">
        <f t="shared" si="324"/>
        <v>496.7</v>
      </c>
      <c r="J664" s="212"/>
      <c r="K664" s="111"/>
      <c r="L664" s="111"/>
    </row>
    <row r="665" spans="1:12" s="230" customFormat="1" ht="15.75" x14ac:dyDescent="0.25">
      <c r="A665" s="25" t="s">
        <v>289</v>
      </c>
      <c r="B665" s="16">
        <v>906</v>
      </c>
      <c r="C665" s="20" t="s">
        <v>279</v>
      </c>
      <c r="D665" s="20" t="s">
        <v>228</v>
      </c>
      <c r="E665" s="20" t="s">
        <v>1047</v>
      </c>
      <c r="F665" s="20" t="s">
        <v>290</v>
      </c>
      <c r="G665" s="419">
        <f>733.5-244.8+8</f>
        <v>496.7</v>
      </c>
      <c r="H665" s="27">
        <f t="shared" ref="H665:I665" si="325">733.5-244.8+8</f>
        <v>496.7</v>
      </c>
      <c r="I665" s="27">
        <f t="shared" si="325"/>
        <v>496.7</v>
      </c>
      <c r="J665" s="212"/>
      <c r="K665" s="111"/>
      <c r="L665" s="111"/>
    </row>
    <row r="666" spans="1:12" s="230" customFormat="1" ht="31.5" x14ac:dyDescent="0.25">
      <c r="A666" s="281" t="s">
        <v>1082</v>
      </c>
      <c r="B666" s="19">
        <v>906</v>
      </c>
      <c r="C666" s="24" t="s">
        <v>279</v>
      </c>
      <c r="D666" s="24" t="s">
        <v>228</v>
      </c>
      <c r="E666" s="24" t="s">
        <v>1048</v>
      </c>
      <c r="F666" s="24"/>
      <c r="G666" s="315">
        <f>G667+G670</f>
        <v>2634</v>
      </c>
      <c r="H666" s="44">
        <f t="shared" ref="H666:I666" si="326">H667+H670</f>
        <v>3346.1</v>
      </c>
      <c r="I666" s="44">
        <f t="shared" si="326"/>
        <v>3346.1</v>
      </c>
      <c r="J666" s="212"/>
      <c r="K666" s="111"/>
      <c r="L666" s="111"/>
    </row>
    <row r="667" spans="1:12" ht="15.75" hidden="1" x14ac:dyDescent="0.25">
      <c r="A667" s="25" t="s">
        <v>816</v>
      </c>
      <c r="B667" s="16">
        <v>906</v>
      </c>
      <c r="C667" s="20" t="s">
        <v>279</v>
      </c>
      <c r="D667" s="20" t="s">
        <v>228</v>
      </c>
      <c r="E667" s="20" t="s">
        <v>1050</v>
      </c>
      <c r="F667" s="20"/>
      <c r="G667" s="415">
        <f>G668</f>
        <v>0</v>
      </c>
      <c r="H667" s="26">
        <f t="shared" ref="H667:I668" si="327">H668</f>
        <v>712.1</v>
      </c>
      <c r="I667" s="26">
        <f t="shared" si="327"/>
        <v>712.1</v>
      </c>
      <c r="L667" s="111"/>
    </row>
    <row r="668" spans="1:12" ht="31.5" hidden="1" x14ac:dyDescent="0.25">
      <c r="A668" s="25" t="s">
        <v>287</v>
      </c>
      <c r="B668" s="16">
        <v>906</v>
      </c>
      <c r="C668" s="20" t="s">
        <v>279</v>
      </c>
      <c r="D668" s="20" t="s">
        <v>228</v>
      </c>
      <c r="E668" s="20" t="s">
        <v>1050</v>
      </c>
      <c r="F668" s="20" t="s">
        <v>288</v>
      </c>
      <c r="G668" s="415">
        <f>G669</f>
        <v>0</v>
      </c>
      <c r="H668" s="26">
        <f t="shared" si="327"/>
        <v>712.1</v>
      </c>
      <c r="I668" s="26">
        <f t="shared" si="327"/>
        <v>712.1</v>
      </c>
      <c r="L668" s="111"/>
    </row>
    <row r="669" spans="1:12" ht="15.75" hidden="1" x14ac:dyDescent="0.25">
      <c r="A669" s="25" t="s">
        <v>289</v>
      </c>
      <c r="B669" s="16">
        <v>906</v>
      </c>
      <c r="C669" s="20" t="s">
        <v>279</v>
      </c>
      <c r="D669" s="20" t="s">
        <v>228</v>
      </c>
      <c r="E669" s="20" t="s">
        <v>1050</v>
      </c>
      <c r="F669" s="20" t="s">
        <v>290</v>
      </c>
      <c r="G669" s="415">
        <v>0</v>
      </c>
      <c r="H669" s="26">
        <v>712.1</v>
      </c>
      <c r="I669" s="26">
        <v>712.1</v>
      </c>
      <c r="J669" s="240"/>
      <c r="K669" s="249"/>
      <c r="L669" s="111"/>
    </row>
    <row r="670" spans="1:12" ht="38.25" customHeight="1" x14ac:dyDescent="0.25">
      <c r="A670" s="60" t="s">
        <v>786</v>
      </c>
      <c r="B670" s="16">
        <v>906</v>
      </c>
      <c r="C670" s="20" t="s">
        <v>279</v>
      </c>
      <c r="D670" s="20" t="s">
        <v>228</v>
      </c>
      <c r="E670" s="20" t="s">
        <v>1051</v>
      </c>
      <c r="F670" s="20"/>
      <c r="G670" s="415">
        <f>G671</f>
        <v>2634</v>
      </c>
      <c r="H670" s="26">
        <f t="shared" ref="H670:I671" si="328">H671</f>
        <v>2634</v>
      </c>
      <c r="I670" s="26">
        <f t="shared" si="328"/>
        <v>2634</v>
      </c>
      <c r="L670" s="111"/>
    </row>
    <row r="671" spans="1:12" ht="31.5" x14ac:dyDescent="0.25">
      <c r="A671" s="29" t="s">
        <v>287</v>
      </c>
      <c r="B671" s="16">
        <v>906</v>
      </c>
      <c r="C671" s="20" t="s">
        <v>279</v>
      </c>
      <c r="D671" s="20" t="s">
        <v>228</v>
      </c>
      <c r="E671" s="20" t="s">
        <v>1051</v>
      </c>
      <c r="F671" s="20" t="s">
        <v>288</v>
      </c>
      <c r="G671" s="415">
        <f>G672</f>
        <v>2634</v>
      </c>
      <c r="H671" s="26">
        <f t="shared" si="328"/>
        <v>2634</v>
      </c>
      <c r="I671" s="26">
        <f t="shared" si="328"/>
        <v>2634</v>
      </c>
      <c r="L671" s="111"/>
    </row>
    <row r="672" spans="1:12" ht="15.75" x14ac:dyDescent="0.25">
      <c r="A672" s="195" t="s">
        <v>289</v>
      </c>
      <c r="B672" s="16">
        <v>906</v>
      </c>
      <c r="C672" s="20" t="s">
        <v>279</v>
      </c>
      <c r="D672" s="20" t="s">
        <v>228</v>
      </c>
      <c r="E672" s="20" t="s">
        <v>1051</v>
      </c>
      <c r="F672" s="20" t="s">
        <v>290</v>
      </c>
      <c r="G672" s="415">
        <f>2634</f>
        <v>2634</v>
      </c>
      <c r="H672" s="26">
        <f>2634</f>
        <v>2634</v>
      </c>
      <c r="I672" s="26">
        <f>2634</f>
        <v>2634</v>
      </c>
      <c r="J672" s="240"/>
      <c r="L672" s="225"/>
    </row>
    <row r="673" spans="1:12" s="230" customFormat="1" ht="31.5" x14ac:dyDescent="0.25">
      <c r="A673" s="279" t="s">
        <v>1053</v>
      </c>
      <c r="B673" s="19">
        <v>906</v>
      </c>
      <c r="C673" s="24" t="s">
        <v>279</v>
      </c>
      <c r="D673" s="24" t="s">
        <v>228</v>
      </c>
      <c r="E673" s="24" t="s">
        <v>1049</v>
      </c>
      <c r="F673" s="24"/>
      <c r="G673" s="416">
        <f>G674</f>
        <v>678</v>
      </c>
      <c r="H673" s="21">
        <f t="shared" ref="H673:I675" si="329">H674</f>
        <v>621.6</v>
      </c>
      <c r="I673" s="21">
        <f t="shared" si="329"/>
        <v>621.6</v>
      </c>
      <c r="J673" s="249"/>
      <c r="K673" s="111"/>
      <c r="L673" s="267"/>
    </row>
    <row r="674" spans="1:12" s="230" customFormat="1" ht="47.25" x14ac:dyDescent="0.25">
      <c r="A674" s="195" t="s">
        <v>875</v>
      </c>
      <c r="B674" s="16">
        <v>906</v>
      </c>
      <c r="C674" s="20" t="s">
        <v>279</v>
      </c>
      <c r="D674" s="20" t="s">
        <v>228</v>
      </c>
      <c r="E674" s="20" t="s">
        <v>1052</v>
      </c>
      <c r="F674" s="20"/>
      <c r="G674" s="415">
        <f>G675</f>
        <v>678</v>
      </c>
      <c r="H674" s="26">
        <f t="shared" si="329"/>
        <v>621.6</v>
      </c>
      <c r="I674" s="26">
        <f t="shared" si="329"/>
        <v>621.6</v>
      </c>
      <c r="J674" s="249"/>
      <c r="K674" s="111"/>
      <c r="L674" s="225"/>
    </row>
    <row r="675" spans="1:12" s="230" customFormat="1" ht="31.5" x14ac:dyDescent="0.25">
      <c r="A675" s="31" t="s">
        <v>287</v>
      </c>
      <c r="B675" s="16">
        <v>906</v>
      </c>
      <c r="C675" s="20" t="s">
        <v>279</v>
      </c>
      <c r="D675" s="20" t="s">
        <v>228</v>
      </c>
      <c r="E675" s="20" t="s">
        <v>1052</v>
      </c>
      <c r="F675" s="20" t="s">
        <v>288</v>
      </c>
      <c r="G675" s="415">
        <f>G676</f>
        <v>678</v>
      </c>
      <c r="H675" s="26">
        <f t="shared" si="329"/>
        <v>621.6</v>
      </c>
      <c r="I675" s="26">
        <f t="shared" si="329"/>
        <v>621.6</v>
      </c>
      <c r="J675" s="249"/>
      <c r="K675" s="111"/>
      <c r="L675" s="225"/>
    </row>
    <row r="676" spans="1:12" s="230" customFormat="1" ht="15.75" x14ac:dyDescent="0.25">
      <c r="A676" s="31" t="s">
        <v>289</v>
      </c>
      <c r="B676" s="16">
        <v>906</v>
      </c>
      <c r="C676" s="20" t="s">
        <v>279</v>
      </c>
      <c r="D676" s="20" t="s">
        <v>228</v>
      </c>
      <c r="E676" s="20" t="s">
        <v>1052</v>
      </c>
      <c r="F676" s="20" t="s">
        <v>290</v>
      </c>
      <c r="G676" s="415">
        <v>678</v>
      </c>
      <c r="H676" s="26">
        <v>621.6</v>
      </c>
      <c r="I676" s="26">
        <v>621.6</v>
      </c>
      <c r="J676" s="249"/>
      <c r="K676" s="111"/>
      <c r="L676" s="225"/>
    </row>
    <row r="677" spans="1:12" ht="47.25" hidden="1" x14ac:dyDescent="0.25">
      <c r="A677" s="34" t="s">
        <v>804</v>
      </c>
      <c r="B677" s="19">
        <v>906</v>
      </c>
      <c r="C677" s="24" t="s">
        <v>279</v>
      </c>
      <c r="D677" s="24" t="s">
        <v>228</v>
      </c>
      <c r="E677" s="24" t="s">
        <v>339</v>
      </c>
      <c r="F677" s="24"/>
      <c r="G677" s="416">
        <f>G678</f>
        <v>0</v>
      </c>
      <c r="H677" s="21">
        <f t="shared" ref="H677:I680" si="330">H678</f>
        <v>150</v>
      </c>
      <c r="I677" s="21">
        <f t="shared" si="330"/>
        <v>150</v>
      </c>
      <c r="L677" s="224"/>
    </row>
    <row r="678" spans="1:12" s="230" customFormat="1" ht="31.5" hidden="1" x14ac:dyDescent="0.25">
      <c r="A678" s="34" t="s">
        <v>1197</v>
      </c>
      <c r="B678" s="19">
        <v>906</v>
      </c>
      <c r="C678" s="24" t="s">
        <v>279</v>
      </c>
      <c r="D678" s="24" t="s">
        <v>228</v>
      </c>
      <c r="E678" s="24" t="s">
        <v>1030</v>
      </c>
      <c r="F678" s="24"/>
      <c r="G678" s="416">
        <f>G679</f>
        <v>0</v>
      </c>
      <c r="H678" s="21">
        <f t="shared" si="330"/>
        <v>150</v>
      </c>
      <c r="I678" s="21">
        <f t="shared" si="330"/>
        <v>150</v>
      </c>
      <c r="J678" s="212"/>
      <c r="K678" s="111"/>
      <c r="L678" s="224"/>
    </row>
    <row r="679" spans="1:12" ht="31.5" hidden="1" x14ac:dyDescent="0.25">
      <c r="A679" s="31" t="s">
        <v>1285</v>
      </c>
      <c r="B679" s="16">
        <v>906</v>
      </c>
      <c r="C679" s="20" t="s">
        <v>279</v>
      </c>
      <c r="D679" s="20" t="s">
        <v>228</v>
      </c>
      <c r="E679" s="20" t="s">
        <v>1031</v>
      </c>
      <c r="F679" s="20"/>
      <c r="G679" s="415">
        <f>G680</f>
        <v>0</v>
      </c>
      <c r="H679" s="26">
        <f t="shared" si="330"/>
        <v>150</v>
      </c>
      <c r="I679" s="26">
        <f t="shared" si="330"/>
        <v>150</v>
      </c>
      <c r="L679" s="111"/>
    </row>
    <row r="680" spans="1:12" ht="31.5" hidden="1" x14ac:dyDescent="0.25">
      <c r="A680" s="31" t="s">
        <v>287</v>
      </c>
      <c r="B680" s="16">
        <v>906</v>
      </c>
      <c r="C680" s="20" t="s">
        <v>279</v>
      </c>
      <c r="D680" s="20" t="s">
        <v>228</v>
      </c>
      <c r="E680" s="20" t="s">
        <v>1031</v>
      </c>
      <c r="F680" s="20" t="s">
        <v>288</v>
      </c>
      <c r="G680" s="415">
        <f>G681</f>
        <v>0</v>
      </c>
      <c r="H680" s="26">
        <f t="shared" si="330"/>
        <v>150</v>
      </c>
      <c r="I680" s="26">
        <f t="shared" si="330"/>
        <v>150</v>
      </c>
      <c r="L680" s="111"/>
    </row>
    <row r="681" spans="1:12" ht="15.75" hidden="1" x14ac:dyDescent="0.25">
      <c r="A681" s="31" t="s">
        <v>289</v>
      </c>
      <c r="B681" s="16">
        <v>906</v>
      </c>
      <c r="C681" s="20" t="s">
        <v>279</v>
      </c>
      <c r="D681" s="20" t="s">
        <v>228</v>
      </c>
      <c r="E681" s="20" t="s">
        <v>1031</v>
      </c>
      <c r="F681" s="20" t="s">
        <v>290</v>
      </c>
      <c r="G681" s="415">
        <v>0</v>
      </c>
      <c r="H681" s="26">
        <v>150</v>
      </c>
      <c r="I681" s="26">
        <v>150</v>
      </c>
      <c r="L681" s="111"/>
    </row>
    <row r="682" spans="1:12" s="230" customFormat="1" ht="44.25" customHeight="1" x14ac:dyDescent="0.25">
      <c r="A682" s="279" t="s">
        <v>1441</v>
      </c>
      <c r="B682" s="19">
        <v>906</v>
      </c>
      <c r="C682" s="24" t="s">
        <v>279</v>
      </c>
      <c r="D682" s="24" t="s">
        <v>228</v>
      </c>
      <c r="E682" s="24" t="s">
        <v>1438</v>
      </c>
      <c r="F682" s="24"/>
      <c r="G682" s="416">
        <f>G683</f>
        <v>1117.0999999999999</v>
      </c>
      <c r="H682" s="26"/>
      <c r="I682" s="26"/>
      <c r="J682" s="212"/>
      <c r="K682" s="111"/>
      <c r="L682" s="111"/>
    </row>
    <row r="683" spans="1:12" s="230" customFormat="1" ht="31.5" x14ac:dyDescent="0.25">
      <c r="A683" s="195" t="s">
        <v>1440</v>
      </c>
      <c r="B683" s="16">
        <v>906</v>
      </c>
      <c r="C683" s="20" t="s">
        <v>279</v>
      </c>
      <c r="D683" s="20" t="s">
        <v>228</v>
      </c>
      <c r="E683" s="20" t="s">
        <v>1439</v>
      </c>
      <c r="F683" s="20"/>
      <c r="G683" s="415">
        <f>G684</f>
        <v>1117.0999999999999</v>
      </c>
      <c r="H683" s="26"/>
      <c r="I683" s="26"/>
      <c r="J683" s="212"/>
      <c r="K683" s="111"/>
      <c r="L683" s="111"/>
    </row>
    <row r="684" spans="1:12" s="230" customFormat="1" ht="31.5" x14ac:dyDescent="0.25">
      <c r="A684" s="31" t="s">
        <v>287</v>
      </c>
      <c r="B684" s="16">
        <v>906</v>
      </c>
      <c r="C684" s="20" t="s">
        <v>279</v>
      </c>
      <c r="D684" s="20" t="s">
        <v>228</v>
      </c>
      <c r="E684" s="20" t="s">
        <v>1439</v>
      </c>
      <c r="F684" s="20" t="s">
        <v>288</v>
      </c>
      <c r="G684" s="415">
        <f>G685</f>
        <v>1117.0999999999999</v>
      </c>
      <c r="H684" s="26"/>
      <c r="I684" s="26"/>
      <c r="J684" s="212"/>
      <c r="K684" s="111"/>
      <c r="L684" s="111"/>
    </row>
    <row r="685" spans="1:12" s="230" customFormat="1" ht="15.75" x14ac:dyDescent="0.25">
      <c r="A685" s="31" t="s">
        <v>289</v>
      </c>
      <c r="B685" s="16">
        <v>906</v>
      </c>
      <c r="C685" s="20" t="s">
        <v>279</v>
      </c>
      <c r="D685" s="20" t="s">
        <v>228</v>
      </c>
      <c r="E685" s="20" t="s">
        <v>1439</v>
      </c>
      <c r="F685" s="20" t="s">
        <v>290</v>
      </c>
      <c r="G685" s="415">
        <v>1117.0999999999999</v>
      </c>
      <c r="H685" s="26"/>
      <c r="I685" s="26"/>
      <c r="J685" s="212"/>
      <c r="K685" s="111"/>
      <c r="L685" s="111"/>
    </row>
    <row r="686" spans="1:12" ht="31.5" x14ac:dyDescent="0.25">
      <c r="A686" s="41" t="s">
        <v>1185</v>
      </c>
      <c r="B686" s="19">
        <v>906</v>
      </c>
      <c r="C686" s="24" t="s">
        <v>279</v>
      </c>
      <c r="D686" s="24" t="s">
        <v>228</v>
      </c>
      <c r="E686" s="24" t="s">
        <v>727</v>
      </c>
      <c r="F686" s="285"/>
      <c r="G686" s="416">
        <f>G687</f>
        <v>723.3</v>
      </c>
      <c r="H686" s="21">
        <f t="shared" ref="H686:I689" si="331">H687</f>
        <v>723.3</v>
      </c>
      <c r="I686" s="21">
        <f t="shared" si="331"/>
        <v>723.3</v>
      </c>
      <c r="J686" s="212" t="s">
        <v>1186</v>
      </c>
      <c r="L686" s="111"/>
    </row>
    <row r="687" spans="1:12" s="230" customFormat="1" ht="31.5" x14ac:dyDescent="0.25">
      <c r="A687" s="41" t="s">
        <v>951</v>
      </c>
      <c r="B687" s="19">
        <v>906</v>
      </c>
      <c r="C687" s="24" t="s">
        <v>279</v>
      </c>
      <c r="D687" s="24" t="s">
        <v>228</v>
      </c>
      <c r="E687" s="24" t="s">
        <v>949</v>
      </c>
      <c r="F687" s="285"/>
      <c r="G687" s="416">
        <f>G688</f>
        <v>723.3</v>
      </c>
      <c r="H687" s="21">
        <f t="shared" si="331"/>
        <v>723.3</v>
      </c>
      <c r="I687" s="21">
        <f t="shared" si="331"/>
        <v>723.3</v>
      </c>
      <c r="J687" s="212"/>
      <c r="K687" s="111"/>
      <c r="L687" s="111"/>
    </row>
    <row r="688" spans="1:12" ht="35.25" customHeight="1" x14ac:dyDescent="0.25">
      <c r="A688" s="101" t="s">
        <v>802</v>
      </c>
      <c r="B688" s="16">
        <v>906</v>
      </c>
      <c r="C688" s="20" t="s">
        <v>279</v>
      </c>
      <c r="D688" s="20" t="s">
        <v>228</v>
      </c>
      <c r="E688" s="20" t="s">
        <v>1032</v>
      </c>
      <c r="F688" s="32"/>
      <c r="G688" s="415">
        <f>G689</f>
        <v>723.3</v>
      </c>
      <c r="H688" s="26">
        <f t="shared" si="331"/>
        <v>723.3</v>
      </c>
      <c r="I688" s="26">
        <f t="shared" si="331"/>
        <v>723.3</v>
      </c>
      <c r="L688" s="111"/>
    </row>
    <row r="689" spans="1:12" ht="39.75" customHeight="1" x14ac:dyDescent="0.25">
      <c r="A689" s="29" t="s">
        <v>287</v>
      </c>
      <c r="B689" s="16">
        <v>906</v>
      </c>
      <c r="C689" s="20" t="s">
        <v>279</v>
      </c>
      <c r="D689" s="20" t="s">
        <v>228</v>
      </c>
      <c r="E689" s="20" t="s">
        <v>1032</v>
      </c>
      <c r="F689" s="32" t="s">
        <v>288</v>
      </c>
      <c r="G689" s="415">
        <f>G690</f>
        <v>723.3</v>
      </c>
      <c r="H689" s="26">
        <f t="shared" si="331"/>
        <v>723.3</v>
      </c>
      <c r="I689" s="26">
        <f t="shared" si="331"/>
        <v>723.3</v>
      </c>
      <c r="L689" s="111"/>
    </row>
    <row r="690" spans="1:12" ht="15.75" x14ac:dyDescent="0.25">
      <c r="A690" s="195" t="s">
        <v>289</v>
      </c>
      <c r="B690" s="16">
        <v>906</v>
      </c>
      <c r="C690" s="20" t="s">
        <v>279</v>
      </c>
      <c r="D690" s="20" t="s">
        <v>228</v>
      </c>
      <c r="E690" s="20" t="s">
        <v>1032</v>
      </c>
      <c r="F690" s="32" t="s">
        <v>290</v>
      </c>
      <c r="G690" s="415">
        <v>723.3</v>
      </c>
      <c r="H690" s="26">
        <v>723.3</v>
      </c>
      <c r="I690" s="26">
        <v>723.3</v>
      </c>
      <c r="L690" s="111"/>
    </row>
    <row r="691" spans="1:12" ht="15.75" x14ac:dyDescent="0.25">
      <c r="A691" s="23" t="s">
        <v>280</v>
      </c>
      <c r="B691" s="19">
        <v>906</v>
      </c>
      <c r="C691" s="24" t="s">
        <v>279</v>
      </c>
      <c r="D691" s="24" t="s">
        <v>230</v>
      </c>
      <c r="E691" s="24"/>
      <c r="F691" s="24"/>
      <c r="G691" s="315">
        <f>G692+G717</f>
        <v>35226.839999999997</v>
      </c>
      <c r="H691" s="44">
        <f t="shared" ref="H691:I691" si="332">H692+H717</f>
        <v>33300.5</v>
      </c>
      <c r="I691" s="44">
        <f t="shared" si="332"/>
        <v>33300.5</v>
      </c>
      <c r="L691" s="111"/>
    </row>
    <row r="692" spans="1:12" ht="54" customHeight="1" x14ac:dyDescent="0.25">
      <c r="A692" s="23" t="s">
        <v>441</v>
      </c>
      <c r="B692" s="19">
        <v>906</v>
      </c>
      <c r="C692" s="24" t="s">
        <v>279</v>
      </c>
      <c r="D692" s="24" t="s">
        <v>230</v>
      </c>
      <c r="E692" s="24" t="s">
        <v>421</v>
      </c>
      <c r="F692" s="24"/>
      <c r="G692" s="315">
        <f>G693+G708</f>
        <v>34926.14</v>
      </c>
      <c r="H692" s="44">
        <f t="shared" ref="H692:I692" si="333">H693+H708</f>
        <v>32999.800000000003</v>
      </c>
      <c r="I692" s="44">
        <f t="shared" si="333"/>
        <v>32999.800000000003</v>
      </c>
      <c r="L692" s="111"/>
    </row>
    <row r="693" spans="1:12" ht="36.75" customHeight="1" x14ac:dyDescent="0.25">
      <c r="A693" s="23" t="s">
        <v>422</v>
      </c>
      <c r="B693" s="19">
        <v>906</v>
      </c>
      <c r="C693" s="24" t="s">
        <v>279</v>
      </c>
      <c r="D693" s="24" t="s">
        <v>230</v>
      </c>
      <c r="E693" s="24" t="s">
        <v>423</v>
      </c>
      <c r="F693" s="24"/>
      <c r="G693" s="315">
        <f>G695+G698</f>
        <v>34237.14</v>
      </c>
      <c r="H693" s="44">
        <f t="shared" ref="H693:I693" si="334">H695+H698</f>
        <v>32310.799999999999</v>
      </c>
      <c r="I693" s="44">
        <f t="shared" si="334"/>
        <v>32310.799999999999</v>
      </c>
      <c r="L693" s="111"/>
    </row>
    <row r="694" spans="1:12" s="230" customFormat="1" ht="36.75" customHeight="1" x14ac:dyDescent="0.25">
      <c r="A694" s="23" t="s">
        <v>1033</v>
      </c>
      <c r="B694" s="19">
        <v>906</v>
      </c>
      <c r="C694" s="24" t="s">
        <v>279</v>
      </c>
      <c r="D694" s="24" t="s">
        <v>230</v>
      </c>
      <c r="E694" s="24" t="s">
        <v>1011</v>
      </c>
      <c r="F694" s="24"/>
      <c r="G694" s="315">
        <f>G695</f>
        <v>32614.999999999996</v>
      </c>
      <c r="H694" s="44">
        <f t="shared" ref="H694:I696" si="335">H695</f>
        <v>30768.399999999998</v>
      </c>
      <c r="I694" s="44">
        <f t="shared" si="335"/>
        <v>30768.399999999998</v>
      </c>
      <c r="J694" s="212"/>
      <c r="K694" s="111"/>
      <c r="L694" s="111"/>
    </row>
    <row r="695" spans="1:12" ht="31.5" x14ac:dyDescent="0.25">
      <c r="A695" s="25" t="s">
        <v>285</v>
      </c>
      <c r="B695" s="16">
        <v>906</v>
      </c>
      <c r="C695" s="20" t="s">
        <v>279</v>
      </c>
      <c r="D695" s="20" t="s">
        <v>230</v>
      </c>
      <c r="E695" s="20" t="s">
        <v>1056</v>
      </c>
      <c r="F695" s="20"/>
      <c r="G695" s="419">
        <f>G696</f>
        <v>32614.999999999996</v>
      </c>
      <c r="H695" s="27">
        <f t="shared" si="335"/>
        <v>30768.399999999998</v>
      </c>
      <c r="I695" s="27">
        <f t="shared" si="335"/>
        <v>30768.399999999998</v>
      </c>
      <c r="L695" s="111"/>
    </row>
    <row r="696" spans="1:12" ht="36.75" customHeight="1" x14ac:dyDescent="0.25">
      <c r="A696" s="25" t="s">
        <v>287</v>
      </c>
      <c r="B696" s="16">
        <v>906</v>
      </c>
      <c r="C696" s="20" t="s">
        <v>279</v>
      </c>
      <c r="D696" s="20" t="s">
        <v>230</v>
      </c>
      <c r="E696" s="20" t="s">
        <v>1056</v>
      </c>
      <c r="F696" s="20" t="s">
        <v>288</v>
      </c>
      <c r="G696" s="419">
        <f>G697</f>
        <v>32614.999999999996</v>
      </c>
      <c r="H696" s="27">
        <f t="shared" si="335"/>
        <v>30768.399999999998</v>
      </c>
      <c r="I696" s="27">
        <f t="shared" si="335"/>
        <v>30768.399999999998</v>
      </c>
      <c r="L696" s="111"/>
    </row>
    <row r="697" spans="1:12" ht="15.75" x14ac:dyDescent="0.25">
      <c r="A697" s="25" t="s">
        <v>289</v>
      </c>
      <c r="B697" s="16">
        <v>906</v>
      </c>
      <c r="C697" s="20" t="s">
        <v>279</v>
      </c>
      <c r="D697" s="20" t="s">
        <v>230</v>
      </c>
      <c r="E697" s="20" t="s">
        <v>1056</v>
      </c>
      <c r="F697" s="20" t="s">
        <v>290</v>
      </c>
      <c r="G697" s="419">
        <f>27381+1173.6+2213.8+0.6+1846</f>
        <v>32614.999999999996</v>
      </c>
      <c r="H697" s="27">
        <f t="shared" ref="H697:I697" si="336">27381+1173.6+2213.8</f>
        <v>30768.399999999998</v>
      </c>
      <c r="I697" s="27">
        <f t="shared" si="336"/>
        <v>30768.399999999998</v>
      </c>
      <c r="J697" s="247"/>
      <c r="K697" s="120">
        <v>1.07</v>
      </c>
      <c r="L697" s="116"/>
    </row>
    <row r="698" spans="1:12" s="230" customFormat="1" ht="36" customHeight="1" x14ac:dyDescent="0.25">
      <c r="A698" s="23" t="s">
        <v>973</v>
      </c>
      <c r="B698" s="19">
        <v>906</v>
      </c>
      <c r="C698" s="24" t="s">
        <v>279</v>
      </c>
      <c r="D698" s="24" t="s">
        <v>230</v>
      </c>
      <c r="E698" s="24" t="s">
        <v>1026</v>
      </c>
      <c r="F698" s="24"/>
      <c r="G698" s="315">
        <f>G699+G702+G705</f>
        <v>1622.1399999999999</v>
      </c>
      <c r="H698" s="44">
        <f t="shared" ref="H698:I698" si="337">H699+H702+H705</f>
        <v>1542.4</v>
      </c>
      <c r="I698" s="44">
        <f t="shared" si="337"/>
        <v>1542.4</v>
      </c>
      <c r="J698" s="250"/>
      <c r="K698" s="116"/>
      <c r="L698" s="116"/>
    </row>
    <row r="699" spans="1:12" s="230" customFormat="1" ht="54.75" customHeight="1" x14ac:dyDescent="0.25">
      <c r="A699" s="31" t="s">
        <v>304</v>
      </c>
      <c r="B699" s="16">
        <v>906</v>
      </c>
      <c r="C699" s="20" t="s">
        <v>279</v>
      </c>
      <c r="D699" s="20" t="s">
        <v>230</v>
      </c>
      <c r="E699" s="20" t="s">
        <v>1025</v>
      </c>
      <c r="F699" s="20"/>
      <c r="G699" s="419">
        <f>G700</f>
        <v>169.28</v>
      </c>
      <c r="H699" s="27">
        <f t="shared" ref="H699:I700" si="338">H700</f>
        <v>110</v>
      </c>
      <c r="I699" s="27">
        <f t="shared" si="338"/>
        <v>110</v>
      </c>
      <c r="J699" s="250"/>
      <c r="K699" s="116"/>
      <c r="L699" s="116"/>
    </row>
    <row r="700" spans="1:12" s="230" customFormat="1" ht="31.5" x14ac:dyDescent="0.25">
      <c r="A700" s="25" t="s">
        <v>287</v>
      </c>
      <c r="B700" s="16">
        <v>906</v>
      </c>
      <c r="C700" s="20" t="s">
        <v>279</v>
      </c>
      <c r="D700" s="20" t="s">
        <v>230</v>
      </c>
      <c r="E700" s="20" t="s">
        <v>1025</v>
      </c>
      <c r="F700" s="20" t="s">
        <v>288</v>
      </c>
      <c r="G700" s="419">
        <f>G701</f>
        <v>169.28</v>
      </c>
      <c r="H700" s="27">
        <f t="shared" si="338"/>
        <v>110</v>
      </c>
      <c r="I700" s="27">
        <f t="shared" si="338"/>
        <v>110</v>
      </c>
      <c r="J700" s="250"/>
      <c r="K700" s="116"/>
      <c r="L700" s="116"/>
    </row>
    <row r="701" spans="1:12" s="230" customFormat="1" ht="15.75" x14ac:dyDescent="0.25">
      <c r="A701" s="25" t="s">
        <v>289</v>
      </c>
      <c r="B701" s="16">
        <v>906</v>
      </c>
      <c r="C701" s="20" t="s">
        <v>279</v>
      </c>
      <c r="D701" s="20" t="s">
        <v>230</v>
      </c>
      <c r="E701" s="20" t="s">
        <v>1025</v>
      </c>
      <c r="F701" s="20" t="s">
        <v>290</v>
      </c>
      <c r="G701" s="419">
        <v>169.28</v>
      </c>
      <c r="H701" s="27">
        <v>110</v>
      </c>
      <c r="I701" s="27">
        <v>110</v>
      </c>
      <c r="J701" s="362">
        <f>2075.4/1348.6*110</f>
        <v>169.28221859706363</v>
      </c>
      <c r="K701" s="116"/>
      <c r="L701" s="116"/>
    </row>
    <row r="702" spans="1:12" s="230" customFormat="1" ht="47.25" x14ac:dyDescent="0.25">
      <c r="A702" s="31" t="s">
        <v>306</v>
      </c>
      <c r="B702" s="16">
        <v>906</v>
      </c>
      <c r="C702" s="20" t="s">
        <v>279</v>
      </c>
      <c r="D702" s="20" t="s">
        <v>230</v>
      </c>
      <c r="E702" s="20" t="s">
        <v>1028</v>
      </c>
      <c r="F702" s="20"/>
      <c r="G702" s="419">
        <f>G703</f>
        <v>549.46</v>
      </c>
      <c r="H702" s="27">
        <f t="shared" ref="H702:I703" si="339">H703</f>
        <v>592.1</v>
      </c>
      <c r="I702" s="27">
        <f t="shared" si="339"/>
        <v>592.1</v>
      </c>
      <c r="J702" s="364"/>
      <c r="K702" s="116"/>
      <c r="L702" s="116"/>
    </row>
    <row r="703" spans="1:12" s="230" customFormat="1" ht="31.5" x14ac:dyDescent="0.25">
      <c r="A703" s="25" t="s">
        <v>287</v>
      </c>
      <c r="B703" s="16">
        <v>906</v>
      </c>
      <c r="C703" s="20" t="s">
        <v>279</v>
      </c>
      <c r="D703" s="20" t="s">
        <v>230</v>
      </c>
      <c r="E703" s="20" t="s">
        <v>1028</v>
      </c>
      <c r="F703" s="20" t="s">
        <v>288</v>
      </c>
      <c r="G703" s="419">
        <f>G704</f>
        <v>549.46</v>
      </c>
      <c r="H703" s="27">
        <f t="shared" si="339"/>
        <v>592.1</v>
      </c>
      <c r="I703" s="27">
        <f t="shared" si="339"/>
        <v>592.1</v>
      </c>
      <c r="J703" s="364"/>
      <c r="K703" s="116"/>
      <c r="L703" s="116"/>
    </row>
    <row r="704" spans="1:12" s="230" customFormat="1" ht="15.75" x14ac:dyDescent="0.25">
      <c r="A704" s="25" t="s">
        <v>289</v>
      </c>
      <c r="B704" s="16">
        <v>906</v>
      </c>
      <c r="C704" s="20" t="s">
        <v>279</v>
      </c>
      <c r="D704" s="20" t="s">
        <v>230</v>
      </c>
      <c r="E704" s="20" t="s">
        <v>1028</v>
      </c>
      <c r="F704" s="20" t="s">
        <v>290</v>
      </c>
      <c r="G704" s="419">
        <v>549.46</v>
      </c>
      <c r="H704" s="27">
        <f t="shared" ref="H704:I704" si="340">572.2+19.9</f>
        <v>592.1</v>
      </c>
      <c r="I704" s="27">
        <f t="shared" si="340"/>
        <v>592.1</v>
      </c>
      <c r="J704" s="362">
        <f>4743.9/5112*592.1</f>
        <v>549.46463028169012</v>
      </c>
      <c r="K704" s="116"/>
      <c r="L704" s="116"/>
    </row>
    <row r="705" spans="1:12" s="230" customFormat="1" ht="63" x14ac:dyDescent="0.25">
      <c r="A705" s="31" t="s">
        <v>308</v>
      </c>
      <c r="B705" s="16">
        <v>906</v>
      </c>
      <c r="C705" s="20" t="s">
        <v>279</v>
      </c>
      <c r="D705" s="20" t="s">
        <v>230</v>
      </c>
      <c r="E705" s="20" t="s">
        <v>1029</v>
      </c>
      <c r="F705" s="20"/>
      <c r="G705" s="419">
        <f>G706</f>
        <v>903.4</v>
      </c>
      <c r="H705" s="27">
        <f t="shared" ref="H705:I706" si="341">H706</f>
        <v>840.3</v>
      </c>
      <c r="I705" s="27">
        <f t="shared" si="341"/>
        <v>840.3</v>
      </c>
      <c r="J705" s="364"/>
      <c r="K705" s="116"/>
      <c r="L705" s="116"/>
    </row>
    <row r="706" spans="1:12" s="230" customFormat="1" ht="31.5" x14ac:dyDescent="0.25">
      <c r="A706" s="25" t="s">
        <v>287</v>
      </c>
      <c r="B706" s="16">
        <v>906</v>
      </c>
      <c r="C706" s="20" t="s">
        <v>279</v>
      </c>
      <c r="D706" s="20" t="s">
        <v>230</v>
      </c>
      <c r="E706" s="20" t="s">
        <v>1029</v>
      </c>
      <c r="F706" s="20" t="s">
        <v>288</v>
      </c>
      <c r="G706" s="419">
        <f>G707</f>
        <v>903.4</v>
      </c>
      <c r="H706" s="27">
        <f t="shared" si="341"/>
        <v>840.3</v>
      </c>
      <c r="I706" s="27">
        <f t="shared" si="341"/>
        <v>840.3</v>
      </c>
      <c r="J706" s="250"/>
      <c r="K706" s="116"/>
      <c r="L706" s="116"/>
    </row>
    <row r="707" spans="1:12" s="230" customFormat="1" ht="15.75" x14ac:dyDescent="0.25">
      <c r="A707" s="25" t="s">
        <v>289</v>
      </c>
      <c r="B707" s="16">
        <v>906</v>
      </c>
      <c r="C707" s="20" t="s">
        <v>279</v>
      </c>
      <c r="D707" s="20" t="s">
        <v>230</v>
      </c>
      <c r="E707" s="20" t="s">
        <v>1029</v>
      </c>
      <c r="F707" s="20" t="s">
        <v>290</v>
      </c>
      <c r="G707" s="419">
        <v>903.4</v>
      </c>
      <c r="H707" s="27">
        <f t="shared" ref="H707:I707" si="342">900-15.5-44.2</f>
        <v>840.3</v>
      </c>
      <c r="I707" s="27">
        <f t="shared" si="342"/>
        <v>840.3</v>
      </c>
      <c r="J707" s="362">
        <f>12177.1/11326.6*840.3</f>
        <v>903.39705913513319</v>
      </c>
      <c r="K707" s="116"/>
      <c r="L707" s="116"/>
    </row>
    <row r="708" spans="1:12" ht="38.25" customHeight="1" x14ac:dyDescent="0.25">
      <c r="A708" s="34" t="s">
        <v>720</v>
      </c>
      <c r="B708" s="19">
        <v>906</v>
      </c>
      <c r="C708" s="24" t="s">
        <v>279</v>
      </c>
      <c r="D708" s="24" t="s">
        <v>230</v>
      </c>
      <c r="E708" s="24" t="s">
        <v>462</v>
      </c>
      <c r="F708" s="24"/>
      <c r="G708" s="315">
        <f>G709+G713</f>
        <v>689</v>
      </c>
      <c r="H708" s="44">
        <f t="shared" ref="H708:I708" si="343">H709+H713</f>
        <v>689</v>
      </c>
      <c r="I708" s="44">
        <f t="shared" si="343"/>
        <v>689</v>
      </c>
      <c r="L708" s="224"/>
    </row>
    <row r="709" spans="1:12" s="230" customFormat="1" ht="30.75" hidden="1" customHeight="1" x14ac:dyDescent="0.25">
      <c r="A709" s="23" t="s">
        <v>1057</v>
      </c>
      <c r="B709" s="19">
        <v>906</v>
      </c>
      <c r="C709" s="24" t="s">
        <v>279</v>
      </c>
      <c r="D709" s="24" t="s">
        <v>230</v>
      </c>
      <c r="E709" s="24" t="s">
        <v>1244</v>
      </c>
      <c r="F709" s="24"/>
      <c r="G709" s="315">
        <f>G710</f>
        <v>0</v>
      </c>
      <c r="H709" s="44">
        <f t="shared" ref="H709:I711" si="344">H710</f>
        <v>0</v>
      </c>
      <c r="I709" s="44">
        <f t="shared" si="344"/>
        <v>0</v>
      </c>
      <c r="J709" s="212"/>
      <c r="K709" s="111"/>
      <c r="L709" s="224"/>
    </row>
    <row r="710" spans="1:12" ht="15.75" hidden="1" x14ac:dyDescent="0.25">
      <c r="A710" s="45" t="s">
        <v>788</v>
      </c>
      <c r="B710" s="16">
        <v>906</v>
      </c>
      <c r="C710" s="20" t="s">
        <v>279</v>
      </c>
      <c r="D710" s="20" t="s">
        <v>230</v>
      </c>
      <c r="E710" s="20" t="s">
        <v>1245</v>
      </c>
      <c r="F710" s="20"/>
      <c r="G710" s="419">
        <f>G711</f>
        <v>0</v>
      </c>
      <c r="H710" s="27">
        <f t="shared" si="344"/>
        <v>0</v>
      </c>
      <c r="I710" s="27">
        <f t="shared" si="344"/>
        <v>0</v>
      </c>
      <c r="L710" s="111"/>
    </row>
    <row r="711" spans="1:12" ht="31.5" hidden="1" x14ac:dyDescent="0.25">
      <c r="A711" s="31" t="s">
        <v>287</v>
      </c>
      <c r="B711" s="16">
        <v>906</v>
      </c>
      <c r="C711" s="20" t="s">
        <v>279</v>
      </c>
      <c r="D711" s="20" t="s">
        <v>230</v>
      </c>
      <c r="E711" s="20" t="s">
        <v>1245</v>
      </c>
      <c r="F711" s="20" t="s">
        <v>288</v>
      </c>
      <c r="G711" s="419">
        <f>G712</f>
        <v>0</v>
      </c>
      <c r="H711" s="27">
        <f t="shared" si="344"/>
        <v>0</v>
      </c>
      <c r="I711" s="27">
        <f t="shared" si="344"/>
        <v>0</v>
      </c>
      <c r="L711" s="111"/>
    </row>
    <row r="712" spans="1:12" ht="15.75" hidden="1" x14ac:dyDescent="0.25">
      <c r="A712" s="31" t="s">
        <v>289</v>
      </c>
      <c r="B712" s="16">
        <v>906</v>
      </c>
      <c r="C712" s="20" t="s">
        <v>279</v>
      </c>
      <c r="D712" s="20" t="s">
        <v>230</v>
      </c>
      <c r="E712" s="20" t="s">
        <v>1245</v>
      </c>
      <c r="F712" s="20" t="s">
        <v>290</v>
      </c>
      <c r="G712" s="419">
        <v>0</v>
      </c>
      <c r="H712" s="27">
        <v>0</v>
      </c>
      <c r="I712" s="27">
        <v>0</v>
      </c>
      <c r="L712" s="111"/>
    </row>
    <row r="713" spans="1:12" s="230" customFormat="1" ht="31.5" x14ac:dyDescent="0.25">
      <c r="A713" s="281" t="s">
        <v>1082</v>
      </c>
      <c r="B713" s="19">
        <v>906</v>
      </c>
      <c r="C713" s="24" t="s">
        <v>279</v>
      </c>
      <c r="D713" s="24" t="s">
        <v>230</v>
      </c>
      <c r="E713" s="24" t="s">
        <v>1058</v>
      </c>
      <c r="F713" s="24"/>
      <c r="G713" s="315">
        <f>G714</f>
        <v>689</v>
      </c>
      <c r="H713" s="44">
        <f t="shared" ref="H713:I715" si="345">H714</f>
        <v>689</v>
      </c>
      <c r="I713" s="44">
        <f t="shared" si="345"/>
        <v>689</v>
      </c>
      <c r="J713" s="212"/>
      <c r="K713" s="111"/>
      <c r="L713" s="111"/>
    </row>
    <row r="714" spans="1:12" ht="37.5" customHeight="1" x14ac:dyDescent="0.25">
      <c r="A714" s="45" t="s">
        <v>786</v>
      </c>
      <c r="B714" s="16">
        <v>906</v>
      </c>
      <c r="C714" s="20" t="s">
        <v>279</v>
      </c>
      <c r="D714" s="20" t="s">
        <v>230</v>
      </c>
      <c r="E714" s="20" t="s">
        <v>1059</v>
      </c>
      <c r="F714" s="20"/>
      <c r="G714" s="419">
        <f>G715</f>
        <v>689</v>
      </c>
      <c r="H714" s="27">
        <f t="shared" si="345"/>
        <v>689</v>
      </c>
      <c r="I714" s="27">
        <f t="shared" si="345"/>
        <v>689</v>
      </c>
      <c r="L714" s="111"/>
    </row>
    <row r="715" spans="1:12" ht="32.25" customHeight="1" x14ac:dyDescent="0.25">
      <c r="A715" s="25" t="s">
        <v>287</v>
      </c>
      <c r="B715" s="16">
        <v>906</v>
      </c>
      <c r="C715" s="20" t="s">
        <v>279</v>
      </c>
      <c r="D715" s="20" t="s">
        <v>230</v>
      </c>
      <c r="E715" s="20" t="s">
        <v>1059</v>
      </c>
      <c r="F715" s="20" t="s">
        <v>288</v>
      </c>
      <c r="G715" s="419">
        <f>G716</f>
        <v>689</v>
      </c>
      <c r="H715" s="27">
        <f t="shared" si="345"/>
        <v>689</v>
      </c>
      <c r="I715" s="27">
        <f t="shared" si="345"/>
        <v>689</v>
      </c>
      <c r="L715" s="111"/>
    </row>
    <row r="716" spans="1:12" ht="15.75" x14ac:dyDescent="0.25">
      <c r="A716" s="31" t="s">
        <v>289</v>
      </c>
      <c r="B716" s="16">
        <v>906</v>
      </c>
      <c r="C716" s="20" t="s">
        <v>279</v>
      </c>
      <c r="D716" s="20" t="s">
        <v>230</v>
      </c>
      <c r="E716" s="20" t="s">
        <v>1059</v>
      </c>
      <c r="F716" s="20" t="s">
        <v>290</v>
      </c>
      <c r="G716" s="419">
        <f>689</f>
        <v>689</v>
      </c>
      <c r="H716" s="27">
        <f>689</f>
        <v>689</v>
      </c>
      <c r="I716" s="27">
        <f>689</f>
        <v>689</v>
      </c>
      <c r="J716" s="240"/>
      <c r="L716" s="111"/>
    </row>
    <row r="717" spans="1:12" ht="54.75" customHeight="1" x14ac:dyDescent="0.25">
      <c r="A717" s="41" t="s">
        <v>1185</v>
      </c>
      <c r="B717" s="19">
        <v>906</v>
      </c>
      <c r="C717" s="24" t="s">
        <v>279</v>
      </c>
      <c r="D717" s="24" t="s">
        <v>230</v>
      </c>
      <c r="E717" s="24" t="s">
        <v>727</v>
      </c>
      <c r="F717" s="285"/>
      <c r="G717" s="315">
        <f>G719</f>
        <v>300.7</v>
      </c>
      <c r="H717" s="44">
        <f t="shared" ref="H717:I717" si="346">H719</f>
        <v>300.7</v>
      </c>
      <c r="I717" s="44">
        <f t="shared" si="346"/>
        <v>300.7</v>
      </c>
      <c r="J717" s="212" t="s">
        <v>1186</v>
      </c>
      <c r="L717" s="224"/>
    </row>
    <row r="718" spans="1:12" s="230" customFormat="1" ht="54.75" customHeight="1" x14ac:dyDescent="0.25">
      <c r="A718" s="41" t="s">
        <v>951</v>
      </c>
      <c r="B718" s="19">
        <v>906</v>
      </c>
      <c r="C718" s="24" t="s">
        <v>279</v>
      </c>
      <c r="D718" s="24" t="s">
        <v>1060</v>
      </c>
      <c r="E718" s="24" t="s">
        <v>949</v>
      </c>
      <c r="F718" s="285"/>
      <c r="G718" s="315">
        <f>G719</f>
        <v>300.7</v>
      </c>
      <c r="H718" s="44">
        <f t="shared" ref="H718:I720" si="347">H719</f>
        <v>300.7</v>
      </c>
      <c r="I718" s="44">
        <f t="shared" si="347"/>
        <v>300.7</v>
      </c>
      <c r="J718" s="212"/>
      <c r="K718" s="111"/>
      <c r="L718" s="224"/>
    </row>
    <row r="719" spans="1:12" ht="31.5" x14ac:dyDescent="0.25">
      <c r="A719" s="101" t="s">
        <v>802</v>
      </c>
      <c r="B719" s="16">
        <v>906</v>
      </c>
      <c r="C719" s="20" t="s">
        <v>279</v>
      </c>
      <c r="D719" s="20" t="s">
        <v>230</v>
      </c>
      <c r="E719" s="20" t="s">
        <v>1032</v>
      </c>
      <c r="F719" s="32"/>
      <c r="G719" s="419">
        <f>G720</f>
        <v>300.7</v>
      </c>
      <c r="H719" s="27">
        <f t="shared" si="347"/>
        <v>300.7</v>
      </c>
      <c r="I719" s="27">
        <f t="shared" si="347"/>
        <v>300.7</v>
      </c>
      <c r="L719" s="111"/>
    </row>
    <row r="720" spans="1:12" ht="34.5" customHeight="1" x14ac:dyDescent="0.25">
      <c r="A720" s="29" t="s">
        <v>287</v>
      </c>
      <c r="B720" s="16">
        <v>906</v>
      </c>
      <c r="C720" s="20" t="s">
        <v>279</v>
      </c>
      <c r="D720" s="20" t="s">
        <v>230</v>
      </c>
      <c r="E720" s="20" t="s">
        <v>1032</v>
      </c>
      <c r="F720" s="32" t="s">
        <v>288</v>
      </c>
      <c r="G720" s="419">
        <f>G721</f>
        <v>300.7</v>
      </c>
      <c r="H720" s="27">
        <f t="shared" si="347"/>
        <v>300.7</v>
      </c>
      <c r="I720" s="27">
        <f t="shared" si="347"/>
        <v>300.7</v>
      </c>
      <c r="L720" s="111"/>
    </row>
    <row r="721" spans="1:12" ht="15.75" x14ac:dyDescent="0.25">
      <c r="A721" s="195" t="s">
        <v>289</v>
      </c>
      <c r="B721" s="16">
        <v>906</v>
      </c>
      <c r="C721" s="20" t="s">
        <v>279</v>
      </c>
      <c r="D721" s="20" t="s">
        <v>230</v>
      </c>
      <c r="E721" s="20" t="s">
        <v>1032</v>
      </c>
      <c r="F721" s="32" t="s">
        <v>290</v>
      </c>
      <c r="G721" s="419">
        <v>300.7</v>
      </c>
      <c r="H721" s="27">
        <v>300.7</v>
      </c>
      <c r="I721" s="27">
        <v>300.7</v>
      </c>
      <c r="L721" s="111"/>
    </row>
    <row r="722" spans="1:12" ht="21" customHeight="1" x14ac:dyDescent="0.25">
      <c r="A722" s="23" t="s">
        <v>481</v>
      </c>
      <c r="B722" s="19">
        <v>906</v>
      </c>
      <c r="C722" s="24" t="s">
        <v>279</v>
      </c>
      <c r="D722" s="24" t="s">
        <v>279</v>
      </c>
      <c r="E722" s="24"/>
      <c r="F722" s="24"/>
      <c r="G722" s="416">
        <f>G723</f>
        <v>5804.9</v>
      </c>
      <c r="H722" s="21">
        <f t="shared" ref="H722:I722" si="348">H723</f>
        <v>6836.3</v>
      </c>
      <c r="I722" s="21">
        <f t="shared" si="348"/>
        <v>6836.3</v>
      </c>
      <c r="L722" s="111"/>
    </row>
    <row r="723" spans="1:12" ht="31.5" x14ac:dyDescent="0.25">
      <c r="A723" s="23" t="s">
        <v>441</v>
      </c>
      <c r="B723" s="19">
        <v>906</v>
      </c>
      <c r="C723" s="24" t="s">
        <v>279</v>
      </c>
      <c r="D723" s="24" t="s">
        <v>279</v>
      </c>
      <c r="E723" s="24" t="s">
        <v>421</v>
      </c>
      <c r="F723" s="24"/>
      <c r="G723" s="416">
        <f t="shared" ref="G723:I730" si="349">G724</f>
        <v>5804.9</v>
      </c>
      <c r="H723" s="21">
        <f t="shared" si="349"/>
        <v>6836.3</v>
      </c>
      <c r="I723" s="21">
        <f t="shared" si="349"/>
        <v>6836.3</v>
      </c>
      <c r="L723" s="111"/>
    </row>
    <row r="724" spans="1:12" ht="31.5" x14ac:dyDescent="0.25">
      <c r="A724" s="23" t="s">
        <v>482</v>
      </c>
      <c r="B724" s="19">
        <v>906</v>
      </c>
      <c r="C724" s="24" t="s">
        <v>279</v>
      </c>
      <c r="D724" s="24" t="s">
        <v>483</v>
      </c>
      <c r="E724" s="24" t="s">
        <v>484</v>
      </c>
      <c r="F724" s="24"/>
      <c r="G724" s="416">
        <f>G725</f>
        <v>5804.9</v>
      </c>
      <c r="H724" s="21">
        <f t="shared" si="349"/>
        <v>6836.3</v>
      </c>
      <c r="I724" s="21">
        <f t="shared" si="349"/>
        <v>6836.3</v>
      </c>
      <c r="L724" s="111"/>
    </row>
    <row r="725" spans="1:12" s="230" customFormat="1" ht="15.75" x14ac:dyDescent="0.25">
      <c r="A725" s="23" t="s">
        <v>1061</v>
      </c>
      <c r="B725" s="19">
        <v>906</v>
      </c>
      <c r="C725" s="24" t="s">
        <v>279</v>
      </c>
      <c r="D725" s="24" t="s">
        <v>279</v>
      </c>
      <c r="E725" s="24" t="s">
        <v>1062</v>
      </c>
      <c r="F725" s="24"/>
      <c r="G725" s="416">
        <f>G726+G729</f>
        <v>5804.9</v>
      </c>
      <c r="H725" s="21">
        <f t="shared" ref="H725:I725" si="350">H726+H729</f>
        <v>6836.3</v>
      </c>
      <c r="I725" s="21">
        <f t="shared" si="350"/>
        <v>6836.3</v>
      </c>
      <c r="J725" s="212"/>
      <c r="K725" s="111"/>
      <c r="L725" s="111"/>
    </row>
    <row r="726" spans="1:12" ht="31.5" x14ac:dyDescent="0.25">
      <c r="A726" s="31" t="s">
        <v>1246</v>
      </c>
      <c r="B726" s="16">
        <v>906</v>
      </c>
      <c r="C726" s="20" t="s">
        <v>279</v>
      </c>
      <c r="D726" s="20" t="s">
        <v>279</v>
      </c>
      <c r="E726" s="20" t="s">
        <v>1063</v>
      </c>
      <c r="F726" s="20"/>
      <c r="G726" s="415">
        <f t="shared" si="349"/>
        <v>3584</v>
      </c>
      <c r="H726" s="26">
        <f t="shared" si="349"/>
        <v>3584</v>
      </c>
      <c r="I726" s="26">
        <f t="shared" si="349"/>
        <v>3584</v>
      </c>
      <c r="L726" s="111"/>
    </row>
    <row r="727" spans="1:12" ht="36" customHeight="1" x14ac:dyDescent="0.25">
      <c r="A727" s="25" t="s">
        <v>287</v>
      </c>
      <c r="B727" s="16">
        <v>906</v>
      </c>
      <c r="C727" s="20" t="s">
        <v>279</v>
      </c>
      <c r="D727" s="20" t="s">
        <v>279</v>
      </c>
      <c r="E727" s="20" t="s">
        <v>1063</v>
      </c>
      <c r="F727" s="20" t="s">
        <v>288</v>
      </c>
      <c r="G727" s="415">
        <f t="shared" si="349"/>
        <v>3584</v>
      </c>
      <c r="H727" s="26">
        <f t="shared" si="349"/>
        <v>3584</v>
      </c>
      <c r="I727" s="26">
        <f t="shared" si="349"/>
        <v>3584</v>
      </c>
      <c r="L727" s="111"/>
    </row>
    <row r="728" spans="1:12" ht="15.75" x14ac:dyDescent="0.25">
      <c r="A728" s="25" t="s">
        <v>289</v>
      </c>
      <c r="B728" s="16">
        <v>906</v>
      </c>
      <c r="C728" s="20" t="s">
        <v>279</v>
      </c>
      <c r="D728" s="20" t="s">
        <v>279</v>
      </c>
      <c r="E728" s="20" t="s">
        <v>1063</v>
      </c>
      <c r="F728" s="20" t="s">
        <v>290</v>
      </c>
      <c r="G728" s="419">
        <f>3485+99</f>
        <v>3584</v>
      </c>
      <c r="H728" s="27">
        <f t="shared" ref="H728:I728" si="351">3485+99</f>
        <v>3584</v>
      </c>
      <c r="I728" s="27">
        <f t="shared" si="351"/>
        <v>3584</v>
      </c>
      <c r="L728" s="111"/>
    </row>
    <row r="729" spans="1:12" ht="15.75" x14ac:dyDescent="0.25">
      <c r="A729" s="31" t="s">
        <v>489</v>
      </c>
      <c r="B729" s="16">
        <v>906</v>
      </c>
      <c r="C729" s="20" t="s">
        <v>279</v>
      </c>
      <c r="D729" s="20" t="s">
        <v>279</v>
      </c>
      <c r="E729" s="20" t="s">
        <v>1064</v>
      </c>
      <c r="F729" s="20"/>
      <c r="G729" s="415">
        <f t="shared" si="349"/>
        <v>2220.9</v>
      </c>
      <c r="H729" s="26">
        <f t="shared" si="349"/>
        <v>3252.3</v>
      </c>
      <c r="I729" s="26">
        <f t="shared" si="349"/>
        <v>3252.3</v>
      </c>
      <c r="K729" s="116"/>
      <c r="L729" s="111"/>
    </row>
    <row r="730" spans="1:12" ht="36.75" customHeight="1" x14ac:dyDescent="0.25">
      <c r="A730" s="25" t="s">
        <v>287</v>
      </c>
      <c r="B730" s="16">
        <v>906</v>
      </c>
      <c r="C730" s="20" t="s">
        <v>279</v>
      </c>
      <c r="D730" s="20" t="s">
        <v>279</v>
      </c>
      <c r="E730" s="20" t="s">
        <v>1064</v>
      </c>
      <c r="F730" s="20" t="s">
        <v>288</v>
      </c>
      <c r="G730" s="415">
        <f t="shared" si="349"/>
        <v>2220.9</v>
      </c>
      <c r="H730" s="26">
        <f t="shared" si="349"/>
        <v>3252.3</v>
      </c>
      <c r="I730" s="26">
        <f t="shared" si="349"/>
        <v>3252.3</v>
      </c>
      <c r="L730" s="111"/>
    </row>
    <row r="731" spans="1:12" ht="15.75" x14ac:dyDescent="0.25">
      <c r="A731" s="25" t="s">
        <v>289</v>
      </c>
      <c r="B731" s="16">
        <v>906</v>
      </c>
      <c r="C731" s="20" t="s">
        <v>279</v>
      </c>
      <c r="D731" s="20" t="s">
        <v>279</v>
      </c>
      <c r="E731" s="20" t="s">
        <v>1064</v>
      </c>
      <c r="F731" s="20" t="s">
        <v>290</v>
      </c>
      <c r="G731" s="419">
        <v>2220.9</v>
      </c>
      <c r="H731" s="27">
        <f t="shared" ref="H731:I731" si="352">2124.9+1127.4</f>
        <v>3252.3</v>
      </c>
      <c r="I731" s="27">
        <f t="shared" si="352"/>
        <v>3252.3</v>
      </c>
      <c r="J731" s="240"/>
      <c r="L731" s="111"/>
    </row>
    <row r="732" spans="1:12" ht="15.75" x14ac:dyDescent="0.25">
      <c r="A732" s="23" t="s">
        <v>310</v>
      </c>
      <c r="B732" s="19">
        <v>906</v>
      </c>
      <c r="C732" s="24" t="s">
        <v>279</v>
      </c>
      <c r="D732" s="24" t="s">
        <v>234</v>
      </c>
      <c r="E732" s="24"/>
      <c r="F732" s="24"/>
      <c r="G732" s="416">
        <f>G733+G743</f>
        <v>19830</v>
      </c>
      <c r="H732" s="21">
        <f t="shared" ref="H732:I732" si="353">H733+H743</f>
        <v>20019.8</v>
      </c>
      <c r="I732" s="21">
        <f t="shared" si="353"/>
        <v>20019.8</v>
      </c>
      <c r="L732" s="111"/>
    </row>
    <row r="733" spans="1:12" ht="15.75" x14ac:dyDescent="0.25">
      <c r="A733" s="23" t="s">
        <v>992</v>
      </c>
      <c r="B733" s="19">
        <v>906</v>
      </c>
      <c r="C733" s="24" t="s">
        <v>279</v>
      </c>
      <c r="D733" s="24" t="s">
        <v>234</v>
      </c>
      <c r="E733" s="24" t="s">
        <v>906</v>
      </c>
      <c r="F733" s="24"/>
      <c r="G733" s="416">
        <f>G734</f>
        <v>5585</v>
      </c>
      <c r="H733" s="21">
        <f t="shared" ref="H733:I733" si="354">H734</f>
        <v>5581.4000000000005</v>
      </c>
      <c r="I733" s="21">
        <f t="shared" si="354"/>
        <v>5581.4000000000005</v>
      </c>
      <c r="L733" s="111"/>
    </row>
    <row r="734" spans="1:12" ht="15.75" x14ac:dyDescent="0.25">
      <c r="A734" s="23" t="s">
        <v>993</v>
      </c>
      <c r="B734" s="19">
        <v>906</v>
      </c>
      <c r="C734" s="24" t="s">
        <v>279</v>
      </c>
      <c r="D734" s="24" t="s">
        <v>234</v>
      </c>
      <c r="E734" s="24" t="s">
        <v>907</v>
      </c>
      <c r="F734" s="24"/>
      <c r="G734" s="416">
        <f>G735+G740</f>
        <v>5585</v>
      </c>
      <c r="H734" s="21">
        <f t="shared" ref="H734:I734" si="355">H735+H740</f>
        <v>5581.4000000000005</v>
      </c>
      <c r="I734" s="21">
        <f t="shared" si="355"/>
        <v>5581.4000000000005</v>
      </c>
      <c r="L734" s="111"/>
    </row>
    <row r="735" spans="1:12" ht="36.75" customHeight="1" x14ac:dyDescent="0.25">
      <c r="A735" s="25" t="s">
        <v>969</v>
      </c>
      <c r="B735" s="16">
        <v>906</v>
      </c>
      <c r="C735" s="20" t="s">
        <v>279</v>
      </c>
      <c r="D735" s="20" t="s">
        <v>234</v>
      </c>
      <c r="E735" s="20" t="s">
        <v>908</v>
      </c>
      <c r="F735" s="20"/>
      <c r="G735" s="415">
        <f>G736+G738</f>
        <v>5459</v>
      </c>
      <c r="H735" s="26">
        <f t="shared" ref="H735:I735" si="356">H736+H738</f>
        <v>5581.4000000000005</v>
      </c>
      <c r="I735" s="26">
        <f t="shared" si="356"/>
        <v>5581.4000000000005</v>
      </c>
      <c r="L735" s="111"/>
    </row>
    <row r="736" spans="1:12" ht="72" customHeight="1" x14ac:dyDescent="0.25">
      <c r="A736" s="25" t="s">
        <v>142</v>
      </c>
      <c r="B736" s="16">
        <v>906</v>
      </c>
      <c r="C736" s="20" t="s">
        <v>279</v>
      </c>
      <c r="D736" s="20" t="s">
        <v>234</v>
      </c>
      <c r="E736" s="20" t="s">
        <v>908</v>
      </c>
      <c r="F736" s="20" t="s">
        <v>143</v>
      </c>
      <c r="G736" s="415">
        <f>G737</f>
        <v>5247</v>
      </c>
      <c r="H736" s="26">
        <f t="shared" ref="H736:I736" si="357">H737</f>
        <v>5325.8</v>
      </c>
      <c r="I736" s="26">
        <f t="shared" si="357"/>
        <v>5325.8</v>
      </c>
      <c r="L736" s="111"/>
    </row>
    <row r="737" spans="1:13" ht="25.5" x14ac:dyDescent="0.25">
      <c r="A737" s="25" t="s">
        <v>144</v>
      </c>
      <c r="B737" s="16">
        <v>906</v>
      </c>
      <c r="C737" s="20" t="s">
        <v>279</v>
      </c>
      <c r="D737" s="20" t="s">
        <v>234</v>
      </c>
      <c r="E737" s="20" t="s">
        <v>908</v>
      </c>
      <c r="F737" s="20" t="s">
        <v>145</v>
      </c>
      <c r="G737" s="419">
        <v>5247</v>
      </c>
      <c r="H737" s="27">
        <f t="shared" ref="H737:I737" si="358">5430.2-175.2+169.2-98.4</f>
        <v>5325.8</v>
      </c>
      <c r="I737" s="27">
        <f t="shared" si="358"/>
        <v>5325.8</v>
      </c>
      <c r="J737" s="313" t="s">
        <v>888</v>
      </c>
      <c r="K737" s="111">
        <v>1.0429999999999999</v>
      </c>
      <c r="L737" s="332">
        <v>5247</v>
      </c>
      <c r="M737" s="1" t="s">
        <v>1392</v>
      </c>
    </row>
    <row r="738" spans="1:13" ht="15.75" x14ac:dyDescent="0.25">
      <c r="A738" s="25" t="s">
        <v>146</v>
      </c>
      <c r="B738" s="16">
        <v>906</v>
      </c>
      <c r="C738" s="20" t="s">
        <v>279</v>
      </c>
      <c r="D738" s="20" t="s">
        <v>234</v>
      </c>
      <c r="E738" s="20" t="s">
        <v>908</v>
      </c>
      <c r="F738" s="20" t="s">
        <v>147</v>
      </c>
      <c r="G738" s="415">
        <f>G739</f>
        <v>212</v>
      </c>
      <c r="H738" s="26">
        <f t="shared" ref="H738:I738" si="359">H739</f>
        <v>255.6</v>
      </c>
      <c r="I738" s="26">
        <f t="shared" si="359"/>
        <v>255.6</v>
      </c>
      <c r="L738" s="111"/>
    </row>
    <row r="739" spans="1:13" ht="31.5" x14ac:dyDescent="0.25">
      <c r="A739" s="25" t="s">
        <v>148</v>
      </c>
      <c r="B739" s="16">
        <v>906</v>
      </c>
      <c r="C739" s="20" t="s">
        <v>279</v>
      </c>
      <c r="D739" s="20" t="s">
        <v>234</v>
      </c>
      <c r="E739" s="20" t="s">
        <v>908</v>
      </c>
      <c r="F739" s="20" t="s">
        <v>149</v>
      </c>
      <c r="G739" s="415">
        <v>212</v>
      </c>
      <c r="H739" s="26">
        <f t="shared" ref="H739:I739" si="360">157.2+98.4</f>
        <v>255.6</v>
      </c>
      <c r="I739" s="26">
        <f t="shared" si="360"/>
        <v>255.6</v>
      </c>
      <c r="J739" s="240"/>
      <c r="L739" s="225"/>
    </row>
    <row r="740" spans="1:13" s="230" customFormat="1" ht="31.5" x14ac:dyDescent="0.25">
      <c r="A740" s="25" t="s">
        <v>886</v>
      </c>
      <c r="B740" s="16">
        <v>906</v>
      </c>
      <c r="C740" s="20" t="s">
        <v>279</v>
      </c>
      <c r="D740" s="20" t="s">
        <v>234</v>
      </c>
      <c r="E740" s="20" t="s">
        <v>910</v>
      </c>
      <c r="F740" s="20"/>
      <c r="G740" s="415">
        <f>G741</f>
        <v>126</v>
      </c>
      <c r="H740" s="26">
        <f t="shared" ref="H740:I741" si="361">H741</f>
        <v>0</v>
      </c>
      <c r="I740" s="26">
        <f t="shared" si="361"/>
        <v>0</v>
      </c>
      <c r="J740" s="249"/>
      <c r="K740" s="111"/>
      <c r="L740" s="267"/>
    </row>
    <row r="741" spans="1:13" s="230" customFormat="1" ht="47.25" x14ac:dyDescent="0.25">
      <c r="A741" s="25" t="s">
        <v>142</v>
      </c>
      <c r="B741" s="16">
        <v>906</v>
      </c>
      <c r="C741" s="20" t="s">
        <v>279</v>
      </c>
      <c r="D741" s="20" t="s">
        <v>234</v>
      </c>
      <c r="E741" s="20" t="s">
        <v>910</v>
      </c>
      <c r="F741" s="20" t="s">
        <v>143</v>
      </c>
      <c r="G741" s="415">
        <f>G742</f>
        <v>126</v>
      </c>
      <c r="H741" s="26">
        <f t="shared" si="361"/>
        <v>0</v>
      </c>
      <c r="I741" s="26">
        <f t="shared" si="361"/>
        <v>0</v>
      </c>
      <c r="J741" s="249"/>
      <c r="K741" s="111"/>
      <c r="L741" s="267"/>
    </row>
    <row r="742" spans="1:13" s="230" customFormat="1" ht="15.75" x14ac:dyDescent="0.25">
      <c r="A742" s="25" t="s">
        <v>144</v>
      </c>
      <c r="B742" s="16">
        <v>906</v>
      </c>
      <c r="C742" s="20" t="s">
        <v>279</v>
      </c>
      <c r="D742" s="20" t="s">
        <v>234</v>
      </c>
      <c r="E742" s="20" t="s">
        <v>910</v>
      </c>
      <c r="F742" s="20" t="s">
        <v>145</v>
      </c>
      <c r="G742" s="415">
        <v>126</v>
      </c>
      <c r="H742" s="26"/>
      <c r="I742" s="26"/>
      <c r="J742" s="249"/>
      <c r="K742" s="111"/>
      <c r="L742" s="267"/>
    </row>
    <row r="743" spans="1:13" ht="15.75" x14ac:dyDescent="0.25">
      <c r="A743" s="23" t="s">
        <v>156</v>
      </c>
      <c r="B743" s="19">
        <v>906</v>
      </c>
      <c r="C743" s="24" t="s">
        <v>279</v>
      </c>
      <c r="D743" s="24" t="s">
        <v>234</v>
      </c>
      <c r="E743" s="24" t="s">
        <v>914</v>
      </c>
      <c r="F743" s="24"/>
      <c r="G743" s="416">
        <f>G744+G748</f>
        <v>14245</v>
      </c>
      <c r="H743" s="21">
        <f t="shared" ref="H743:I743" si="362">H744+H748</f>
        <v>14438.4</v>
      </c>
      <c r="I743" s="21">
        <f t="shared" si="362"/>
        <v>14438.4</v>
      </c>
      <c r="L743" s="111"/>
    </row>
    <row r="744" spans="1:13" s="230" customFormat="1" ht="31.5" x14ac:dyDescent="0.25">
      <c r="A744" s="23" t="s">
        <v>918</v>
      </c>
      <c r="B744" s="19">
        <v>906</v>
      </c>
      <c r="C744" s="24" t="s">
        <v>279</v>
      </c>
      <c r="D744" s="24" t="s">
        <v>234</v>
      </c>
      <c r="E744" s="24" t="s">
        <v>913</v>
      </c>
      <c r="F744" s="24"/>
      <c r="G744" s="416">
        <f>G745</f>
        <v>300</v>
      </c>
      <c r="H744" s="21">
        <f t="shared" ref="H744:I746" si="363">H745</f>
        <v>600</v>
      </c>
      <c r="I744" s="21">
        <f t="shared" si="363"/>
        <v>600</v>
      </c>
      <c r="J744" s="212"/>
      <c r="K744" s="111"/>
      <c r="L744" s="111"/>
    </row>
    <row r="745" spans="1:13" ht="15.75" x14ac:dyDescent="0.25">
      <c r="A745" s="25" t="s">
        <v>493</v>
      </c>
      <c r="B745" s="16">
        <v>906</v>
      </c>
      <c r="C745" s="20" t="s">
        <v>279</v>
      </c>
      <c r="D745" s="20" t="s">
        <v>234</v>
      </c>
      <c r="E745" s="20" t="s">
        <v>1065</v>
      </c>
      <c r="F745" s="20"/>
      <c r="G745" s="415">
        <f>G746</f>
        <v>300</v>
      </c>
      <c r="H745" s="26">
        <f t="shared" si="363"/>
        <v>600</v>
      </c>
      <c r="I745" s="26">
        <f t="shared" si="363"/>
        <v>600</v>
      </c>
      <c r="L745" s="111"/>
    </row>
    <row r="746" spans="1:13" ht="15.75" x14ac:dyDescent="0.25">
      <c r="A746" s="25" t="s">
        <v>146</v>
      </c>
      <c r="B746" s="16">
        <v>906</v>
      </c>
      <c r="C746" s="20" t="s">
        <v>279</v>
      </c>
      <c r="D746" s="20" t="s">
        <v>234</v>
      </c>
      <c r="E746" s="20" t="s">
        <v>1065</v>
      </c>
      <c r="F746" s="20" t="s">
        <v>147</v>
      </c>
      <c r="G746" s="415">
        <f>G747</f>
        <v>300</v>
      </c>
      <c r="H746" s="26">
        <f t="shared" si="363"/>
        <v>600</v>
      </c>
      <c r="I746" s="26">
        <f t="shared" si="363"/>
        <v>600</v>
      </c>
      <c r="L746" s="111"/>
    </row>
    <row r="747" spans="1:13" ht="31.5" x14ac:dyDescent="0.25">
      <c r="A747" s="25" t="s">
        <v>148</v>
      </c>
      <c r="B747" s="16">
        <v>906</v>
      </c>
      <c r="C747" s="20" t="s">
        <v>279</v>
      </c>
      <c r="D747" s="20" t="s">
        <v>234</v>
      </c>
      <c r="E747" s="20" t="s">
        <v>1065</v>
      </c>
      <c r="F747" s="20" t="s">
        <v>149</v>
      </c>
      <c r="G747" s="415">
        <v>300</v>
      </c>
      <c r="H747" s="26">
        <f t="shared" ref="H747:I747" si="364">350-35+35+250</f>
        <v>600</v>
      </c>
      <c r="I747" s="26">
        <f t="shared" si="364"/>
        <v>600</v>
      </c>
      <c r="L747" s="111"/>
    </row>
    <row r="748" spans="1:13" s="230" customFormat="1" ht="31.5" x14ac:dyDescent="0.25">
      <c r="A748" s="23" t="s">
        <v>1006</v>
      </c>
      <c r="B748" s="19">
        <v>906</v>
      </c>
      <c r="C748" s="24" t="s">
        <v>279</v>
      </c>
      <c r="D748" s="24" t="s">
        <v>234</v>
      </c>
      <c r="E748" s="24" t="s">
        <v>989</v>
      </c>
      <c r="F748" s="24"/>
      <c r="G748" s="416">
        <f>G749+G756</f>
        <v>13945</v>
      </c>
      <c r="H748" s="21">
        <f t="shared" ref="H748:I748" si="365">H749+H756</f>
        <v>13838.4</v>
      </c>
      <c r="I748" s="21">
        <f t="shared" si="365"/>
        <v>13838.4</v>
      </c>
      <c r="J748" s="212"/>
      <c r="K748" s="111"/>
      <c r="L748" s="111"/>
    </row>
    <row r="749" spans="1:13" ht="15.75" x14ac:dyDescent="0.25">
      <c r="A749" s="25" t="s">
        <v>1291</v>
      </c>
      <c r="B749" s="16">
        <v>906</v>
      </c>
      <c r="C749" s="20" t="s">
        <v>279</v>
      </c>
      <c r="D749" s="20" t="s">
        <v>234</v>
      </c>
      <c r="E749" s="20" t="s">
        <v>990</v>
      </c>
      <c r="F749" s="20"/>
      <c r="G749" s="415">
        <f>G750+G752+G754</f>
        <v>13609</v>
      </c>
      <c r="H749" s="26">
        <f t="shared" ref="H749:I749" si="366">H750+H752+H754</f>
        <v>13838.4</v>
      </c>
      <c r="I749" s="26">
        <f t="shared" si="366"/>
        <v>13838.4</v>
      </c>
      <c r="L749" s="111"/>
    </row>
    <row r="750" spans="1:13" ht="61.5" customHeight="1" x14ac:dyDescent="0.25">
      <c r="A750" s="25" t="s">
        <v>142</v>
      </c>
      <c r="B750" s="16">
        <v>906</v>
      </c>
      <c r="C750" s="20" t="s">
        <v>279</v>
      </c>
      <c r="D750" s="20" t="s">
        <v>234</v>
      </c>
      <c r="E750" s="20" t="s">
        <v>990</v>
      </c>
      <c r="F750" s="20" t="s">
        <v>143</v>
      </c>
      <c r="G750" s="415">
        <f>G751</f>
        <v>12517</v>
      </c>
      <c r="H750" s="26">
        <f t="shared" ref="H750:I750" si="367">H751</f>
        <v>12520.9</v>
      </c>
      <c r="I750" s="26">
        <f t="shared" si="367"/>
        <v>12520.9</v>
      </c>
      <c r="L750" s="111"/>
    </row>
    <row r="751" spans="1:13" ht="25.5" x14ac:dyDescent="0.25">
      <c r="A751" s="25" t="s">
        <v>357</v>
      </c>
      <c r="B751" s="16">
        <v>906</v>
      </c>
      <c r="C751" s="20" t="s">
        <v>279</v>
      </c>
      <c r="D751" s="20" t="s">
        <v>234</v>
      </c>
      <c r="E751" s="20" t="s">
        <v>990</v>
      </c>
      <c r="F751" s="20" t="s">
        <v>224</v>
      </c>
      <c r="G751" s="419">
        <v>12517</v>
      </c>
      <c r="H751" s="27">
        <f t="shared" ref="H751:I751" si="368">11858.3-4.3+509+157.9</f>
        <v>12520.9</v>
      </c>
      <c r="I751" s="27">
        <f t="shared" si="368"/>
        <v>12520.9</v>
      </c>
      <c r="J751" s="313" t="s">
        <v>888</v>
      </c>
      <c r="K751" s="225" t="s">
        <v>1326</v>
      </c>
      <c r="L751" s="332">
        <v>12517</v>
      </c>
      <c r="M751" s="1" t="s">
        <v>1392</v>
      </c>
    </row>
    <row r="752" spans="1:13" ht="15.75" x14ac:dyDescent="0.25">
      <c r="A752" s="25" t="s">
        <v>146</v>
      </c>
      <c r="B752" s="16">
        <v>906</v>
      </c>
      <c r="C752" s="20" t="s">
        <v>279</v>
      </c>
      <c r="D752" s="20" t="s">
        <v>234</v>
      </c>
      <c r="E752" s="20" t="s">
        <v>990</v>
      </c>
      <c r="F752" s="20" t="s">
        <v>147</v>
      </c>
      <c r="G752" s="415">
        <f>G753</f>
        <v>1077</v>
      </c>
      <c r="H752" s="26">
        <f t="shared" ref="H752:I752" si="369">H753</f>
        <v>1302.0999999999999</v>
      </c>
      <c r="I752" s="26">
        <f t="shared" si="369"/>
        <v>1302.0999999999999</v>
      </c>
      <c r="L752" s="224"/>
    </row>
    <row r="753" spans="1:12" ht="33" customHeight="1" x14ac:dyDescent="0.25">
      <c r="A753" s="25" t="s">
        <v>148</v>
      </c>
      <c r="B753" s="16">
        <v>906</v>
      </c>
      <c r="C753" s="20" t="s">
        <v>279</v>
      </c>
      <c r="D753" s="20" t="s">
        <v>234</v>
      </c>
      <c r="E753" s="20" t="s">
        <v>990</v>
      </c>
      <c r="F753" s="20" t="s">
        <v>149</v>
      </c>
      <c r="G753" s="415">
        <v>1077</v>
      </c>
      <c r="H753" s="26">
        <f t="shared" ref="H753:I753" si="370">1272.1+30</f>
        <v>1302.0999999999999</v>
      </c>
      <c r="I753" s="26">
        <f t="shared" si="370"/>
        <v>1302.0999999999999</v>
      </c>
      <c r="J753" s="240"/>
      <c r="L753" s="111"/>
    </row>
    <row r="754" spans="1:12" ht="15.75" x14ac:dyDescent="0.25">
      <c r="A754" s="25" t="s">
        <v>150</v>
      </c>
      <c r="B754" s="16">
        <v>906</v>
      </c>
      <c r="C754" s="20" t="s">
        <v>279</v>
      </c>
      <c r="D754" s="20" t="s">
        <v>234</v>
      </c>
      <c r="E754" s="20" t="s">
        <v>990</v>
      </c>
      <c r="F754" s="20" t="s">
        <v>160</v>
      </c>
      <c r="G754" s="415">
        <f>G755</f>
        <v>15</v>
      </c>
      <c r="H754" s="26">
        <f t="shared" ref="H754:I754" si="371">H755</f>
        <v>15.4</v>
      </c>
      <c r="I754" s="26">
        <f t="shared" si="371"/>
        <v>15.4</v>
      </c>
      <c r="L754" s="111"/>
    </row>
    <row r="755" spans="1:12" ht="15.75" x14ac:dyDescent="0.25">
      <c r="A755" s="25" t="s">
        <v>583</v>
      </c>
      <c r="B755" s="16">
        <v>906</v>
      </c>
      <c r="C755" s="20" t="s">
        <v>279</v>
      </c>
      <c r="D755" s="20" t="s">
        <v>234</v>
      </c>
      <c r="E755" s="20" t="s">
        <v>990</v>
      </c>
      <c r="F755" s="20" t="s">
        <v>153</v>
      </c>
      <c r="G755" s="415">
        <f>15.4-0.4</f>
        <v>15</v>
      </c>
      <c r="H755" s="26">
        <f t="shared" ref="H755:I755" si="372">15.4</f>
        <v>15.4</v>
      </c>
      <c r="I755" s="26">
        <f t="shared" si="372"/>
        <v>15.4</v>
      </c>
      <c r="J755" s="240"/>
      <c r="L755" s="111"/>
    </row>
    <row r="756" spans="1:12" s="230" customFormat="1" ht="31.5" x14ac:dyDescent="0.25">
      <c r="A756" s="25" t="s">
        <v>886</v>
      </c>
      <c r="B756" s="16">
        <v>906</v>
      </c>
      <c r="C756" s="20" t="s">
        <v>279</v>
      </c>
      <c r="D756" s="20" t="s">
        <v>234</v>
      </c>
      <c r="E756" s="20" t="s">
        <v>991</v>
      </c>
      <c r="F756" s="20"/>
      <c r="G756" s="415">
        <f>G757</f>
        <v>336</v>
      </c>
      <c r="H756" s="26">
        <f t="shared" ref="H756:I757" si="373">H757</f>
        <v>0</v>
      </c>
      <c r="I756" s="26">
        <f t="shared" si="373"/>
        <v>0</v>
      </c>
      <c r="J756" s="249"/>
      <c r="K756" s="111"/>
      <c r="L756" s="111"/>
    </row>
    <row r="757" spans="1:12" s="230" customFormat="1" ht="47.25" x14ac:dyDescent="0.25">
      <c r="A757" s="25" t="s">
        <v>142</v>
      </c>
      <c r="B757" s="16">
        <v>906</v>
      </c>
      <c r="C757" s="20" t="s">
        <v>279</v>
      </c>
      <c r="D757" s="20" t="s">
        <v>234</v>
      </c>
      <c r="E757" s="20" t="s">
        <v>991</v>
      </c>
      <c r="F757" s="20" t="s">
        <v>143</v>
      </c>
      <c r="G757" s="415">
        <f>G758</f>
        <v>336</v>
      </c>
      <c r="H757" s="26">
        <f t="shared" si="373"/>
        <v>0</v>
      </c>
      <c r="I757" s="26">
        <f t="shared" si="373"/>
        <v>0</v>
      </c>
      <c r="J757" s="249"/>
      <c r="K757" s="111"/>
      <c r="L757" s="111"/>
    </row>
    <row r="758" spans="1:12" s="230" customFormat="1" ht="15.75" x14ac:dyDescent="0.25">
      <c r="A758" s="25" t="s">
        <v>357</v>
      </c>
      <c r="B758" s="16">
        <v>906</v>
      </c>
      <c r="C758" s="20" t="s">
        <v>279</v>
      </c>
      <c r="D758" s="20" t="s">
        <v>234</v>
      </c>
      <c r="E758" s="20" t="s">
        <v>991</v>
      </c>
      <c r="F758" s="20" t="s">
        <v>224</v>
      </c>
      <c r="G758" s="415">
        <v>336</v>
      </c>
      <c r="H758" s="26"/>
      <c r="I758" s="26"/>
      <c r="J758" s="249"/>
      <c r="K758" s="111"/>
      <c r="L758" s="111"/>
    </row>
    <row r="759" spans="1:12" ht="36.75" customHeight="1" x14ac:dyDescent="0.25">
      <c r="A759" s="19" t="s">
        <v>495</v>
      </c>
      <c r="B759" s="19">
        <v>907</v>
      </c>
      <c r="C759" s="20"/>
      <c r="D759" s="20"/>
      <c r="E759" s="20"/>
      <c r="F759" s="20"/>
      <c r="G759" s="416">
        <f>G767+G760</f>
        <v>58553.599999999999</v>
      </c>
      <c r="H759" s="21">
        <f t="shared" ref="H759:I759" si="374">H767</f>
        <v>59348.2</v>
      </c>
      <c r="I759" s="21">
        <f t="shared" si="374"/>
        <v>59348.2</v>
      </c>
      <c r="J759" s="242"/>
      <c r="L759" s="224"/>
    </row>
    <row r="760" spans="1:12" s="230" customFormat="1" ht="18.75" customHeight="1" x14ac:dyDescent="0.25">
      <c r="A760" s="23" t="s">
        <v>132</v>
      </c>
      <c r="B760" s="19">
        <v>907</v>
      </c>
      <c r="C760" s="24" t="s">
        <v>133</v>
      </c>
      <c r="D760" s="24"/>
      <c r="E760" s="24"/>
      <c r="F760" s="24"/>
      <c r="G760" s="416">
        <f t="shared" ref="G760:G761" si="375">G761</f>
        <v>70</v>
      </c>
      <c r="H760" s="21"/>
      <c r="I760" s="21"/>
      <c r="J760" s="242"/>
      <c r="K760" s="111"/>
      <c r="L760" s="224"/>
    </row>
    <row r="761" spans="1:12" s="230" customFormat="1" ht="21.75" customHeight="1" x14ac:dyDescent="0.25">
      <c r="A761" s="34" t="s">
        <v>154</v>
      </c>
      <c r="B761" s="19">
        <v>907</v>
      </c>
      <c r="C761" s="24" t="s">
        <v>133</v>
      </c>
      <c r="D761" s="24" t="s">
        <v>155</v>
      </c>
      <c r="E761" s="24"/>
      <c r="F761" s="24"/>
      <c r="G761" s="416">
        <f t="shared" si="375"/>
        <v>70</v>
      </c>
      <c r="H761" s="21"/>
      <c r="I761" s="21"/>
      <c r="J761" s="242"/>
      <c r="K761" s="111"/>
      <c r="L761" s="224"/>
    </row>
    <row r="762" spans="1:12" s="230" customFormat="1" ht="56.25" customHeight="1" x14ac:dyDescent="0.25">
      <c r="A762" s="23" t="s">
        <v>349</v>
      </c>
      <c r="B762" s="19">
        <v>907</v>
      </c>
      <c r="C762" s="24" t="s">
        <v>133</v>
      </c>
      <c r="D762" s="24" t="s">
        <v>155</v>
      </c>
      <c r="E762" s="24" t="s">
        <v>350</v>
      </c>
      <c r="F762" s="24"/>
      <c r="G762" s="416">
        <f>G763</f>
        <v>70</v>
      </c>
      <c r="H762" s="21"/>
      <c r="I762" s="21"/>
      <c r="J762" s="242"/>
      <c r="K762" s="111"/>
      <c r="L762" s="224"/>
    </row>
    <row r="763" spans="1:12" s="230" customFormat="1" ht="36.75" customHeight="1" x14ac:dyDescent="0.25">
      <c r="A763" s="275" t="s">
        <v>1236</v>
      </c>
      <c r="B763" s="19">
        <v>907</v>
      </c>
      <c r="C763" s="24" t="s">
        <v>133</v>
      </c>
      <c r="D763" s="24" t="s">
        <v>155</v>
      </c>
      <c r="E763" s="24" t="s">
        <v>1237</v>
      </c>
      <c r="F763" s="24"/>
      <c r="G763" s="416">
        <f>G764</f>
        <v>70</v>
      </c>
      <c r="H763" s="21"/>
      <c r="I763" s="21"/>
      <c r="J763" s="242"/>
      <c r="K763" s="111"/>
      <c r="L763" s="224"/>
    </row>
    <row r="764" spans="1:12" s="230" customFormat="1" ht="36.75" customHeight="1" x14ac:dyDescent="0.25">
      <c r="A764" s="100" t="s">
        <v>351</v>
      </c>
      <c r="B764" s="16">
        <v>907</v>
      </c>
      <c r="C764" s="20" t="s">
        <v>133</v>
      </c>
      <c r="D764" s="20" t="s">
        <v>155</v>
      </c>
      <c r="E764" s="20" t="s">
        <v>1238</v>
      </c>
      <c r="F764" s="20"/>
      <c r="G764" s="415">
        <f>G765</f>
        <v>70</v>
      </c>
      <c r="H764" s="21"/>
      <c r="I764" s="21"/>
      <c r="J764" s="242"/>
      <c r="K764" s="111"/>
      <c r="L764" s="224"/>
    </row>
    <row r="765" spans="1:12" s="230" customFormat="1" ht="36.75" customHeight="1" x14ac:dyDescent="0.25">
      <c r="A765" s="25" t="s">
        <v>146</v>
      </c>
      <c r="B765" s="16">
        <v>907</v>
      </c>
      <c r="C765" s="20" t="s">
        <v>133</v>
      </c>
      <c r="D765" s="20" t="s">
        <v>155</v>
      </c>
      <c r="E765" s="20" t="s">
        <v>1238</v>
      </c>
      <c r="F765" s="20" t="s">
        <v>147</v>
      </c>
      <c r="G765" s="415">
        <f>G766</f>
        <v>70</v>
      </c>
      <c r="H765" s="21"/>
      <c r="I765" s="21"/>
      <c r="J765" s="242"/>
      <c r="K765" s="111"/>
      <c r="L765" s="224"/>
    </row>
    <row r="766" spans="1:12" s="230" customFormat="1" ht="36.75" customHeight="1" x14ac:dyDescent="0.25">
      <c r="A766" s="25" t="s">
        <v>148</v>
      </c>
      <c r="B766" s="16">
        <v>907</v>
      </c>
      <c r="C766" s="20" t="s">
        <v>133</v>
      </c>
      <c r="D766" s="20" t="s">
        <v>155</v>
      </c>
      <c r="E766" s="20" t="s">
        <v>1238</v>
      </c>
      <c r="F766" s="20" t="s">
        <v>149</v>
      </c>
      <c r="G766" s="415">
        <v>70</v>
      </c>
      <c r="H766" s="21"/>
      <c r="I766" s="21"/>
      <c r="J766" s="242"/>
      <c r="K766" s="111"/>
      <c r="L766" s="224"/>
    </row>
    <row r="767" spans="1:12" ht="15.75" x14ac:dyDescent="0.25">
      <c r="A767" s="23" t="s">
        <v>505</v>
      </c>
      <c r="B767" s="19">
        <v>907</v>
      </c>
      <c r="C767" s="24" t="s">
        <v>506</v>
      </c>
      <c r="D767" s="20"/>
      <c r="E767" s="20"/>
      <c r="F767" s="20"/>
      <c r="G767" s="416">
        <f>G768+G807</f>
        <v>58483.6</v>
      </c>
      <c r="H767" s="21">
        <f>H768+H807</f>
        <v>59348.2</v>
      </c>
      <c r="I767" s="21">
        <f>I768+I807</f>
        <v>59348.2</v>
      </c>
      <c r="L767" s="111"/>
    </row>
    <row r="768" spans="1:12" ht="15.75" x14ac:dyDescent="0.25">
      <c r="A768" s="23" t="s">
        <v>507</v>
      </c>
      <c r="B768" s="19">
        <v>907</v>
      </c>
      <c r="C768" s="24" t="s">
        <v>506</v>
      </c>
      <c r="D768" s="24" t="s">
        <v>133</v>
      </c>
      <c r="E768" s="20"/>
      <c r="F768" s="20"/>
      <c r="G768" s="416">
        <f>G769+G802</f>
        <v>46727.6</v>
      </c>
      <c r="H768" s="21">
        <f>H769+H802</f>
        <v>47122.599999999991</v>
      </c>
      <c r="I768" s="21">
        <f>I769+I802</f>
        <v>47122.599999999991</v>
      </c>
      <c r="L768" s="111"/>
    </row>
    <row r="769" spans="1:15" ht="31.5" x14ac:dyDescent="0.25">
      <c r="A769" s="23" t="s">
        <v>496</v>
      </c>
      <c r="B769" s="19">
        <v>907</v>
      </c>
      <c r="C769" s="24" t="s">
        <v>506</v>
      </c>
      <c r="D769" s="24" t="s">
        <v>133</v>
      </c>
      <c r="E769" s="24" t="s">
        <v>497</v>
      </c>
      <c r="F769" s="24"/>
      <c r="G769" s="416">
        <f>G770</f>
        <v>46187.5</v>
      </c>
      <c r="H769" s="21">
        <f t="shared" ref="H769:I769" si="376">H770</f>
        <v>46582.499999999993</v>
      </c>
      <c r="I769" s="21">
        <f t="shared" si="376"/>
        <v>46582.499999999993</v>
      </c>
      <c r="L769" s="111"/>
    </row>
    <row r="770" spans="1:15" ht="31.5" x14ac:dyDescent="0.25">
      <c r="A770" s="23" t="s">
        <v>508</v>
      </c>
      <c r="B770" s="19">
        <v>907</v>
      </c>
      <c r="C770" s="24" t="s">
        <v>506</v>
      </c>
      <c r="D770" s="24" t="s">
        <v>133</v>
      </c>
      <c r="E770" s="24" t="s">
        <v>509</v>
      </c>
      <c r="F770" s="24"/>
      <c r="G770" s="416">
        <f>G771+G781+G791+G798</f>
        <v>46187.5</v>
      </c>
      <c r="H770" s="21">
        <f t="shared" ref="H770:I770" si="377">H771+H781+H791</f>
        <v>46582.499999999993</v>
      </c>
      <c r="I770" s="21">
        <f t="shared" si="377"/>
        <v>46582.499999999993</v>
      </c>
      <c r="L770" s="111"/>
    </row>
    <row r="771" spans="1:15" ht="31.5" x14ac:dyDescent="0.25">
      <c r="A771" s="23" t="s">
        <v>1033</v>
      </c>
      <c r="B771" s="19">
        <v>907</v>
      </c>
      <c r="C771" s="24" t="s">
        <v>506</v>
      </c>
      <c r="D771" s="24" t="s">
        <v>133</v>
      </c>
      <c r="E771" s="24" t="s">
        <v>1066</v>
      </c>
      <c r="F771" s="24"/>
      <c r="G771" s="416">
        <f>G772+G775+G778</f>
        <v>44582</v>
      </c>
      <c r="H771" s="21">
        <f t="shared" ref="H771:I771" si="378">H772+H775+H778+H798</f>
        <v>44684.499999999993</v>
      </c>
      <c r="I771" s="21">
        <f t="shared" si="378"/>
        <v>44684.499999999993</v>
      </c>
      <c r="L771" s="111"/>
    </row>
    <row r="772" spans="1:15" ht="31.5" x14ac:dyDescent="0.25">
      <c r="A772" s="25" t="s">
        <v>838</v>
      </c>
      <c r="B772" s="16">
        <v>907</v>
      </c>
      <c r="C772" s="20" t="s">
        <v>506</v>
      </c>
      <c r="D772" s="20" t="s">
        <v>133</v>
      </c>
      <c r="E772" s="20" t="s">
        <v>1076</v>
      </c>
      <c r="F772" s="20"/>
      <c r="G772" s="415">
        <f>G773</f>
        <v>13108</v>
      </c>
      <c r="H772" s="26">
        <f t="shared" ref="H772:I773" si="379">H773</f>
        <v>12832.4</v>
      </c>
      <c r="I772" s="26">
        <f t="shared" si="379"/>
        <v>12832.4</v>
      </c>
      <c r="L772" s="111"/>
    </row>
    <row r="773" spans="1:15" ht="36" customHeight="1" x14ac:dyDescent="0.25">
      <c r="A773" s="25" t="s">
        <v>287</v>
      </c>
      <c r="B773" s="16">
        <v>907</v>
      </c>
      <c r="C773" s="20" t="s">
        <v>506</v>
      </c>
      <c r="D773" s="20" t="s">
        <v>133</v>
      </c>
      <c r="E773" s="20" t="s">
        <v>1076</v>
      </c>
      <c r="F773" s="20" t="s">
        <v>288</v>
      </c>
      <c r="G773" s="415">
        <f>G774</f>
        <v>13108</v>
      </c>
      <c r="H773" s="26">
        <f t="shared" si="379"/>
        <v>12832.4</v>
      </c>
      <c r="I773" s="26">
        <f t="shared" si="379"/>
        <v>12832.4</v>
      </c>
      <c r="L773" s="111"/>
    </row>
    <row r="774" spans="1:15" ht="15.75" x14ac:dyDescent="0.25">
      <c r="A774" s="25" t="s">
        <v>289</v>
      </c>
      <c r="B774" s="16">
        <v>907</v>
      </c>
      <c r="C774" s="20" t="s">
        <v>506</v>
      </c>
      <c r="D774" s="20" t="s">
        <v>133</v>
      </c>
      <c r="E774" s="20" t="s">
        <v>1076</v>
      </c>
      <c r="F774" s="20" t="s">
        <v>290</v>
      </c>
      <c r="G774" s="419">
        <f>12832.4-0.4+776-500</f>
        <v>13108</v>
      </c>
      <c r="H774" s="27">
        <v>12832.4</v>
      </c>
      <c r="I774" s="27">
        <v>12832.4</v>
      </c>
      <c r="J774" s="247"/>
      <c r="K774" s="319">
        <v>1.07</v>
      </c>
      <c r="L774" s="111"/>
      <c r="M774" s="111"/>
      <c r="N774" s="111"/>
      <c r="O774" s="111"/>
    </row>
    <row r="775" spans="1:15" ht="47.25" customHeight="1" x14ac:dyDescent="0.25">
      <c r="A775" s="25" t="s">
        <v>859</v>
      </c>
      <c r="B775" s="16">
        <v>907</v>
      </c>
      <c r="C775" s="20" t="s">
        <v>506</v>
      </c>
      <c r="D775" s="20" t="s">
        <v>133</v>
      </c>
      <c r="E775" s="20" t="s">
        <v>1077</v>
      </c>
      <c r="F775" s="20"/>
      <c r="G775" s="419">
        <f>G776</f>
        <v>12897</v>
      </c>
      <c r="H775" s="27">
        <f t="shared" ref="H775:I776" si="380">H776</f>
        <v>12697.8</v>
      </c>
      <c r="I775" s="27">
        <f t="shared" si="380"/>
        <v>12697.8</v>
      </c>
      <c r="J775" s="250"/>
      <c r="K775" s="223"/>
      <c r="L775" s="224"/>
      <c r="M775" s="111"/>
      <c r="N775" s="111"/>
      <c r="O775" s="111"/>
    </row>
    <row r="776" spans="1:15" ht="31.5" x14ac:dyDescent="0.25">
      <c r="A776" s="25" t="s">
        <v>287</v>
      </c>
      <c r="B776" s="16">
        <v>907</v>
      </c>
      <c r="C776" s="20" t="s">
        <v>506</v>
      </c>
      <c r="D776" s="20" t="s">
        <v>133</v>
      </c>
      <c r="E776" s="20" t="s">
        <v>1077</v>
      </c>
      <c r="F776" s="20" t="s">
        <v>288</v>
      </c>
      <c r="G776" s="419">
        <f>G777</f>
        <v>12897</v>
      </c>
      <c r="H776" s="27">
        <f t="shared" si="380"/>
        <v>12697.8</v>
      </c>
      <c r="I776" s="27">
        <f t="shared" si="380"/>
        <v>12697.8</v>
      </c>
      <c r="J776" s="250"/>
      <c r="K776" s="223"/>
      <c r="L776" s="111"/>
      <c r="M776" s="111"/>
      <c r="N776" s="111"/>
      <c r="O776" s="111"/>
    </row>
    <row r="777" spans="1:15" ht="15.75" x14ac:dyDescent="0.25">
      <c r="A777" s="25" t="s">
        <v>289</v>
      </c>
      <c r="B777" s="16">
        <v>907</v>
      </c>
      <c r="C777" s="20" t="s">
        <v>506</v>
      </c>
      <c r="D777" s="20" t="s">
        <v>133</v>
      </c>
      <c r="E777" s="20" t="s">
        <v>1077</v>
      </c>
      <c r="F777" s="20" t="s">
        <v>290</v>
      </c>
      <c r="G777" s="419">
        <f>12697.8+0.2+699-500</f>
        <v>12897</v>
      </c>
      <c r="H777" s="27">
        <v>12697.8</v>
      </c>
      <c r="I777" s="27">
        <v>12697.8</v>
      </c>
      <c r="J777" s="250"/>
      <c r="K777" s="319">
        <v>1.07</v>
      </c>
      <c r="L777" s="111"/>
      <c r="M777" s="111"/>
      <c r="N777" s="111"/>
      <c r="O777" s="111"/>
    </row>
    <row r="778" spans="1:15" ht="31.5" x14ac:dyDescent="0.25">
      <c r="A778" s="25" t="s">
        <v>860</v>
      </c>
      <c r="B778" s="16">
        <v>907</v>
      </c>
      <c r="C778" s="20" t="s">
        <v>506</v>
      </c>
      <c r="D778" s="20" t="s">
        <v>133</v>
      </c>
      <c r="E778" s="20" t="s">
        <v>1078</v>
      </c>
      <c r="F778" s="20"/>
      <c r="G778" s="419">
        <f>G779</f>
        <v>18577</v>
      </c>
      <c r="H778" s="27">
        <f t="shared" ref="H778:I779" si="381">H779</f>
        <v>18284.099999999999</v>
      </c>
      <c r="I778" s="27">
        <f t="shared" si="381"/>
        <v>18284.099999999999</v>
      </c>
      <c r="J778" s="250"/>
      <c r="K778" s="223"/>
      <c r="L778" s="224"/>
      <c r="M778" s="111"/>
      <c r="N778" s="111"/>
      <c r="O778" s="111"/>
    </row>
    <row r="779" spans="1:15" ht="31.5" x14ac:dyDescent="0.25">
      <c r="A779" s="25" t="s">
        <v>287</v>
      </c>
      <c r="B779" s="16">
        <v>907</v>
      </c>
      <c r="C779" s="20" t="s">
        <v>506</v>
      </c>
      <c r="D779" s="20" t="s">
        <v>133</v>
      </c>
      <c r="E779" s="20" t="s">
        <v>1078</v>
      </c>
      <c r="F779" s="20" t="s">
        <v>288</v>
      </c>
      <c r="G779" s="419">
        <f>G780</f>
        <v>18577</v>
      </c>
      <c r="H779" s="27">
        <f t="shared" si="381"/>
        <v>18284.099999999999</v>
      </c>
      <c r="I779" s="27">
        <f t="shared" si="381"/>
        <v>18284.099999999999</v>
      </c>
      <c r="J779" s="250"/>
      <c r="K779" s="223"/>
      <c r="L779" s="111"/>
      <c r="M779" s="111"/>
      <c r="N779" s="111"/>
      <c r="O779" s="111"/>
    </row>
    <row r="780" spans="1:15" ht="15.75" x14ac:dyDescent="0.25">
      <c r="A780" s="25" t="s">
        <v>289</v>
      </c>
      <c r="B780" s="16">
        <v>907</v>
      </c>
      <c r="C780" s="20" t="s">
        <v>506</v>
      </c>
      <c r="D780" s="20" t="s">
        <v>133</v>
      </c>
      <c r="E780" s="20" t="s">
        <v>1078</v>
      </c>
      <c r="F780" s="20" t="s">
        <v>290</v>
      </c>
      <c r="G780" s="419">
        <f>18284.1-0.1+793-500</f>
        <v>18577</v>
      </c>
      <c r="H780" s="27">
        <v>18284.099999999999</v>
      </c>
      <c r="I780" s="27">
        <v>18284.099999999999</v>
      </c>
      <c r="J780" s="250"/>
      <c r="K780" s="321">
        <v>1.07</v>
      </c>
      <c r="L780" s="320"/>
      <c r="M780" s="111"/>
      <c r="N780" s="111"/>
      <c r="O780" s="111"/>
    </row>
    <row r="781" spans="1:15" s="230" customFormat="1" ht="15.75" x14ac:dyDescent="0.25">
      <c r="A781" s="23" t="s">
        <v>1079</v>
      </c>
      <c r="B781" s="19">
        <v>907</v>
      </c>
      <c r="C781" s="24" t="s">
        <v>506</v>
      </c>
      <c r="D781" s="24" t="s">
        <v>133</v>
      </c>
      <c r="E781" s="24" t="s">
        <v>1080</v>
      </c>
      <c r="F781" s="24"/>
      <c r="G781" s="315">
        <f>G782+G785+G788</f>
        <v>36</v>
      </c>
      <c r="H781" s="44">
        <f t="shared" ref="H781:I781" si="382">H782+H785+H788</f>
        <v>651</v>
      </c>
      <c r="I781" s="44">
        <f t="shared" si="382"/>
        <v>651</v>
      </c>
      <c r="J781" s="250"/>
      <c r="K781" s="269"/>
      <c r="L781" s="269"/>
      <c r="M781" s="111"/>
      <c r="N781" s="111"/>
      <c r="O781" s="111"/>
    </row>
    <row r="782" spans="1:15" ht="31.5" hidden="1" x14ac:dyDescent="0.25">
      <c r="A782" s="25" t="s">
        <v>293</v>
      </c>
      <c r="B782" s="16">
        <v>907</v>
      </c>
      <c r="C782" s="20" t="s">
        <v>506</v>
      </c>
      <c r="D782" s="20" t="s">
        <v>133</v>
      </c>
      <c r="E782" s="20" t="s">
        <v>1084</v>
      </c>
      <c r="F782" s="20"/>
      <c r="G782" s="415">
        <f>G783</f>
        <v>0</v>
      </c>
      <c r="H782" s="26">
        <f t="shared" ref="H782:I783" si="383">H783</f>
        <v>429.6</v>
      </c>
      <c r="I782" s="26">
        <f t="shared" si="383"/>
        <v>429.6</v>
      </c>
      <c r="L782" s="111"/>
      <c r="M782" s="111"/>
      <c r="N782" s="473"/>
      <c r="O782" s="473"/>
    </row>
    <row r="783" spans="1:15" ht="31.5" hidden="1" x14ac:dyDescent="0.25">
      <c r="A783" s="25" t="s">
        <v>287</v>
      </c>
      <c r="B783" s="16">
        <v>907</v>
      </c>
      <c r="C783" s="20" t="s">
        <v>506</v>
      </c>
      <c r="D783" s="20" t="s">
        <v>133</v>
      </c>
      <c r="E783" s="20" t="s">
        <v>1084</v>
      </c>
      <c r="F783" s="20" t="s">
        <v>288</v>
      </c>
      <c r="G783" s="415">
        <f>G784</f>
        <v>0</v>
      </c>
      <c r="H783" s="26">
        <f t="shared" si="383"/>
        <v>429.6</v>
      </c>
      <c r="I783" s="26">
        <f t="shared" si="383"/>
        <v>429.6</v>
      </c>
      <c r="L783" s="111"/>
      <c r="M783" s="111"/>
      <c r="N783" s="111"/>
      <c r="O783" s="111"/>
    </row>
    <row r="784" spans="1:15" ht="15.75" hidden="1" x14ac:dyDescent="0.25">
      <c r="A784" s="25" t="s">
        <v>289</v>
      </c>
      <c r="B784" s="16">
        <v>907</v>
      </c>
      <c r="C784" s="20" t="s">
        <v>506</v>
      </c>
      <c r="D784" s="20" t="s">
        <v>133</v>
      </c>
      <c r="E784" s="20" t="s">
        <v>1084</v>
      </c>
      <c r="F784" s="20" t="s">
        <v>290</v>
      </c>
      <c r="G784" s="415">
        <v>0</v>
      </c>
      <c r="H784" s="26">
        <v>429.6</v>
      </c>
      <c r="I784" s="26">
        <v>429.6</v>
      </c>
      <c r="J784" s="245"/>
      <c r="L784" s="111"/>
      <c r="M784" s="111"/>
      <c r="N784" s="111"/>
      <c r="O784" s="111"/>
    </row>
    <row r="785" spans="1:15" ht="33" hidden="1" customHeight="1" x14ac:dyDescent="0.25">
      <c r="A785" s="25" t="s">
        <v>295</v>
      </c>
      <c r="B785" s="16">
        <v>907</v>
      </c>
      <c r="C785" s="20" t="s">
        <v>506</v>
      </c>
      <c r="D785" s="20" t="s">
        <v>133</v>
      </c>
      <c r="E785" s="20" t="s">
        <v>1085</v>
      </c>
      <c r="F785" s="20"/>
      <c r="G785" s="415">
        <f>G786</f>
        <v>0</v>
      </c>
      <c r="H785" s="26">
        <f t="shared" ref="H785:I786" si="384">H786</f>
        <v>185.4</v>
      </c>
      <c r="I785" s="26">
        <f t="shared" si="384"/>
        <v>185.4</v>
      </c>
      <c r="L785" s="111"/>
      <c r="M785" s="111"/>
      <c r="N785" s="111"/>
      <c r="O785" s="111"/>
    </row>
    <row r="786" spans="1:15" ht="37.5" hidden="1" customHeight="1" x14ac:dyDescent="0.25">
      <c r="A786" s="25" t="s">
        <v>287</v>
      </c>
      <c r="B786" s="16">
        <v>907</v>
      </c>
      <c r="C786" s="20" t="s">
        <v>506</v>
      </c>
      <c r="D786" s="20" t="s">
        <v>133</v>
      </c>
      <c r="E786" s="20" t="s">
        <v>1085</v>
      </c>
      <c r="F786" s="20" t="s">
        <v>288</v>
      </c>
      <c r="G786" s="415">
        <f>G787</f>
        <v>0</v>
      </c>
      <c r="H786" s="26">
        <f t="shared" si="384"/>
        <v>185.4</v>
      </c>
      <c r="I786" s="26">
        <f t="shared" si="384"/>
        <v>185.4</v>
      </c>
      <c r="L786" s="111"/>
      <c r="M786" s="111"/>
      <c r="N786" s="111"/>
      <c r="O786" s="111"/>
    </row>
    <row r="787" spans="1:15" ht="15.75" hidden="1" customHeight="1" x14ac:dyDescent="0.25">
      <c r="A787" s="25" t="s">
        <v>289</v>
      </c>
      <c r="B787" s="16">
        <v>907</v>
      </c>
      <c r="C787" s="20" t="s">
        <v>506</v>
      </c>
      <c r="D787" s="20" t="s">
        <v>133</v>
      </c>
      <c r="E787" s="20" t="s">
        <v>1085</v>
      </c>
      <c r="F787" s="20" t="s">
        <v>290</v>
      </c>
      <c r="G787" s="415">
        <v>0</v>
      </c>
      <c r="H787" s="26">
        <v>185.4</v>
      </c>
      <c r="I787" s="26">
        <v>185.4</v>
      </c>
      <c r="J787" s="240"/>
      <c r="L787" s="111"/>
      <c r="M787" s="111"/>
      <c r="N787" s="111"/>
      <c r="O787" s="111"/>
    </row>
    <row r="788" spans="1:15" s="230" customFormat="1" ht="15.75" customHeight="1" x14ac:dyDescent="0.25">
      <c r="A788" s="25" t="s">
        <v>877</v>
      </c>
      <c r="B788" s="16">
        <v>907</v>
      </c>
      <c r="C788" s="20" t="s">
        <v>506</v>
      </c>
      <c r="D788" s="20" t="s">
        <v>133</v>
      </c>
      <c r="E788" s="20" t="s">
        <v>1086</v>
      </c>
      <c r="F788" s="20"/>
      <c r="G788" s="415">
        <f>G789</f>
        <v>36</v>
      </c>
      <c r="H788" s="26">
        <f t="shared" ref="H788:I789" si="385">H789</f>
        <v>36</v>
      </c>
      <c r="I788" s="26">
        <f t="shared" si="385"/>
        <v>36</v>
      </c>
      <c r="J788" s="212"/>
      <c r="K788" s="111"/>
      <c r="L788" s="111"/>
      <c r="M788" s="111"/>
      <c r="N788" s="111"/>
      <c r="O788" s="111"/>
    </row>
    <row r="789" spans="1:15" s="230" customFormat="1" ht="15.75" customHeight="1" x14ac:dyDescent="0.25">
      <c r="A789" s="25" t="s">
        <v>287</v>
      </c>
      <c r="B789" s="16">
        <v>907</v>
      </c>
      <c r="C789" s="20" t="s">
        <v>506</v>
      </c>
      <c r="D789" s="20" t="s">
        <v>133</v>
      </c>
      <c r="E789" s="20" t="s">
        <v>1086</v>
      </c>
      <c r="F789" s="20" t="s">
        <v>288</v>
      </c>
      <c r="G789" s="415">
        <f>G790</f>
        <v>36</v>
      </c>
      <c r="H789" s="26">
        <f t="shared" si="385"/>
        <v>36</v>
      </c>
      <c r="I789" s="26">
        <f t="shared" si="385"/>
        <v>36</v>
      </c>
      <c r="J789" s="212"/>
      <c r="K789" s="111"/>
      <c r="L789" s="111"/>
      <c r="M789" s="111"/>
      <c r="N789" s="111"/>
      <c r="O789" s="111"/>
    </row>
    <row r="790" spans="1:15" s="230" customFormat="1" ht="15.75" customHeight="1" x14ac:dyDescent="0.25">
      <c r="A790" s="25" t="s">
        <v>289</v>
      </c>
      <c r="B790" s="16">
        <v>907</v>
      </c>
      <c r="C790" s="20" t="s">
        <v>506</v>
      </c>
      <c r="D790" s="20" t="s">
        <v>133</v>
      </c>
      <c r="E790" s="20" t="s">
        <v>1086</v>
      </c>
      <c r="F790" s="20" t="s">
        <v>290</v>
      </c>
      <c r="G790" s="415">
        <v>36</v>
      </c>
      <c r="H790" s="26">
        <v>36</v>
      </c>
      <c r="I790" s="26">
        <v>36</v>
      </c>
      <c r="J790" s="240"/>
      <c r="K790" s="111"/>
      <c r="L790" s="111"/>
      <c r="M790" s="111"/>
      <c r="N790" s="111"/>
      <c r="O790" s="111"/>
    </row>
    <row r="791" spans="1:15" s="230" customFormat="1" ht="35.25" customHeight="1" x14ac:dyDescent="0.25">
      <c r="A791" s="23" t="s">
        <v>1081</v>
      </c>
      <c r="B791" s="19">
        <v>907</v>
      </c>
      <c r="C791" s="24" t="s">
        <v>506</v>
      </c>
      <c r="D791" s="24" t="s">
        <v>133</v>
      </c>
      <c r="E791" s="24" t="s">
        <v>1083</v>
      </c>
      <c r="F791" s="24"/>
      <c r="G791" s="416">
        <f>G792+G795</f>
        <v>756</v>
      </c>
      <c r="H791" s="21">
        <f t="shared" ref="H791:I791" si="386">H792+H795</f>
        <v>1247</v>
      </c>
      <c r="I791" s="21">
        <f t="shared" si="386"/>
        <v>1247</v>
      </c>
      <c r="J791" s="249"/>
      <c r="K791" s="111"/>
      <c r="L791" s="111"/>
      <c r="M791" s="111"/>
      <c r="N791" s="111"/>
      <c r="O791" s="111"/>
    </row>
    <row r="792" spans="1:15" ht="33.75" hidden="1" customHeight="1" x14ac:dyDescent="0.25">
      <c r="A792" s="25" t="s">
        <v>816</v>
      </c>
      <c r="B792" s="16">
        <v>907</v>
      </c>
      <c r="C792" s="20" t="s">
        <v>506</v>
      </c>
      <c r="D792" s="20" t="s">
        <v>133</v>
      </c>
      <c r="E792" s="20" t="s">
        <v>1087</v>
      </c>
      <c r="F792" s="20"/>
      <c r="G792" s="415">
        <f>G793</f>
        <v>0</v>
      </c>
      <c r="H792" s="26">
        <f t="shared" ref="H792:I793" si="387">H793</f>
        <v>53.7</v>
      </c>
      <c r="I792" s="26">
        <f t="shared" si="387"/>
        <v>53.7</v>
      </c>
      <c r="L792" s="111"/>
      <c r="M792" s="111"/>
      <c r="N792" s="111"/>
      <c r="O792" s="111"/>
    </row>
    <row r="793" spans="1:15" ht="31.5" hidden="1" x14ac:dyDescent="0.25">
      <c r="A793" s="25" t="s">
        <v>287</v>
      </c>
      <c r="B793" s="16">
        <v>907</v>
      </c>
      <c r="C793" s="20" t="s">
        <v>506</v>
      </c>
      <c r="D793" s="20" t="s">
        <v>133</v>
      </c>
      <c r="E793" s="20" t="s">
        <v>1087</v>
      </c>
      <c r="F793" s="20" t="s">
        <v>288</v>
      </c>
      <c r="G793" s="415">
        <f>G794</f>
        <v>0</v>
      </c>
      <c r="H793" s="26">
        <f t="shared" si="387"/>
        <v>53.7</v>
      </c>
      <c r="I793" s="26">
        <f t="shared" si="387"/>
        <v>53.7</v>
      </c>
      <c r="L793" s="111"/>
      <c r="M793" s="111"/>
      <c r="N793" s="111"/>
      <c r="O793" s="111"/>
    </row>
    <row r="794" spans="1:15" ht="15.75" hidden="1" customHeight="1" x14ac:dyDescent="0.25">
      <c r="A794" s="25" t="s">
        <v>289</v>
      </c>
      <c r="B794" s="16">
        <v>907</v>
      </c>
      <c r="C794" s="20" t="s">
        <v>506</v>
      </c>
      <c r="D794" s="20" t="s">
        <v>133</v>
      </c>
      <c r="E794" s="20" t="s">
        <v>1087</v>
      </c>
      <c r="F794" s="20" t="s">
        <v>290</v>
      </c>
      <c r="G794" s="415">
        <v>0</v>
      </c>
      <c r="H794" s="26">
        <v>53.7</v>
      </c>
      <c r="I794" s="26">
        <v>53.7</v>
      </c>
      <c r="J794" s="240"/>
      <c r="L794" s="111"/>
      <c r="M794" s="111"/>
      <c r="N794" s="111"/>
      <c r="O794" s="111"/>
    </row>
    <row r="795" spans="1:15" ht="34.5" customHeight="1" x14ac:dyDescent="0.25">
      <c r="A795" s="45" t="s">
        <v>786</v>
      </c>
      <c r="B795" s="16">
        <v>907</v>
      </c>
      <c r="C795" s="20" t="s">
        <v>506</v>
      </c>
      <c r="D795" s="20" t="s">
        <v>133</v>
      </c>
      <c r="E795" s="20" t="s">
        <v>1088</v>
      </c>
      <c r="F795" s="20"/>
      <c r="G795" s="415">
        <f>G796</f>
        <v>756</v>
      </c>
      <c r="H795" s="26">
        <f t="shared" ref="H795:I796" si="388">H796</f>
        <v>1193.3</v>
      </c>
      <c r="I795" s="26">
        <f t="shared" si="388"/>
        <v>1193.3</v>
      </c>
      <c r="L795" s="224"/>
      <c r="M795" s="111"/>
      <c r="N795" s="111"/>
      <c r="O795" s="111"/>
    </row>
    <row r="796" spans="1:15" ht="33" customHeight="1" x14ac:dyDescent="0.25">
      <c r="A796" s="31" t="s">
        <v>287</v>
      </c>
      <c r="B796" s="16">
        <v>907</v>
      </c>
      <c r="C796" s="20" t="s">
        <v>506</v>
      </c>
      <c r="D796" s="20" t="s">
        <v>133</v>
      </c>
      <c r="E796" s="20" t="s">
        <v>1088</v>
      </c>
      <c r="F796" s="20" t="s">
        <v>288</v>
      </c>
      <c r="G796" s="415">
        <f>G797</f>
        <v>756</v>
      </c>
      <c r="H796" s="26">
        <f t="shared" si="388"/>
        <v>1193.3</v>
      </c>
      <c r="I796" s="26">
        <f t="shared" si="388"/>
        <v>1193.3</v>
      </c>
      <c r="L796" s="111"/>
      <c r="M796" s="111"/>
      <c r="N796" s="111"/>
      <c r="O796" s="111"/>
    </row>
    <row r="797" spans="1:15" ht="15.75" customHeight="1" x14ac:dyDescent="0.25">
      <c r="A797" s="31" t="s">
        <v>289</v>
      </c>
      <c r="B797" s="16">
        <v>907</v>
      </c>
      <c r="C797" s="20" t="s">
        <v>506</v>
      </c>
      <c r="D797" s="20" t="s">
        <v>133</v>
      </c>
      <c r="E797" s="20" t="s">
        <v>1088</v>
      </c>
      <c r="F797" s="20" t="s">
        <v>290</v>
      </c>
      <c r="G797" s="415">
        <v>756</v>
      </c>
      <c r="H797" s="26">
        <f t="shared" ref="H797:I797" si="389">808.1+438.9-53.7</f>
        <v>1193.3</v>
      </c>
      <c r="I797" s="26">
        <f t="shared" si="389"/>
        <v>1193.3</v>
      </c>
      <c r="J797" s="240"/>
      <c r="L797" s="111"/>
      <c r="M797" s="111"/>
      <c r="N797" s="111"/>
      <c r="O797" s="111"/>
    </row>
    <row r="798" spans="1:15" s="230" customFormat="1" ht="40.5" customHeight="1" x14ac:dyDescent="0.25">
      <c r="A798" s="23" t="s">
        <v>973</v>
      </c>
      <c r="B798" s="19">
        <v>907</v>
      </c>
      <c r="C798" s="24" t="s">
        <v>506</v>
      </c>
      <c r="D798" s="24" t="s">
        <v>133</v>
      </c>
      <c r="E798" s="24" t="s">
        <v>1089</v>
      </c>
      <c r="F798" s="24"/>
      <c r="G798" s="416">
        <f>G799</f>
        <v>813.5</v>
      </c>
      <c r="H798" s="21">
        <f t="shared" ref="H798:I800" si="390">H799</f>
        <v>870.2</v>
      </c>
      <c r="I798" s="21">
        <f t="shared" si="390"/>
        <v>870.2</v>
      </c>
      <c r="J798" s="212"/>
      <c r="K798" s="111"/>
      <c r="L798" s="111"/>
      <c r="M798" s="111"/>
      <c r="N798" s="111"/>
      <c r="O798" s="111"/>
    </row>
    <row r="799" spans="1:15" s="230" customFormat="1" ht="63" x14ac:dyDescent="0.25">
      <c r="A799" s="31" t="s">
        <v>479</v>
      </c>
      <c r="B799" s="16">
        <v>907</v>
      </c>
      <c r="C799" s="20" t="s">
        <v>506</v>
      </c>
      <c r="D799" s="20" t="s">
        <v>133</v>
      </c>
      <c r="E799" s="20" t="s">
        <v>1090</v>
      </c>
      <c r="F799" s="20"/>
      <c r="G799" s="415">
        <f>G800</f>
        <v>813.5</v>
      </c>
      <c r="H799" s="26">
        <f t="shared" si="390"/>
        <v>870.2</v>
      </c>
      <c r="I799" s="26">
        <f t="shared" si="390"/>
        <v>870.2</v>
      </c>
      <c r="J799" s="212"/>
      <c r="K799" s="111"/>
      <c r="L799" s="111"/>
      <c r="M799" s="111"/>
      <c r="N799" s="111"/>
      <c r="O799" s="111"/>
    </row>
    <row r="800" spans="1:15" s="230" customFormat="1" ht="31.5" x14ac:dyDescent="0.25">
      <c r="A800" s="25" t="s">
        <v>287</v>
      </c>
      <c r="B800" s="16">
        <v>907</v>
      </c>
      <c r="C800" s="20" t="s">
        <v>506</v>
      </c>
      <c r="D800" s="20" t="s">
        <v>133</v>
      </c>
      <c r="E800" s="20" t="s">
        <v>1090</v>
      </c>
      <c r="F800" s="20" t="s">
        <v>288</v>
      </c>
      <c r="G800" s="415">
        <f>G801</f>
        <v>813.5</v>
      </c>
      <c r="H800" s="26">
        <f t="shared" si="390"/>
        <v>870.2</v>
      </c>
      <c r="I800" s="26">
        <f t="shared" si="390"/>
        <v>870.2</v>
      </c>
      <c r="J800" s="212"/>
      <c r="K800" s="111"/>
      <c r="L800" s="111"/>
      <c r="M800" s="111"/>
      <c r="N800" s="111"/>
      <c r="O800" s="111"/>
    </row>
    <row r="801" spans="1:15" s="230" customFormat="1" ht="15.75" x14ac:dyDescent="0.25">
      <c r="A801" s="25" t="s">
        <v>289</v>
      </c>
      <c r="B801" s="16">
        <v>907</v>
      </c>
      <c r="C801" s="20" t="s">
        <v>506</v>
      </c>
      <c r="D801" s="20" t="s">
        <v>133</v>
      </c>
      <c r="E801" s="20" t="s">
        <v>1090</v>
      </c>
      <c r="F801" s="20" t="s">
        <v>290</v>
      </c>
      <c r="G801" s="415">
        <f>935.54-122.04</f>
        <v>813.5</v>
      </c>
      <c r="H801" s="26">
        <f t="shared" ref="H801:I801" si="391">56.7+813.5</f>
        <v>870.2</v>
      </c>
      <c r="I801" s="26">
        <f t="shared" si="391"/>
        <v>870.2</v>
      </c>
      <c r="J801" s="361">
        <f>12177.1/11326.6*870.2</f>
        <v>935.54221213779954</v>
      </c>
      <c r="K801" s="111"/>
      <c r="L801" s="111"/>
      <c r="M801" s="111"/>
      <c r="N801" s="111"/>
      <c r="O801" s="111"/>
    </row>
    <row r="802" spans="1:15" ht="31.5" x14ac:dyDescent="0.25">
      <c r="A802" s="41" t="s">
        <v>1185</v>
      </c>
      <c r="B802" s="19">
        <v>907</v>
      </c>
      <c r="C802" s="24" t="s">
        <v>506</v>
      </c>
      <c r="D802" s="24" t="s">
        <v>133</v>
      </c>
      <c r="E802" s="24" t="s">
        <v>727</v>
      </c>
      <c r="F802" s="285"/>
      <c r="G802" s="416">
        <f>G803</f>
        <v>540.1</v>
      </c>
      <c r="H802" s="21">
        <f t="shared" ref="H802:I805" si="392">H803</f>
        <v>540.1</v>
      </c>
      <c r="I802" s="21">
        <f t="shared" si="392"/>
        <v>540.1</v>
      </c>
      <c r="J802" s="212" t="s">
        <v>1186</v>
      </c>
      <c r="L802" s="224"/>
      <c r="M802" s="111"/>
      <c r="N802" s="111"/>
      <c r="O802" s="111"/>
    </row>
    <row r="803" spans="1:15" s="230" customFormat="1" ht="31.5" x14ac:dyDescent="0.25">
      <c r="A803" s="41" t="s">
        <v>951</v>
      </c>
      <c r="B803" s="19">
        <v>907</v>
      </c>
      <c r="C803" s="24" t="s">
        <v>506</v>
      </c>
      <c r="D803" s="24" t="s">
        <v>133</v>
      </c>
      <c r="E803" s="24" t="s">
        <v>949</v>
      </c>
      <c r="F803" s="285"/>
      <c r="G803" s="416">
        <f>G804</f>
        <v>540.1</v>
      </c>
      <c r="H803" s="21">
        <f t="shared" si="392"/>
        <v>540.1</v>
      </c>
      <c r="I803" s="21">
        <f t="shared" si="392"/>
        <v>540.1</v>
      </c>
      <c r="J803" s="212"/>
      <c r="K803" s="111"/>
      <c r="L803" s="224"/>
      <c r="M803" s="111"/>
      <c r="N803" s="111"/>
      <c r="O803" s="111"/>
    </row>
    <row r="804" spans="1:15" ht="39" customHeight="1" x14ac:dyDescent="0.25">
      <c r="A804" s="101" t="s">
        <v>802</v>
      </c>
      <c r="B804" s="16">
        <v>907</v>
      </c>
      <c r="C804" s="20" t="s">
        <v>506</v>
      </c>
      <c r="D804" s="20" t="s">
        <v>133</v>
      </c>
      <c r="E804" s="20" t="s">
        <v>1032</v>
      </c>
      <c r="F804" s="32"/>
      <c r="G804" s="415">
        <f>G805</f>
        <v>540.1</v>
      </c>
      <c r="H804" s="26">
        <f t="shared" si="392"/>
        <v>540.1</v>
      </c>
      <c r="I804" s="26">
        <f t="shared" si="392"/>
        <v>540.1</v>
      </c>
      <c r="L804" s="111"/>
    </row>
    <row r="805" spans="1:15" ht="31.5" x14ac:dyDescent="0.25">
      <c r="A805" s="29" t="s">
        <v>287</v>
      </c>
      <c r="B805" s="16">
        <v>907</v>
      </c>
      <c r="C805" s="20" t="s">
        <v>506</v>
      </c>
      <c r="D805" s="20" t="s">
        <v>133</v>
      </c>
      <c r="E805" s="20" t="s">
        <v>1032</v>
      </c>
      <c r="F805" s="32" t="s">
        <v>288</v>
      </c>
      <c r="G805" s="415">
        <f>G806</f>
        <v>540.1</v>
      </c>
      <c r="H805" s="26">
        <f t="shared" si="392"/>
        <v>540.1</v>
      </c>
      <c r="I805" s="26">
        <f t="shared" si="392"/>
        <v>540.1</v>
      </c>
      <c r="L805" s="111"/>
    </row>
    <row r="806" spans="1:15" ht="15.75" x14ac:dyDescent="0.25">
      <c r="A806" s="195" t="s">
        <v>289</v>
      </c>
      <c r="B806" s="16">
        <v>907</v>
      </c>
      <c r="C806" s="20" t="s">
        <v>506</v>
      </c>
      <c r="D806" s="20" t="s">
        <v>133</v>
      </c>
      <c r="E806" s="20" t="s">
        <v>1032</v>
      </c>
      <c r="F806" s="32" t="s">
        <v>290</v>
      </c>
      <c r="G806" s="415">
        <f>377+163.1</f>
        <v>540.1</v>
      </c>
      <c r="H806" s="26">
        <f t="shared" ref="H806:I806" si="393">377+163.1</f>
        <v>540.1</v>
      </c>
      <c r="I806" s="26">
        <f t="shared" si="393"/>
        <v>540.1</v>
      </c>
      <c r="L806" s="111"/>
    </row>
    <row r="807" spans="1:15" ht="19.5" customHeight="1" x14ac:dyDescent="0.25">
      <c r="A807" s="23" t="s">
        <v>515</v>
      </c>
      <c r="B807" s="19">
        <v>907</v>
      </c>
      <c r="C807" s="24" t="s">
        <v>506</v>
      </c>
      <c r="D807" s="24" t="s">
        <v>249</v>
      </c>
      <c r="E807" s="24"/>
      <c r="F807" s="24"/>
      <c r="G807" s="416">
        <f>G808+G816+G828</f>
        <v>11756</v>
      </c>
      <c r="H807" s="21">
        <f>H808+H828</f>
        <v>12225.600000000002</v>
      </c>
      <c r="I807" s="21">
        <f>I808+I828</f>
        <v>12225.600000000002</v>
      </c>
      <c r="L807" s="111"/>
    </row>
    <row r="808" spans="1:15" ht="15.75" x14ac:dyDescent="0.25">
      <c r="A808" s="23" t="s">
        <v>992</v>
      </c>
      <c r="B808" s="19">
        <v>907</v>
      </c>
      <c r="C808" s="24" t="s">
        <v>506</v>
      </c>
      <c r="D808" s="24" t="s">
        <v>249</v>
      </c>
      <c r="E808" s="24" t="s">
        <v>906</v>
      </c>
      <c r="F808" s="24"/>
      <c r="G808" s="416">
        <f>G809</f>
        <v>4531</v>
      </c>
      <c r="H808" s="21">
        <f>H809+H816</f>
        <v>9728.4000000000015</v>
      </c>
      <c r="I808" s="21">
        <f>I809+I816</f>
        <v>9728.4000000000015</v>
      </c>
      <c r="L808" s="111"/>
    </row>
    <row r="809" spans="1:15" ht="15.75" x14ac:dyDescent="0.25">
      <c r="A809" s="23" t="s">
        <v>993</v>
      </c>
      <c r="B809" s="19">
        <v>907</v>
      </c>
      <c r="C809" s="24" t="s">
        <v>506</v>
      </c>
      <c r="D809" s="24" t="s">
        <v>249</v>
      </c>
      <c r="E809" s="24" t="s">
        <v>907</v>
      </c>
      <c r="F809" s="24"/>
      <c r="G809" s="416">
        <f>G810+G813</f>
        <v>4531</v>
      </c>
      <c r="H809" s="21">
        <f>H810+H813</f>
        <v>4537.2000000000007</v>
      </c>
      <c r="I809" s="21">
        <f>I810+I813</f>
        <v>4537.2000000000007</v>
      </c>
      <c r="L809" s="111"/>
    </row>
    <row r="810" spans="1:15" ht="33" customHeight="1" x14ac:dyDescent="0.25">
      <c r="A810" s="25" t="s">
        <v>969</v>
      </c>
      <c r="B810" s="16">
        <v>907</v>
      </c>
      <c r="C810" s="20" t="s">
        <v>506</v>
      </c>
      <c r="D810" s="20" t="s">
        <v>249</v>
      </c>
      <c r="E810" s="20" t="s">
        <v>908</v>
      </c>
      <c r="F810" s="20"/>
      <c r="G810" s="415">
        <f>G811</f>
        <v>4447</v>
      </c>
      <c r="H810" s="26">
        <f t="shared" ref="H810:I810" si="394">H811</f>
        <v>4537.2000000000007</v>
      </c>
      <c r="I810" s="26">
        <f t="shared" si="394"/>
        <v>4537.2000000000007</v>
      </c>
      <c r="L810" s="111"/>
    </row>
    <row r="811" spans="1:15" ht="64.5" customHeight="1" x14ac:dyDescent="0.25">
      <c r="A811" s="25" t="s">
        <v>142</v>
      </c>
      <c r="B811" s="16">
        <v>907</v>
      </c>
      <c r="C811" s="20" t="s">
        <v>506</v>
      </c>
      <c r="D811" s="20" t="s">
        <v>249</v>
      </c>
      <c r="E811" s="20" t="s">
        <v>908</v>
      </c>
      <c r="F811" s="20" t="s">
        <v>143</v>
      </c>
      <c r="G811" s="415">
        <f>G812</f>
        <v>4447</v>
      </c>
      <c r="H811" s="26">
        <f t="shared" ref="H811:I811" si="395">H812</f>
        <v>4537.2000000000007</v>
      </c>
      <c r="I811" s="26">
        <f t="shared" si="395"/>
        <v>4537.2000000000007</v>
      </c>
      <c r="L811" s="111"/>
    </row>
    <row r="812" spans="1:15" ht="25.5" x14ac:dyDescent="0.25">
      <c r="A812" s="25" t="s">
        <v>144</v>
      </c>
      <c r="B812" s="16">
        <v>907</v>
      </c>
      <c r="C812" s="20" t="s">
        <v>506</v>
      </c>
      <c r="D812" s="20" t="s">
        <v>249</v>
      </c>
      <c r="E812" s="20" t="s">
        <v>908</v>
      </c>
      <c r="F812" s="20" t="s">
        <v>145</v>
      </c>
      <c r="G812" s="419">
        <v>4447</v>
      </c>
      <c r="H812" s="27">
        <f t="shared" ref="H812:I812" si="396">4378.8-26.2+184.6</f>
        <v>4537.2000000000007</v>
      </c>
      <c r="I812" s="27">
        <f t="shared" si="396"/>
        <v>4537.2000000000007</v>
      </c>
      <c r="J812" s="313" t="s">
        <v>888</v>
      </c>
      <c r="K812" s="111">
        <v>1.0429999999999999</v>
      </c>
      <c r="L812" s="332">
        <v>4447</v>
      </c>
      <c r="M812" s="1" t="s">
        <v>1392</v>
      </c>
    </row>
    <row r="813" spans="1:15" s="230" customFormat="1" ht="36.75" customHeight="1" x14ac:dyDescent="0.25">
      <c r="A813" s="25" t="s">
        <v>886</v>
      </c>
      <c r="B813" s="16">
        <v>907</v>
      </c>
      <c r="C813" s="20" t="s">
        <v>506</v>
      </c>
      <c r="D813" s="20" t="s">
        <v>249</v>
      </c>
      <c r="E813" s="20" t="s">
        <v>910</v>
      </c>
      <c r="F813" s="20"/>
      <c r="G813" s="415">
        <f>G814</f>
        <v>84</v>
      </c>
      <c r="H813" s="26">
        <f t="shared" ref="H813:I814" si="397">H814</f>
        <v>0</v>
      </c>
      <c r="I813" s="26">
        <f t="shared" si="397"/>
        <v>0</v>
      </c>
      <c r="J813" s="212"/>
      <c r="K813" s="111"/>
      <c r="L813" s="111"/>
    </row>
    <row r="814" spans="1:15" s="230" customFormat="1" ht="47.25" customHeight="1" x14ac:dyDescent="0.25">
      <c r="A814" s="25" t="s">
        <v>142</v>
      </c>
      <c r="B814" s="16">
        <v>907</v>
      </c>
      <c r="C814" s="20" t="s">
        <v>506</v>
      </c>
      <c r="D814" s="20" t="s">
        <v>249</v>
      </c>
      <c r="E814" s="20" t="s">
        <v>910</v>
      </c>
      <c r="F814" s="20" t="s">
        <v>143</v>
      </c>
      <c r="G814" s="415">
        <f>G815</f>
        <v>84</v>
      </c>
      <c r="H814" s="26">
        <f t="shared" si="397"/>
        <v>0</v>
      </c>
      <c r="I814" s="26">
        <f t="shared" si="397"/>
        <v>0</v>
      </c>
      <c r="J814" s="212"/>
      <c r="K814" s="111"/>
      <c r="L814" s="111"/>
    </row>
    <row r="815" spans="1:15" s="230" customFormat="1" ht="34.5" customHeight="1" x14ac:dyDescent="0.25">
      <c r="A815" s="25" t="s">
        <v>144</v>
      </c>
      <c r="B815" s="16">
        <v>907</v>
      </c>
      <c r="C815" s="20" t="s">
        <v>506</v>
      </c>
      <c r="D815" s="20" t="s">
        <v>249</v>
      </c>
      <c r="E815" s="20" t="s">
        <v>910</v>
      </c>
      <c r="F815" s="20" t="s">
        <v>145</v>
      </c>
      <c r="G815" s="415">
        <v>84</v>
      </c>
      <c r="H815" s="26"/>
      <c r="I815" s="26"/>
      <c r="J815" s="212"/>
      <c r="K815" s="111"/>
      <c r="L815" s="111"/>
    </row>
    <row r="816" spans="1:15" ht="15.75" x14ac:dyDescent="0.25">
      <c r="A816" s="23" t="s">
        <v>156</v>
      </c>
      <c r="B816" s="19">
        <v>907</v>
      </c>
      <c r="C816" s="24" t="s">
        <v>506</v>
      </c>
      <c r="D816" s="24" t="s">
        <v>249</v>
      </c>
      <c r="E816" s="24" t="s">
        <v>914</v>
      </c>
      <c r="F816" s="24"/>
      <c r="G816" s="416">
        <f>G817</f>
        <v>5225</v>
      </c>
      <c r="H816" s="21">
        <f t="shared" ref="H816:I816" si="398">H818</f>
        <v>5191.2</v>
      </c>
      <c r="I816" s="21">
        <f t="shared" si="398"/>
        <v>5191.2</v>
      </c>
      <c r="L816" s="111"/>
    </row>
    <row r="817" spans="1:13" s="230" customFormat="1" ht="31.5" x14ac:dyDescent="0.25">
      <c r="A817" s="23" t="s">
        <v>1006</v>
      </c>
      <c r="B817" s="19">
        <v>907</v>
      </c>
      <c r="C817" s="24" t="s">
        <v>506</v>
      </c>
      <c r="D817" s="24" t="s">
        <v>249</v>
      </c>
      <c r="E817" s="24" t="s">
        <v>989</v>
      </c>
      <c r="F817" s="24"/>
      <c r="G817" s="416">
        <f>G818+G825</f>
        <v>5225</v>
      </c>
      <c r="H817" s="21">
        <f t="shared" ref="H817:I817" si="399">H818+H825</f>
        <v>5191.2</v>
      </c>
      <c r="I817" s="21">
        <f t="shared" si="399"/>
        <v>5191.2</v>
      </c>
      <c r="J817" s="212"/>
      <c r="K817" s="111"/>
      <c r="L817" s="111"/>
    </row>
    <row r="818" spans="1:13" ht="15.75" x14ac:dyDescent="0.25">
      <c r="A818" s="25" t="s">
        <v>976</v>
      </c>
      <c r="B818" s="16">
        <v>907</v>
      </c>
      <c r="C818" s="20" t="s">
        <v>506</v>
      </c>
      <c r="D818" s="20" t="s">
        <v>249</v>
      </c>
      <c r="E818" s="20" t="s">
        <v>990</v>
      </c>
      <c r="F818" s="20"/>
      <c r="G818" s="415">
        <f>G819+G821+G823</f>
        <v>5015</v>
      </c>
      <c r="H818" s="26">
        <f t="shared" ref="H818:I818" si="400">H819+H821+H823</f>
        <v>5191.2</v>
      </c>
      <c r="I818" s="26">
        <f t="shared" si="400"/>
        <v>5191.2</v>
      </c>
      <c r="L818" s="111"/>
    </row>
    <row r="819" spans="1:13" ht="72.75" customHeight="1" x14ac:dyDescent="0.25">
      <c r="A819" s="25" t="s">
        <v>142</v>
      </c>
      <c r="B819" s="16">
        <v>907</v>
      </c>
      <c r="C819" s="20" t="s">
        <v>506</v>
      </c>
      <c r="D819" s="20" t="s">
        <v>249</v>
      </c>
      <c r="E819" s="20" t="s">
        <v>990</v>
      </c>
      <c r="F819" s="20" t="s">
        <v>143</v>
      </c>
      <c r="G819" s="415">
        <f>G820</f>
        <v>4454</v>
      </c>
      <c r="H819" s="26">
        <f t="shared" ref="H819:I819" si="401">H820</f>
        <v>4542.6000000000004</v>
      </c>
      <c r="I819" s="26">
        <f t="shared" si="401"/>
        <v>4542.6000000000004</v>
      </c>
      <c r="L819" s="111"/>
    </row>
    <row r="820" spans="1:13" ht="30" customHeight="1" x14ac:dyDescent="0.25">
      <c r="A820" s="25" t="s">
        <v>357</v>
      </c>
      <c r="B820" s="16">
        <v>907</v>
      </c>
      <c r="C820" s="20" t="s">
        <v>506</v>
      </c>
      <c r="D820" s="20" t="s">
        <v>249</v>
      </c>
      <c r="E820" s="20" t="s">
        <v>990</v>
      </c>
      <c r="F820" s="20" t="s">
        <v>224</v>
      </c>
      <c r="G820" s="419">
        <v>4454</v>
      </c>
      <c r="H820" s="27">
        <f t="shared" ref="H820:I820" si="402">3501.9+462.6+159.1+419</f>
        <v>4542.6000000000004</v>
      </c>
      <c r="I820" s="27">
        <f t="shared" si="402"/>
        <v>4542.6000000000004</v>
      </c>
      <c r="J820" s="313" t="s">
        <v>888</v>
      </c>
      <c r="K820" s="225" t="s">
        <v>1326</v>
      </c>
      <c r="L820" s="333" t="s">
        <v>1395</v>
      </c>
      <c r="M820" s="1" t="s">
        <v>1392</v>
      </c>
    </row>
    <row r="821" spans="1:13" ht="15.75" x14ac:dyDescent="0.25">
      <c r="A821" s="25" t="s">
        <v>146</v>
      </c>
      <c r="B821" s="16">
        <v>907</v>
      </c>
      <c r="C821" s="20" t="s">
        <v>506</v>
      </c>
      <c r="D821" s="20" t="s">
        <v>249</v>
      </c>
      <c r="E821" s="20" t="s">
        <v>990</v>
      </c>
      <c r="F821" s="20" t="s">
        <v>147</v>
      </c>
      <c r="G821" s="415">
        <f>G822</f>
        <v>510</v>
      </c>
      <c r="H821" s="26">
        <f t="shared" ref="H821:I821" si="403">H822</f>
        <v>597.40000000000009</v>
      </c>
      <c r="I821" s="26">
        <f t="shared" si="403"/>
        <v>597.40000000000009</v>
      </c>
      <c r="L821" s="111"/>
    </row>
    <row r="822" spans="1:13" ht="31.5" x14ac:dyDescent="0.25">
      <c r="A822" s="25" t="s">
        <v>148</v>
      </c>
      <c r="B822" s="16">
        <v>907</v>
      </c>
      <c r="C822" s="20" t="s">
        <v>506</v>
      </c>
      <c r="D822" s="20" t="s">
        <v>249</v>
      </c>
      <c r="E822" s="20" t="s">
        <v>990</v>
      </c>
      <c r="F822" s="20" t="s">
        <v>149</v>
      </c>
      <c r="G822" s="419">
        <v>510</v>
      </c>
      <c r="H822" s="27">
        <f t="shared" ref="H822:I822" si="404">764.2-166.8</f>
        <v>597.40000000000009</v>
      </c>
      <c r="I822" s="27">
        <f t="shared" si="404"/>
        <v>597.40000000000009</v>
      </c>
      <c r="J822" s="240"/>
      <c r="L822" s="225"/>
    </row>
    <row r="823" spans="1:13" ht="15.75" x14ac:dyDescent="0.25">
      <c r="A823" s="25" t="s">
        <v>150</v>
      </c>
      <c r="B823" s="16">
        <v>907</v>
      </c>
      <c r="C823" s="20" t="s">
        <v>506</v>
      </c>
      <c r="D823" s="20" t="s">
        <v>249</v>
      </c>
      <c r="E823" s="20" t="s">
        <v>990</v>
      </c>
      <c r="F823" s="20" t="s">
        <v>160</v>
      </c>
      <c r="G823" s="415">
        <f>G824</f>
        <v>51</v>
      </c>
      <c r="H823" s="26">
        <f t="shared" ref="H823:I823" si="405">H824</f>
        <v>51.2</v>
      </c>
      <c r="I823" s="26">
        <f t="shared" si="405"/>
        <v>51.2</v>
      </c>
      <c r="L823" s="111"/>
    </row>
    <row r="824" spans="1:13" ht="15.75" x14ac:dyDescent="0.25">
      <c r="A824" s="25" t="s">
        <v>583</v>
      </c>
      <c r="B824" s="16">
        <v>907</v>
      </c>
      <c r="C824" s="20" t="s">
        <v>506</v>
      </c>
      <c r="D824" s="20" t="s">
        <v>249</v>
      </c>
      <c r="E824" s="20" t="s">
        <v>990</v>
      </c>
      <c r="F824" s="20" t="s">
        <v>153</v>
      </c>
      <c r="G824" s="415">
        <f>27.1+24.1-0.2</f>
        <v>51</v>
      </c>
      <c r="H824" s="26">
        <f t="shared" ref="H824:I824" si="406">27.1+24.1</f>
        <v>51.2</v>
      </c>
      <c r="I824" s="26">
        <f t="shared" si="406"/>
        <v>51.2</v>
      </c>
      <c r="L824" s="111"/>
    </row>
    <row r="825" spans="1:13" s="230" customFormat="1" ht="31.5" x14ac:dyDescent="0.25">
      <c r="A825" s="25" t="s">
        <v>886</v>
      </c>
      <c r="B825" s="16">
        <v>907</v>
      </c>
      <c r="C825" s="20" t="s">
        <v>506</v>
      </c>
      <c r="D825" s="20" t="s">
        <v>249</v>
      </c>
      <c r="E825" s="20" t="s">
        <v>991</v>
      </c>
      <c r="F825" s="20"/>
      <c r="G825" s="415">
        <f>G826</f>
        <v>210</v>
      </c>
      <c r="H825" s="26">
        <f t="shared" ref="H825:I826" si="407">H826</f>
        <v>0</v>
      </c>
      <c r="I825" s="26">
        <f t="shared" si="407"/>
        <v>0</v>
      </c>
      <c r="J825" s="212"/>
      <c r="K825" s="111"/>
      <c r="L825" s="111"/>
    </row>
    <row r="826" spans="1:13" s="230" customFormat="1" ht="47.25" x14ac:dyDescent="0.25">
      <c r="A826" s="25" t="s">
        <v>142</v>
      </c>
      <c r="B826" s="16">
        <v>907</v>
      </c>
      <c r="C826" s="20" t="s">
        <v>506</v>
      </c>
      <c r="D826" s="20" t="s">
        <v>249</v>
      </c>
      <c r="E826" s="20" t="s">
        <v>991</v>
      </c>
      <c r="F826" s="20" t="s">
        <v>143</v>
      </c>
      <c r="G826" s="415">
        <f>G827</f>
        <v>210</v>
      </c>
      <c r="H826" s="26">
        <f t="shared" si="407"/>
        <v>0</v>
      </c>
      <c r="I826" s="26">
        <f t="shared" si="407"/>
        <v>0</v>
      </c>
      <c r="J826" s="212"/>
      <c r="K826" s="111"/>
      <c r="L826" s="111"/>
    </row>
    <row r="827" spans="1:13" s="230" customFormat="1" ht="15.75" x14ac:dyDescent="0.25">
      <c r="A827" s="25" t="s">
        <v>357</v>
      </c>
      <c r="B827" s="16">
        <v>907</v>
      </c>
      <c r="C827" s="20" t="s">
        <v>506</v>
      </c>
      <c r="D827" s="20" t="s">
        <v>249</v>
      </c>
      <c r="E827" s="20" t="s">
        <v>991</v>
      </c>
      <c r="F827" s="20" t="s">
        <v>224</v>
      </c>
      <c r="G827" s="415">
        <v>210</v>
      </c>
      <c r="H827" s="26"/>
      <c r="I827" s="26"/>
      <c r="J827" s="212"/>
      <c r="K827" s="111"/>
      <c r="L827" s="111"/>
    </row>
    <row r="828" spans="1:13" s="230" customFormat="1" ht="31.5" x14ac:dyDescent="0.25">
      <c r="A828" s="41" t="s">
        <v>496</v>
      </c>
      <c r="B828" s="19">
        <v>907</v>
      </c>
      <c r="C828" s="24" t="s">
        <v>506</v>
      </c>
      <c r="D828" s="24" t="s">
        <v>249</v>
      </c>
      <c r="E828" s="7" t="s">
        <v>497</v>
      </c>
      <c r="F828" s="24"/>
      <c r="G828" s="416">
        <f>G829</f>
        <v>2000</v>
      </c>
      <c r="H828" s="21">
        <f t="shared" ref="H828:I830" si="408">H829</f>
        <v>2497.1999999999998</v>
      </c>
      <c r="I828" s="21">
        <f t="shared" si="408"/>
        <v>2497.1999999999998</v>
      </c>
      <c r="J828" s="212"/>
      <c r="K828" s="111"/>
      <c r="L828" s="111"/>
    </row>
    <row r="829" spans="1:13" s="230" customFormat="1" ht="31.5" x14ac:dyDescent="0.25">
      <c r="A829" s="58" t="s">
        <v>516</v>
      </c>
      <c r="B829" s="19">
        <v>907</v>
      </c>
      <c r="C829" s="24" t="s">
        <v>506</v>
      </c>
      <c r="D829" s="24" t="s">
        <v>249</v>
      </c>
      <c r="E829" s="7" t="s">
        <v>517</v>
      </c>
      <c r="F829" s="24"/>
      <c r="G829" s="416">
        <f>G830</f>
        <v>2000</v>
      </c>
      <c r="H829" s="21">
        <f t="shared" si="408"/>
        <v>2497.1999999999998</v>
      </c>
      <c r="I829" s="21">
        <f t="shared" si="408"/>
        <v>2497.1999999999998</v>
      </c>
      <c r="J829" s="212"/>
      <c r="K829" s="111"/>
      <c r="L829" s="111"/>
    </row>
    <row r="830" spans="1:13" s="230" customFormat="1" ht="31.5" x14ac:dyDescent="0.25">
      <c r="A830" s="58" t="s">
        <v>1091</v>
      </c>
      <c r="B830" s="19">
        <v>907</v>
      </c>
      <c r="C830" s="24" t="s">
        <v>506</v>
      </c>
      <c r="D830" s="24" t="s">
        <v>249</v>
      </c>
      <c r="E830" s="7" t="s">
        <v>1092</v>
      </c>
      <c r="F830" s="24"/>
      <c r="G830" s="416">
        <f>G831</f>
        <v>2000</v>
      </c>
      <c r="H830" s="21">
        <f t="shared" si="408"/>
        <v>2497.1999999999998</v>
      </c>
      <c r="I830" s="21">
        <f t="shared" si="408"/>
        <v>2497.1999999999998</v>
      </c>
      <c r="J830" s="212"/>
      <c r="K830" s="111"/>
      <c r="L830" s="111"/>
    </row>
    <row r="831" spans="1:13" s="230" customFormat="1" ht="15.75" x14ac:dyDescent="0.25">
      <c r="A831" s="29" t="s">
        <v>1093</v>
      </c>
      <c r="B831" s="16">
        <v>907</v>
      </c>
      <c r="C831" s="20" t="s">
        <v>506</v>
      </c>
      <c r="D831" s="20" t="s">
        <v>249</v>
      </c>
      <c r="E831" s="40" t="s">
        <v>1247</v>
      </c>
      <c r="F831" s="20"/>
      <c r="G831" s="415">
        <f>G832+G834</f>
        <v>2000</v>
      </c>
      <c r="H831" s="26">
        <f t="shared" ref="H831:I831" si="409">H832+H834</f>
        <v>2497.1999999999998</v>
      </c>
      <c r="I831" s="26">
        <f t="shared" si="409"/>
        <v>2497.1999999999998</v>
      </c>
      <c r="J831" s="212"/>
      <c r="K831" s="111"/>
      <c r="L831" s="111"/>
    </row>
    <row r="832" spans="1:13" s="230" customFormat="1" ht="47.25" x14ac:dyDescent="0.25">
      <c r="A832" s="25" t="s">
        <v>142</v>
      </c>
      <c r="B832" s="16">
        <v>907</v>
      </c>
      <c r="C832" s="20" t="s">
        <v>506</v>
      </c>
      <c r="D832" s="20" t="s">
        <v>249</v>
      </c>
      <c r="E832" s="40" t="s">
        <v>1247</v>
      </c>
      <c r="F832" s="20" t="s">
        <v>143</v>
      </c>
      <c r="G832" s="415">
        <f>G833</f>
        <v>1500</v>
      </c>
      <c r="H832" s="26">
        <f t="shared" ref="H832:I832" si="410">H833</f>
        <v>1611</v>
      </c>
      <c r="I832" s="26">
        <f t="shared" si="410"/>
        <v>1611</v>
      </c>
      <c r="J832" s="212"/>
      <c r="K832" s="111"/>
      <c r="L832" s="111"/>
    </row>
    <row r="833" spans="1:14" s="230" customFormat="1" ht="15.75" x14ac:dyDescent="0.25">
      <c r="A833" s="25" t="s">
        <v>357</v>
      </c>
      <c r="B833" s="16">
        <v>907</v>
      </c>
      <c r="C833" s="20" t="s">
        <v>506</v>
      </c>
      <c r="D833" s="20" t="s">
        <v>249</v>
      </c>
      <c r="E833" s="40" t="s">
        <v>1247</v>
      </c>
      <c r="F833" s="20" t="s">
        <v>224</v>
      </c>
      <c r="G833" s="415">
        <v>1500</v>
      </c>
      <c r="H833" s="26">
        <f t="shared" ref="H833:I833" si="411">1611-4.8+4.8</f>
        <v>1611</v>
      </c>
      <c r="I833" s="26">
        <f t="shared" si="411"/>
        <v>1611</v>
      </c>
      <c r="J833" s="212"/>
      <c r="K833" s="111"/>
      <c r="L833" s="111"/>
    </row>
    <row r="834" spans="1:14" s="230" customFormat="1" ht="15.75" x14ac:dyDescent="0.25">
      <c r="A834" s="29" t="s">
        <v>146</v>
      </c>
      <c r="B834" s="16">
        <v>907</v>
      </c>
      <c r="C834" s="20" t="s">
        <v>506</v>
      </c>
      <c r="D834" s="20" t="s">
        <v>249</v>
      </c>
      <c r="E834" s="40" t="s">
        <v>1247</v>
      </c>
      <c r="F834" s="20" t="s">
        <v>147</v>
      </c>
      <c r="G834" s="415">
        <f>G835</f>
        <v>500</v>
      </c>
      <c r="H834" s="26">
        <f t="shared" ref="H834:I834" si="412">H835</f>
        <v>886.2</v>
      </c>
      <c r="I834" s="26">
        <f t="shared" si="412"/>
        <v>886.2</v>
      </c>
      <c r="J834" s="212"/>
      <c r="K834" s="111"/>
      <c r="L834" s="111"/>
    </row>
    <row r="835" spans="1:14" s="230" customFormat="1" ht="31.5" x14ac:dyDescent="0.25">
      <c r="A835" s="29" t="s">
        <v>148</v>
      </c>
      <c r="B835" s="16">
        <v>907</v>
      </c>
      <c r="C835" s="20" t="s">
        <v>506</v>
      </c>
      <c r="D835" s="20" t="s">
        <v>249</v>
      </c>
      <c r="E835" s="40" t="s">
        <v>1247</v>
      </c>
      <c r="F835" s="20" t="s">
        <v>149</v>
      </c>
      <c r="G835" s="415">
        <v>500</v>
      </c>
      <c r="H835" s="26">
        <f t="shared" ref="H835:I835" si="413">789+97.2+4.8-4.8</f>
        <v>886.2</v>
      </c>
      <c r="I835" s="26">
        <f t="shared" si="413"/>
        <v>886.2</v>
      </c>
      <c r="J835" s="212"/>
      <c r="K835" s="111"/>
      <c r="L835" s="111"/>
    </row>
    <row r="836" spans="1:14" ht="31.5" x14ac:dyDescent="0.25">
      <c r="A836" s="19" t="s">
        <v>519</v>
      </c>
      <c r="B836" s="19">
        <v>908</v>
      </c>
      <c r="C836" s="20"/>
      <c r="D836" s="20"/>
      <c r="E836" s="20"/>
      <c r="F836" s="20"/>
      <c r="G836" s="416">
        <f>G851+G858+G877+G1040+G837</f>
        <v>81949.5</v>
      </c>
      <c r="H836" s="21">
        <f>H851+H858+H877+H1040+H837</f>
        <v>224395.14999999997</v>
      </c>
      <c r="I836" s="21">
        <f>I851+I858+I877+I1040+I837</f>
        <v>224395.14999999997</v>
      </c>
      <c r="J836" s="242"/>
      <c r="L836" s="111"/>
    </row>
    <row r="837" spans="1:14" ht="15.75" x14ac:dyDescent="0.25">
      <c r="A837" s="34" t="s">
        <v>132</v>
      </c>
      <c r="B837" s="19">
        <v>908</v>
      </c>
      <c r="C837" s="24" t="s">
        <v>133</v>
      </c>
      <c r="D837" s="20"/>
      <c r="E837" s="20"/>
      <c r="F837" s="20"/>
      <c r="G837" s="416">
        <f>G838</f>
        <v>38273</v>
      </c>
      <c r="H837" s="21">
        <f t="shared" ref="H837:I839" si="414">H838</f>
        <v>46568.799999999996</v>
      </c>
      <c r="I837" s="21">
        <f t="shared" si="414"/>
        <v>46568.799999999996</v>
      </c>
      <c r="L837" s="111"/>
    </row>
    <row r="838" spans="1:14" ht="15.75" x14ac:dyDescent="0.25">
      <c r="A838" s="34" t="s">
        <v>154</v>
      </c>
      <c r="B838" s="19">
        <v>908</v>
      </c>
      <c r="C838" s="24" t="s">
        <v>133</v>
      </c>
      <c r="D838" s="24" t="s">
        <v>155</v>
      </c>
      <c r="E838" s="20"/>
      <c r="F838" s="20"/>
      <c r="G838" s="416">
        <f>G839</f>
        <v>38273</v>
      </c>
      <c r="H838" s="21">
        <f t="shared" si="414"/>
        <v>46568.799999999996</v>
      </c>
      <c r="I838" s="21">
        <f t="shared" si="414"/>
        <v>46568.799999999996</v>
      </c>
      <c r="L838" s="111"/>
    </row>
    <row r="839" spans="1:14" ht="21" customHeight="1" x14ac:dyDescent="0.25">
      <c r="A839" s="23" t="s">
        <v>156</v>
      </c>
      <c r="B839" s="19">
        <v>908</v>
      </c>
      <c r="C839" s="24" t="s">
        <v>133</v>
      </c>
      <c r="D839" s="24" t="s">
        <v>155</v>
      </c>
      <c r="E839" s="24" t="s">
        <v>914</v>
      </c>
      <c r="F839" s="24"/>
      <c r="G839" s="315">
        <f>G840</f>
        <v>38273</v>
      </c>
      <c r="H839" s="44">
        <f t="shared" si="414"/>
        <v>46568.799999999996</v>
      </c>
      <c r="I839" s="44">
        <f t="shared" si="414"/>
        <v>46568.799999999996</v>
      </c>
      <c r="L839" s="111"/>
    </row>
    <row r="840" spans="1:14" ht="15.75" x14ac:dyDescent="0.25">
      <c r="A840" s="23" t="s">
        <v>1095</v>
      </c>
      <c r="B840" s="19">
        <v>908</v>
      </c>
      <c r="C840" s="24" t="s">
        <v>133</v>
      </c>
      <c r="D840" s="24" t="s">
        <v>155</v>
      </c>
      <c r="E840" s="24" t="s">
        <v>1094</v>
      </c>
      <c r="F840" s="24"/>
      <c r="G840" s="315">
        <f>G844+G841</f>
        <v>38273</v>
      </c>
      <c r="H840" s="44">
        <f>H844+H841</f>
        <v>46568.799999999996</v>
      </c>
      <c r="I840" s="44">
        <f>I844+I841</f>
        <v>46568.799999999996</v>
      </c>
      <c r="L840" s="111"/>
    </row>
    <row r="841" spans="1:14" s="230" customFormat="1" ht="31.5" x14ac:dyDescent="0.25">
      <c r="A841" s="25" t="s">
        <v>886</v>
      </c>
      <c r="B841" s="16">
        <v>908</v>
      </c>
      <c r="C841" s="20" t="s">
        <v>133</v>
      </c>
      <c r="D841" s="20" t="s">
        <v>155</v>
      </c>
      <c r="E841" s="20" t="s">
        <v>1097</v>
      </c>
      <c r="F841" s="20"/>
      <c r="G841" s="415">
        <f>G842</f>
        <v>672</v>
      </c>
      <c r="H841" s="26">
        <f t="shared" ref="H841:I842" si="415">H842</f>
        <v>674.7</v>
      </c>
      <c r="I841" s="26">
        <f t="shared" si="415"/>
        <v>674.7</v>
      </c>
      <c r="J841" s="212"/>
      <c r="K841" s="111"/>
      <c r="L841" s="111"/>
    </row>
    <row r="842" spans="1:14" s="230" customFormat="1" ht="47.25" x14ac:dyDescent="0.25">
      <c r="A842" s="25" t="s">
        <v>142</v>
      </c>
      <c r="B842" s="16">
        <v>908</v>
      </c>
      <c r="C842" s="20" t="s">
        <v>133</v>
      </c>
      <c r="D842" s="20" t="s">
        <v>155</v>
      </c>
      <c r="E842" s="20" t="s">
        <v>1097</v>
      </c>
      <c r="F842" s="20" t="s">
        <v>143</v>
      </c>
      <c r="G842" s="415">
        <f>G843</f>
        <v>672</v>
      </c>
      <c r="H842" s="26">
        <f t="shared" si="415"/>
        <v>674.7</v>
      </c>
      <c r="I842" s="26">
        <f t="shared" si="415"/>
        <v>674.7</v>
      </c>
      <c r="J842" s="212"/>
      <c r="K842" s="111"/>
      <c r="L842" s="111"/>
    </row>
    <row r="843" spans="1:14" s="230" customFormat="1" ht="15.75" x14ac:dyDescent="0.25">
      <c r="A843" s="25" t="s">
        <v>144</v>
      </c>
      <c r="B843" s="16">
        <v>908</v>
      </c>
      <c r="C843" s="20" t="s">
        <v>133</v>
      </c>
      <c r="D843" s="20" t="s">
        <v>155</v>
      </c>
      <c r="E843" s="20" t="s">
        <v>1097</v>
      </c>
      <c r="F843" s="20" t="s">
        <v>224</v>
      </c>
      <c r="G843" s="415">
        <v>672</v>
      </c>
      <c r="H843" s="26">
        <v>674.7</v>
      </c>
      <c r="I843" s="26">
        <v>674.7</v>
      </c>
      <c r="J843" s="212"/>
      <c r="K843" s="111"/>
      <c r="L843" s="111"/>
    </row>
    <row r="844" spans="1:14" s="230" customFormat="1" ht="15.75" x14ac:dyDescent="0.25">
      <c r="A844" s="25" t="s">
        <v>834</v>
      </c>
      <c r="B844" s="16">
        <v>908</v>
      </c>
      <c r="C844" s="20" t="s">
        <v>133</v>
      </c>
      <c r="D844" s="20" t="s">
        <v>155</v>
      </c>
      <c r="E844" s="20" t="s">
        <v>1096</v>
      </c>
      <c r="F844" s="20"/>
      <c r="G844" s="419">
        <f>G845+G847+G849</f>
        <v>37601</v>
      </c>
      <c r="H844" s="27">
        <f t="shared" ref="H844:I844" si="416">H845+H847+H849</f>
        <v>45894.1</v>
      </c>
      <c r="I844" s="27">
        <f t="shared" si="416"/>
        <v>45894.1</v>
      </c>
      <c r="J844" s="212"/>
      <c r="K844" s="111"/>
      <c r="L844" s="111"/>
    </row>
    <row r="845" spans="1:14" ht="74.25" customHeight="1" x14ac:dyDescent="0.25">
      <c r="A845" s="25" t="s">
        <v>142</v>
      </c>
      <c r="B845" s="16">
        <v>908</v>
      </c>
      <c r="C845" s="20" t="s">
        <v>133</v>
      </c>
      <c r="D845" s="20" t="s">
        <v>155</v>
      </c>
      <c r="E845" s="20" t="s">
        <v>1096</v>
      </c>
      <c r="F845" s="20" t="s">
        <v>143</v>
      </c>
      <c r="G845" s="419">
        <f>G846</f>
        <v>30180</v>
      </c>
      <c r="H845" s="27">
        <f t="shared" ref="H845:I845" si="417">H846</f>
        <v>34923.9</v>
      </c>
      <c r="I845" s="27">
        <f t="shared" si="417"/>
        <v>34923.9</v>
      </c>
      <c r="L845" s="111"/>
    </row>
    <row r="846" spans="1:14" ht="25.5" x14ac:dyDescent="0.25">
      <c r="A846" s="46" t="s">
        <v>357</v>
      </c>
      <c r="B846" s="16">
        <v>908</v>
      </c>
      <c r="C846" s="20" t="s">
        <v>133</v>
      </c>
      <c r="D846" s="20" t="s">
        <v>155</v>
      </c>
      <c r="E846" s="20" t="s">
        <v>1096</v>
      </c>
      <c r="F846" s="20" t="s">
        <v>224</v>
      </c>
      <c r="G846" s="419">
        <v>30180</v>
      </c>
      <c r="H846" s="27">
        <f t="shared" ref="H846:I846" si="418">30242.8+2244.5+3111.3-674.7</f>
        <v>34923.9</v>
      </c>
      <c r="I846" s="27">
        <f t="shared" si="418"/>
        <v>34923.9</v>
      </c>
      <c r="J846" s="313" t="s">
        <v>888</v>
      </c>
      <c r="K846" s="111" t="s">
        <v>1327</v>
      </c>
      <c r="L846" s="111">
        <v>28748</v>
      </c>
      <c r="M846" s="220" t="s">
        <v>1392</v>
      </c>
    </row>
    <row r="847" spans="1:14" ht="15.75" x14ac:dyDescent="0.25">
      <c r="A847" s="25" t="s">
        <v>146</v>
      </c>
      <c r="B847" s="16">
        <v>908</v>
      </c>
      <c r="C847" s="20" t="s">
        <v>133</v>
      </c>
      <c r="D847" s="20" t="s">
        <v>155</v>
      </c>
      <c r="E847" s="20" t="s">
        <v>1096</v>
      </c>
      <c r="F847" s="20" t="s">
        <v>147</v>
      </c>
      <c r="G847" s="419">
        <f>G848</f>
        <v>7000</v>
      </c>
      <c r="H847" s="27">
        <f t="shared" ref="H847:I847" si="419">H848</f>
        <v>10549.599999999999</v>
      </c>
      <c r="I847" s="27">
        <f t="shared" si="419"/>
        <v>10549.599999999999</v>
      </c>
      <c r="L847" s="111">
        <v>1432</v>
      </c>
      <c r="M847" s="213">
        <v>212</v>
      </c>
    </row>
    <row r="848" spans="1:14" ht="31.5" x14ac:dyDescent="0.25">
      <c r="A848" s="25" t="s">
        <v>148</v>
      </c>
      <c r="B848" s="16">
        <v>908</v>
      </c>
      <c r="C848" s="20" t="s">
        <v>133</v>
      </c>
      <c r="D848" s="20" t="s">
        <v>155</v>
      </c>
      <c r="E848" s="20" t="s">
        <v>1096</v>
      </c>
      <c r="F848" s="20" t="s">
        <v>149</v>
      </c>
      <c r="G848" s="419">
        <v>7000</v>
      </c>
      <c r="H848" s="27">
        <f t="shared" ref="H848:I848" si="420">8950+1731.8-124.7-7.5</f>
        <v>10549.599999999999</v>
      </c>
      <c r="I848" s="27">
        <f t="shared" si="420"/>
        <v>10549.599999999999</v>
      </c>
      <c r="J848" s="251"/>
      <c r="L848" s="111"/>
      <c r="N848" s="111"/>
    </row>
    <row r="849" spans="1:12" ht="15.75" x14ac:dyDescent="0.25">
      <c r="A849" s="25" t="s">
        <v>150</v>
      </c>
      <c r="B849" s="16">
        <v>908</v>
      </c>
      <c r="C849" s="20" t="s">
        <v>133</v>
      </c>
      <c r="D849" s="20" t="s">
        <v>155</v>
      </c>
      <c r="E849" s="20" t="s">
        <v>1096</v>
      </c>
      <c r="F849" s="20" t="s">
        <v>160</v>
      </c>
      <c r="G849" s="419">
        <f>G850</f>
        <v>421</v>
      </c>
      <c r="H849" s="27">
        <f t="shared" ref="H849:I849" si="421">H850</f>
        <v>420.59999999999997</v>
      </c>
      <c r="I849" s="27">
        <f t="shared" si="421"/>
        <v>420.59999999999997</v>
      </c>
      <c r="J849" s="252"/>
      <c r="L849" s="111"/>
    </row>
    <row r="850" spans="1:12" ht="15.75" x14ac:dyDescent="0.25">
      <c r="A850" s="25" t="s">
        <v>726</v>
      </c>
      <c r="B850" s="16">
        <v>908</v>
      </c>
      <c r="C850" s="20" t="s">
        <v>133</v>
      </c>
      <c r="D850" s="20" t="s">
        <v>155</v>
      </c>
      <c r="E850" s="20" t="s">
        <v>1096</v>
      </c>
      <c r="F850" s="20" t="s">
        <v>153</v>
      </c>
      <c r="G850" s="419">
        <v>421</v>
      </c>
      <c r="H850" s="27">
        <f t="shared" ref="H850:I850" si="422">156.7+131.7+124.7+7.5</f>
        <v>420.59999999999997</v>
      </c>
      <c r="I850" s="27">
        <f t="shared" si="422"/>
        <v>420.59999999999997</v>
      </c>
      <c r="J850" s="240"/>
      <c r="L850" s="111"/>
    </row>
    <row r="851" spans="1:12" ht="15.75" x14ac:dyDescent="0.25">
      <c r="A851" s="23" t="s">
        <v>237</v>
      </c>
      <c r="B851" s="19">
        <v>908</v>
      </c>
      <c r="C851" s="24" t="s">
        <v>230</v>
      </c>
      <c r="D851" s="24"/>
      <c r="E851" s="24"/>
      <c r="F851" s="24"/>
      <c r="G851" s="416">
        <f t="shared" ref="G851:I856" si="423">G852</f>
        <v>107</v>
      </c>
      <c r="H851" s="21">
        <f t="shared" si="423"/>
        <v>106.9</v>
      </c>
      <c r="I851" s="21">
        <f t="shared" si="423"/>
        <v>106.9</v>
      </c>
      <c r="L851" s="111"/>
    </row>
    <row r="852" spans="1:12" ht="51" customHeight="1" x14ac:dyDescent="0.25">
      <c r="A852" s="23" t="s">
        <v>238</v>
      </c>
      <c r="B852" s="19">
        <v>908</v>
      </c>
      <c r="C852" s="24" t="s">
        <v>230</v>
      </c>
      <c r="D852" s="24" t="s">
        <v>234</v>
      </c>
      <c r="E852" s="24"/>
      <c r="F852" s="24"/>
      <c r="G852" s="416">
        <f t="shared" si="423"/>
        <v>107</v>
      </c>
      <c r="H852" s="21">
        <f t="shared" si="423"/>
        <v>106.9</v>
      </c>
      <c r="I852" s="21">
        <f t="shared" si="423"/>
        <v>106.9</v>
      </c>
      <c r="L852" s="111"/>
    </row>
    <row r="853" spans="1:12" ht="21.75" customHeight="1" x14ac:dyDescent="0.25">
      <c r="A853" s="23" t="s">
        <v>156</v>
      </c>
      <c r="B853" s="19">
        <v>908</v>
      </c>
      <c r="C853" s="24" t="s">
        <v>230</v>
      </c>
      <c r="D853" s="24" t="s">
        <v>234</v>
      </c>
      <c r="E853" s="24" t="s">
        <v>914</v>
      </c>
      <c r="F853" s="24"/>
      <c r="G853" s="416">
        <f t="shared" si="423"/>
        <v>107</v>
      </c>
      <c r="H853" s="21">
        <f t="shared" si="423"/>
        <v>106.9</v>
      </c>
      <c r="I853" s="21">
        <f t="shared" si="423"/>
        <v>106.9</v>
      </c>
      <c r="L853" s="111"/>
    </row>
    <row r="854" spans="1:12" ht="31.5" x14ac:dyDescent="0.25">
      <c r="A854" s="23" t="s">
        <v>918</v>
      </c>
      <c r="B854" s="19">
        <v>908</v>
      </c>
      <c r="C854" s="24" t="s">
        <v>230</v>
      </c>
      <c r="D854" s="24" t="s">
        <v>234</v>
      </c>
      <c r="E854" s="24" t="s">
        <v>913</v>
      </c>
      <c r="F854" s="24"/>
      <c r="G854" s="416">
        <f t="shared" si="423"/>
        <v>107</v>
      </c>
      <c r="H854" s="21">
        <f t="shared" si="423"/>
        <v>106.9</v>
      </c>
      <c r="I854" s="21">
        <f t="shared" si="423"/>
        <v>106.9</v>
      </c>
      <c r="L854" s="111"/>
    </row>
    <row r="855" spans="1:12" ht="15.75" x14ac:dyDescent="0.25">
      <c r="A855" s="25" t="s">
        <v>245</v>
      </c>
      <c r="B855" s="16">
        <v>908</v>
      </c>
      <c r="C855" s="20" t="s">
        <v>230</v>
      </c>
      <c r="D855" s="20" t="s">
        <v>234</v>
      </c>
      <c r="E855" s="20" t="s">
        <v>924</v>
      </c>
      <c r="F855" s="20"/>
      <c r="G855" s="415">
        <f t="shared" si="423"/>
        <v>107</v>
      </c>
      <c r="H855" s="26">
        <f t="shared" si="423"/>
        <v>106.9</v>
      </c>
      <c r="I855" s="26">
        <f t="shared" si="423"/>
        <v>106.9</v>
      </c>
      <c r="L855" s="111"/>
    </row>
    <row r="856" spans="1:12" ht="15.75" x14ac:dyDescent="0.25">
      <c r="A856" s="25" t="s">
        <v>146</v>
      </c>
      <c r="B856" s="16">
        <v>908</v>
      </c>
      <c r="C856" s="20" t="s">
        <v>230</v>
      </c>
      <c r="D856" s="20" t="s">
        <v>234</v>
      </c>
      <c r="E856" s="20" t="s">
        <v>924</v>
      </c>
      <c r="F856" s="20" t="s">
        <v>147</v>
      </c>
      <c r="G856" s="415">
        <f t="shared" si="423"/>
        <v>107</v>
      </c>
      <c r="H856" s="26">
        <f t="shared" si="423"/>
        <v>106.9</v>
      </c>
      <c r="I856" s="26">
        <f t="shared" si="423"/>
        <v>106.9</v>
      </c>
      <c r="L856" s="111"/>
    </row>
    <row r="857" spans="1:12" ht="31.5" x14ac:dyDescent="0.25">
      <c r="A857" s="25" t="s">
        <v>148</v>
      </c>
      <c r="B857" s="16">
        <v>908</v>
      </c>
      <c r="C857" s="20" t="s">
        <v>230</v>
      </c>
      <c r="D857" s="20" t="s">
        <v>234</v>
      </c>
      <c r="E857" s="20" t="s">
        <v>924</v>
      </c>
      <c r="F857" s="20" t="s">
        <v>149</v>
      </c>
      <c r="G857" s="415">
        <v>107</v>
      </c>
      <c r="H857" s="26">
        <v>106.9</v>
      </c>
      <c r="I857" s="26">
        <v>106.9</v>
      </c>
      <c r="J857" s="240"/>
      <c r="L857" s="111"/>
    </row>
    <row r="858" spans="1:12" ht="15.75" x14ac:dyDescent="0.25">
      <c r="A858" s="23" t="s">
        <v>247</v>
      </c>
      <c r="B858" s="19">
        <v>908</v>
      </c>
      <c r="C858" s="24" t="s">
        <v>165</v>
      </c>
      <c r="D858" s="24"/>
      <c r="E858" s="24"/>
      <c r="F858" s="24"/>
      <c r="G858" s="416">
        <f>G859+G865</f>
        <v>6704</v>
      </c>
      <c r="H858" s="21">
        <f t="shared" ref="H858:I858" si="424">H859+H865</f>
        <v>8024.9000000000005</v>
      </c>
      <c r="I858" s="21">
        <f t="shared" si="424"/>
        <v>8024.9000000000005</v>
      </c>
      <c r="L858" s="111"/>
    </row>
    <row r="859" spans="1:12" ht="15.75" x14ac:dyDescent="0.25">
      <c r="A859" s="23" t="s">
        <v>520</v>
      </c>
      <c r="B859" s="19">
        <v>908</v>
      </c>
      <c r="C859" s="24" t="s">
        <v>165</v>
      </c>
      <c r="D859" s="24" t="s">
        <v>314</v>
      </c>
      <c r="E859" s="24"/>
      <c r="F859" s="24"/>
      <c r="G859" s="416">
        <f>G860</f>
        <v>3258</v>
      </c>
      <c r="H859" s="21">
        <f t="shared" ref="H859:I863" si="425">H860</f>
        <v>3258.3</v>
      </c>
      <c r="I859" s="21">
        <f t="shared" si="425"/>
        <v>3258.3</v>
      </c>
      <c r="L859" s="111"/>
    </row>
    <row r="860" spans="1:12" ht="15.75" x14ac:dyDescent="0.25">
      <c r="A860" s="23" t="s">
        <v>156</v>
      </c>
      <c r="B860" s="19">
        <v>908</v>
      </c>
      <c r="C860" s="24" t="s">
        <v>165</v>
      </c>
      <c r="D860" s="24" t="s">
        <v>314</v>
      </c>
      <c r="E860" s="24" t="s">
        <v>914</v>
      </c>
      <c r="F860" s="24"/>
      <c r="G860" s="416">
        <f>G861</f>
        <v>3258</v>
      </c>
      <c r="H860" s="21">
        <f t="shared" si="425"/>
        <v>3258.3</v>
      </c>
      <c r="I860" s="21">
        <f t="shared" si="425"/>
        <v>3258.3</v>
      </c>
      <c r="L860" s="111"/>
    </row>
    <row r="861" spans="1:12" ht="31.5" x14ac:dyDescent="0.25">
      <c r="A861" s="23" t="s">
        <v>918</v>
      </c>
      <c r="B861" s="19">
        <v>908</v>
      </c>
      <c r="C861" s="24" t="s">
        <v>165</v>
      </c>
      <c r="D861" s="24" t="s">
        <v>314</v>
      </c>
      <c r="E861" s="24" t="s">
        <v>913</v>
      </c>
      <c r="F861" s="24"/>
      <c r="G861" s="416">
        <f>G862</f>
        <v>3258</v>
      </c>
      <c r="H861" s="21">
        <f t="shared" si="425"/>
        <v>3258.3</v>
      </c>
      <c r="I861" s="21">
        <f t="shared" si="425"/>
        <v>3258.3</v>
      </c>
      <c r="L861" s="111"/>
    </row>
    <row r="862" spans="1:12" ht="18" customHeight="1" x14ac:dyDescent="0.25">
      <c r="A862" s="25" t="s">
        <v>521</v>
      </c>
      <c r="B862" s="16">
        <v>908</v>
      </c>
      <c r="C862" s="20" t="s">
        <v>165</v>
      </c>
      <c r="D862" s="20" t="s">
        <v>314</v>
      </c>
      <c r="E862" s="20" t="s">
        <v>1098</v>
      </c>
      <c r="F862" s="20"/>
      <c r="G862" s="415">
        <f>G863</f>
        <v>3258</v>
      </c>
      <c r="H862" s="26">
        <f t="shared" si="425"/>
        <v>3258.3</v>
      </c>
      <c r="I862" s="26">
        <f t="shared" si="425"/>
        <v>3258.3</v>
      </c>
      <c r="L862" s="111"/>
    </row>
    <row r="863" spans="1:12" ht="15.75" x14ac:dyDescent="0.25">
      <c r="A863" s="25" t="s">
        <v>146</v>
      </c>
      <c r="B863" s="16">
        <v>908</v>
      </c>
      <c r="C863" s="20" t="s">
        <v>165</v>
      </c>
      <c r="D863" s="20" t="s">
        <v>314</v>
      </c>
      <c r="E863" s="20" t="s">
        <v>1098</v>
      </c>
      <c r="F863" s="20" t="s">
        <v>147</v>
      </c>
      <c r="G863" s="415">
        <f>G864</f>
        <v>3258</v>
      </c>
      <c r="H863" s="26">
        <f t="shared" si="425"/>
        <v>3258.3</v>
      </c>
      <c r="I863" s="26">
        <f t="shared" si="425"/>
        <v>3258.3</v>
      </c>
      <c r="L863" s="111"/>
    </row>
    <row r="864" spans="1:12" ht="31.5" x14ac:dyDescent="0.25">
      <c r="A864" s="25" t="s">
        <v>148</v>
      </c>
      <c r="B864" s="16">
        <v>908</v>
      </c>
      <c r="C864" s="20" t="s">
        <v>165</v>
      </c>
      <c r="D864" s="20" t="s">
        <v>314</v>
      </c>
      <c r="E864" s="20" t="s">
        <v>1098</v>
      </c>
      <c r="F864" s="20" t="s">
        <v>149</v>
      </c>
      <c r="G864" s="415">
        <v>3258</v>
      </c>
      <c r="H864" s="26">
        <f t="shared" ref="H864:I864" si="426">3258.3</f>
        <v>3258.3</v>
      </c>
      <c r="I864" s="26">
        <f t="shared" si="426"/>
        <v>3258.3</v>
      </c>
      <c r="L864" s="111"/>
    </row>
    <row r="865" spans="1:12" ht="15.75" x14ac:dyDescent="0.25">
      <c r="A865" s="23" t="s">
        <v>523</v>
      </c>
      <c r="B865" s="19">
        <v>908</v>
      </c>
      <c r="C865" s="24" t="s">
        <v>165</v>
      </c>
      <c r="D865" s="24" t="s">
        <v>234</v>
      </c>
      <c r="E865" s="20"/>
      <c r="F865" s="24"/>
      <c r="G865" s="416">
        <f>G866</f>
        <v>3446</v>
      </c>
      <c r="H865" s="21">
        <f t="shared" ref="H865:I865" si="427">H866</f>
        <v>4766.6000000000004</v>
      </c>
      <c r="I865" s="21">
        <f t="shared" si="427"/>
        <v>4766.6000000000004</v>
      </c>
      <c r="L865" s="111"/>
    </row>
    <row r="866" spans="1:12" ht="31.5" x14ac:dyDescent="0.25">
      <c r="A866" s="34" t="s">
        <v>1187</v>
      </c>
      <c r="B866" s="19">
        <v>908</v>
      </c>
      <c r="C866" s="24" t="s">
        <v>165</v>
      </c>
      <c r="D866" s="24" t="s">
        <v>234</v>
      </c>
      <c r="E866" s="24" t="s">
        <v>525</v>
      </c>
      <c r="F866" s="24"/>
      <c r="G866" s="416">
        <f>G872+G867</f>
        <v>3446</v>
      </c>
      <c r="H866" s="21">
        <f t="shared" ref="H866:I866" si="428">H872+H867</f>
        <v>4766.6000000000004</v>
      </c>
      <c r="I866" s="21">
        <f t="shared" si="428"/>
        <v>4766.6000000000004</v>
      </c>
      <c r="J866" s="212" t="s">
        <v>1186</v>
      </c>
      <c r="L866" s="111"/>
    </row>
    <row r="867" spans="1:12" s="230" customFormat="1" ht="31.5" hidden="1" x14ac:dyDescent="0.25">
      <c r="A867" s="34" t="s">
        <v>1156</v>
      </c>
      <c r="B867" s="19">
        <v>908</v>
      </c>
      <c r="C867" s="24" t="s">
        <v>165</v>
      </c>
      <c r="D867" s="24" t="s">
        <v>234</v>
      </c>
      <c r="E867" s="7" t="s">
        <v>1099</v>
      </c>
      <c r="F867" s="24"/>
      <c r="G867" s="416">
        <f>G868</f>
        <v>0</v>
      </c>
      <c r="H867" s="21">
        <f t="shared" ref="H867:I869" si="429">H868</f>
        <v>0</v>
      </c>
      <c r="I867" s="21">
        <f t="shared" si="429"/>
        <v>0</v>
      </c>
      <c r="J867" s="212"/>
      <c r="K867" s="111"/>
      <c r="L867" s="111"/>
    </row>
    <row r="868" spans="1:12" s="230" customFormat="1" ht="15.75" hidden="1" x14ac:dyDescent="0.25">
      <c r="A868" s="29" t="s">
        <v>1158</v>
      </c>
      <c r="B868" s="16">
        <v>908</v>
      </c>
      <c r="C868" s="20" t="s">
        <v>165</v>
      </c>
      <c r="D868" s="20" t="s">
        <v>234</v>
      </c>
      <c r="E868" s="40" t="s">
        <v>1157</v>
      </c>
      <c r="F868" s="20"/>
      <c r="G868" s="415">
        <f>G869</f>
        <v>0</v>
      </c>
      <c r="H868" s="26">
        <f t="shared" si="429"/>
        <v>0</v>
      </c>
      <c r="I868" s="26">
        <f t="shared" si="429"/>
        <v>0</v>
      </c>
      <c r="J868" s="212"/>
      <c r="K868" s="111"/>
      <c r="L868" s="111"/>
    </row>
    <row r="869" spans="1:12" s="230" customFormat="1" ht="15.75" hidden="1" x14ac:dyDescent="0.25">
      <c r="A869" s="25" t="s">
        <v>146</v>
      </c>
      <c r="B869" s="16">
        <v>908</v>
      </c>
      <c r="C869" s="20" t="s">
        <v>165</v>
      </c>
      <c r="D869" s="20" t="s">
        <v>234</v>
      </c>
      <c r="E869" s="40" t="s">
        <v>1157</v>
      </c>
      <c r="F869" s="20" t="s">
        <v>147</v>
      </c>
      <c r="G869" s="415">
        <f>G870</f>
        <v>0</v>
      </c>
      <c r="H869" s="26">
        <f t="shared" si="429"/>
        <v>0</v>
      </c>
      <c r="I869" s="26">
        <f t="shared" si="429"/>
        <v>0</v>
      </c>
      <c r="J869" s="212"/>
      <c r="K869" s="111"/>
      <c r="L869" s="111"/>
    </row>
    <row r="870" spans="1:12" s="230" customFormat="1" ht="31.5" hidden="1" x14ac:dyDescent="0.25">
      <c r="A870" s="25" t="s">
        <v>148</v>
      </c>
      <c r="B870" s="16">
        <v>908</v>
      </c>
      <c r="C870" s="20" t="s">
        <v>165</v>
      </c>
      <c r="D870" s="20" t="s">
        <v>234</v>
      </c>
      <c r="E870" s="40" t="s">
        <v>1157</v>
      </c>
      <c r="F870" s="20" t="s">
        <v>149</v>
      </c>
      <c r="G870" s="415">
        <v>0</v>
      </c>
      <c r="H870" s="26">
        <v>0</v>
      </c>
      <c r="I870" s="26">
        <v>0</v>
      </c>
      <c r="J870" s="212"/>
      <c r="K870" s="111"/>
      <c r="L870" s="111"/>
    </row>
    <row r="871" spans="1:12" s="230" customFormat="1" ht="31.5" x14ac:dyDescent="0.25">
      <c r="A871" s="34" t="s">
        <v>1248</v>
      </c>
      <c r="B871" s="19">
        <v>908</v>
      </c>
      <c r="C871" s="24" t="s">
        <v>165</v>
      </c>
      <c r="D871" s="24" t="s">
        <v>234</v>
      </c>
      <c r="E871" s="24" t="s">
        <v>1100</v>
      </c>
      <c r="F871" s="24"/>
      <c r="G871" s="416">
        <f>G872</f>
        <v>3446</v>
      </c>
      <c r="H871" s="21">
        <f t="shared" ref="H871:I871" si="430">H872</f>
        <v>4766.6000000000004</v>
      </c>
      <c r="I871" s="21">
        <f t="shared" si="430"/>
        <v>4766.6000000000004</v>
      </c>
      <c r="J871" s="212"/>
      <c r="K871" s="111"/>
      <c r="L871" s="111"/>
    </row>
    <row r="872" spans="1:12" ht="15.75" x14ac:dyDescent="0.25">
      <c r="A872" s="29" t="s">
        <v>526</v>
      </c>
      <c r="B872" s="16">
        <v>908</v>
      </c>
      <c r="C872" s="20" t="s">
        <v>165</v>
      </c>
      <c r="D872" s="20" t="s">
        <v>234</v>
      </c>
      <c r="E872" s="40" t="s">
        <v>1159</v>
      </c>
      <c r="F872" s="20"/>
      <c r="G872" s="415">
        <f>G873+G875</f>
        <v>3446</v>
      </c>
      <c r="H872" s="26">
        <f t="shared" ref="H872:I872" si="431">H873+H875</f>
        <v>4766.6000000000004</v>
      </c>
      <c r="I872" s="26">
        <f t="shared" si="431"/>
        <v>4766.6000000000004</v>
      </c>
      <c r="L872" s="111"/>
    </row>
    <row r="873" spans="1:12" ht="15.75" x14ac:dyDescent="0.25">
      <c r="A873" s="25" t="s">
        <v>146</v>
      </c>
      <c r="B873" s="16">
        <v>908</v>
      </c>
      <c r="C873" s="20" t="s">
        <v>165</v>
      </c>
      <c r="D873" s="20" t="s">
        <v>234</v>
      </c>
      <c r="E873" s="40" t="s">
        <v>1159</v>
      </c>
      <c r="F873" s="20" t="s">
        <v>147</v>
      </c>
      <c r="G873" s="415">
        <f>G874</f>
        <v>3446</v>
      </c>
      <c r="H873" s="26">
        <f t="shared" ref="H873:I873" si="432">H874</f>
        <v>4740.5</v>
      </c>
      <c r="I873" s="26">
        <f t="shared" si="432"/>
        <v>4740.5</v>
      </c>
      <c r="L873" s="111"/>
    </row>
    <row r="874" spans="1:12" ht="31.5" x14ac:dyDescent="0.25">
      <c r="A874" s="25" t="s">
        <v>148</v>
      </c>
      <c r="B874" s="16">
        <v>908</v>
      </c>
      <c r="C874" s="20" t="s">
        <v>165</v>
      </c>
      <c r="D874" s="20" t="s">
        <v>234</v>
      </c>
      <c r="E874" s="40" t="s">
        <v>1159</v>
      </c>
      <c r="F874" s="20" t="s">
        <v>149</v>
      </c>
      <c r="G874" s="415">
        <v>3446</v>
      </c>
      <c r="H874" s="26">
        <v>4740.5</v>
      </c>
      <c r="I874" s="26">
        <v>4740.5</v>
      </c>
      <c r="J874" s="240"/>
      <c r="K874" s="270"/>
      <c r="L874" s="111"/>
    </row>
    <row r="875" spans="1:12" ht="15.75" hidden="1" x14ac:dyDescent="0.25">
      <c r="A875" s="25" t="s">
        <v>150</v>
      </c>
      <c r="B875" s="16">
        <v>908</v>
      </c>
      <c r="C875" s="20" t="s">
        <v>165</v>
      </c>
      <c r="D875" s="20" t="s">
        <v>234</v>
      </c>
      <c r="E875" s="40" t="s">
        <v>1159</v>
      </c>
      <c r="F875" s="20" t="s">
        <v>160</v>
      </c>
      <c r="G875" s="415">
        <f>G876</f>
        <v>0</v>
      </c>
      <c r="H875" s="26">
        <f t="shared" ref="H875:I875" si="433">H876</f>
        <v>26.1</v>
      </c>
      <c r="I875" s="26">
        <f t="shared" si="433"/>
        <v>26.1</v>
      </c>
      <c r="L875" s="111"/>
    </row>
    <row r="876" spans="1:12" ht="15.75" hidden="1" x14ac:dyDescent="0.25">
      <c r="A876" s="25" t="s">
        <v>583</v>
      </c>
      <c r="B876" s="16">
        <v>908</v>
      </c>
      <c r="C876" s="20" t="s">
        <v>165</v>
      </c>
      <c r="D876" s="20" t="s">
        <v>234</v>
      </c>
      <c r="E876" s="40" t="s">
        <v>1159</v>
      </c>
      <c r="F876" s="20" t="s">
        <v>153</v>
      </c>
      <c r="G876" s="415">
        <v>0</v>
      </c>
      <c r="H876" s="26">
        <f t="shared" ref="H876:I876" si="434">16+10.1</f>
        <v>26.1</v>
      </c>
      <c r="I876" s="26">
        <f t="shared" si="434"/>
        <v>26.1</v>
      </c>
      <c r="J876" s="240"/>
      <c r="L876" s="111"/>
    </row>
    <row r="877" spans="1:12" ht="15.75" x14ac:dyDescent="0.25">
      <c r="A877" s="23" t="s">
        <v>405</v>
      </c>
      <c r="B877" s="19">
        <v>908</v>
      </c>
      <c r="C877" s="24" t="s">
        <v>249</v>
      </c>
      <c r="D877" s="24"/>
      <c r="E877" s="24"/>
      <c r="F877" s="24"/>
      <c r="G877" s="416">
        <f>G878+G892+G956+G1005</f>
        <v>36778.5</v>
      </c>
      <c r="H877" s="21">
        <f>H878+H892+H956+H1005</f>
        <v>169607.44999999998</v>
      </c>
      <c r="I877" s="21">
        <f>I878+I892+I956+I1005</f>
        <v>169607.44999999998</v>
      </c>
      <c r="L877" s="111"/>
    </row>
    <row r="878" spans="1:12" ht="15.75" x14ac:dyDescent="0.25">
      <c r="A878" s="23" t="s">
        <v>406</v>
      </c>
      <c r="B878" s="19">
        <v>908</v>
      </c>
      <c r="C878" s="24" t="s">
        <v>249</v>
      </c>
      <c r="D878" s="24" t="s">
        <v>133</v>
      </c>
      <c r="E878" s="24"/>
      <c r="F878" s="24"/>
      <c r="G878" s="416">
        <f>G879</f>
        <v>5160</v>
      </c>
      <c r="H878" s="21">
        <f t="shared" ref="H878:I879" si="435">H879</f>
        <v>26909.4</v>
      </c>
      <c r="I878" s="21">
        <f t="shared" si="435"/>
        <v>26909.4</v>
      </c>
      <c r="L878" s="111"/>
    </row>
    <row r="879" spans="1:12" ht="15.75" x14ac:dyDescent="0.25">
      <c r="A879" s="23" t="s">
        <v>156</v>
      </c>
      <c r="B879" s="19">
        <v>908</v>
      </c>
      <c r="C879" s="24" t="s">
        <v>249</v>
      </c>
      <c r="D879" s="24" t="s">
        <v>133</v>
      </c>
      <c r="E879" s="24" t="s">
        <v>914</v>
      </c>
      <c r="F879" s="24"/>
      <c r="G879" s="416">
        <f>G880</f>
        <v>5160</v>
      </c>
      <c r="H879" s="21">
        <f t="shared" si="435"/>
        <v>26909.4</v>
      </c>
      <c r="I879" s="21">
        <f t="shared" si="435"/>
        <v>26909.4</v>
      </c>
      <c r="L879" s="111"/>
    </row>
    <row r="880" spans="1:12" ht="31.5" x14ac:dyDescent="0.25">
      <c r="A880" s="23" t="s">
        <v>918</v>
      </c>
      <c r="B880" s="19">
        <v>908</v>
      </c>
      <c r="C880" s="24" t="s">
        <v>249</v>
      </c>
      <c r="D880" s="24" t="s">
        <v>133</v>
      </c>
      <c r="E880" s="24" t="s">
        <v>913</v>
      </c>
      <c r="F880" s="24"/>
      <c r="G880" s="416">
        <f>G889+G886+G881</f>
        <v>5160</v>
      </c>
      <c r="H880" s="21">
        <f t="shared" ref="H880:I880" si="436">H889+H886+H881</f>
        <v>26909.4</v>
      </c>
      <c r="I880" s="21">
        <f t="shared" si="436"/>
        <v>26909.4</v>
      </c>
      <c r="L880" s="111"/>
    </row>
    <row r="881" spans="1:14" ht="15.75" hidden="1" x14ac:dyDescent="0.25">
      <c r="A881" s="25" t="s">
        <v>530</v>
      </c>
      <c r="B881" s="16">
        <v>908</v>
      </c>
      <c r="C881" s="20" t="s">
        <v>796</v>
      </c>
      <c r="D881" s="20" t="s">
        <v>133</v>
      </c>
      <c r="E881" s="20" t="s">
        <v>1101</v>
      </c>
      <c r="F881" s="24"/>
      <c r="G881" s="415">
        <f>G884+G882</f>
        <v>0</v>
      </c>
      <c r="H881" s="26">
        <f t="shared" ref="H881:I881" si="437">H884+H882</f>
        <v>21756.5</v>
      </c>
      <c r="I881" s="26">
        <f t="shared" si="437"/>
        <v>21756.5</v>
      </c>
      <c r="L881" s="111"/>
    </row>
    <row r="882" spans="1:14" s="230" customFormat="1" ht="15.75" hidden="1" x14ac:dyDescent="0.25">
      <c r="A882" s="25" t="s">
        <v>146</v>
      </c>
      <c r="B882" s="16">
        <v>908</v>
      </c>
      <c r="C882" s="20" t="s">
        <v>249</v>
      </c>
      <c r="D882" s="20" t="s">
        <v>133</v>
      </c>
      <c r="E882" s="20" t="s">
        <v>1101</v>
      </c>
      <c r="F882" s="20" t="s">
        <v>147</v>
      </c>
      <c r="G882" s="415">
        <f>G883</f>
        <v>0</v>
      </c>
      <c r="H882" s="26">
        <f t="shared" ref="H882:I882" si="438">H883</f>
        <v>20230.900000000001</v>
      </c>
      <c r="I882" s="26">
        <f t="shared" si="438"/>
        <v>20230.900000000001</v>
      </c>
      <c r="J882" s="212"/>
      <c r="K882" s="111"/>
      <c r="L882" s="111"/>
    </row>
    <row r="883" spans="1:14" s="230" customFormat="1" ht="31.5" hidden="1" x14ac:dyDescent="0.25">
      <c r="A883" s="25" t="s">
        <v>148</v>
      </c>
      <c r="B883" s="16">
        <v>908</v>
      </c>
      <c r="C883" s="20" t="s">
        <v>249</v>
      </c>
      <c r="D883" s="20" t="s">
        <v>133</v>
      </c>
      <c r="E883" s="20" t="s">
        <v>1101</v>
      </c>
      <c r="F883" s="20" t="s">
        <v>149</v>
      </c>
      <c r="G883" s="415">
        <v>0</v>
      </c>
      <c r="H883" s="26">
        <f t="shared" ref="H883:I883" si="439">10000+10230.9</f>
        <v>20230.900000000001</v>
      </c>
      <c r="I883" s="26">
        <f t="shared" si="439"/>
        <v>20230.900000000001</v>
      </c>
      <c r="J883" s="111"/>
      <c r="K883" s="111"/>
      <c r="L883" s="111"/>
    </row>
    <row r="884" spans="1:14" ht="15.75" hidden="1" x14ac:dyDescent="0.25">
      <c r="A884" s="25" t="s">
        <v>150</v>
      </c>
      <c r="B884" s="16">
        <v>908</v>
      </c>
      <c r="C884" s="20" t="s">
        <v>249</v>
      </c>
      <c r="D884" s="20" t="s">
        <v>133</v>
      </c>
      <c r="E884" s="20" t="s">
        <v>1101</v>
      </c>
      <c r="F884" s="20" t="s">
        <v>160</v>
      </c>
      <c r="G884" s="415">
        <f>G885</f>
        <v>0</v>
      </c>
      <c r="H884" s="26">
        <f t="shared" ref="H884:I884" si="440">H885</f>
        <v>1525.6</v>
      </c>
      <c r="I884" s="26">
        <f t="shared" si="440"/>
        <v>1525.6</v>
      </c>
      <c r="L884" s="111"/>
    </row>
    <row r="885" spans="1:14" ht="48.75" hidden="1" customHeight="1" x14ac:dyDescent="0.25">
      <c r="A885" s="25" t="s">
        <v>199</v>
      </c>
      <c r="B885" s="16">
        <v>908</v>
      </c>
      <c r="C885" s="20" t="s">
        <v>249</v>
      </c>
      <c r="D885" s="20" t="s">
        <v>133</v>
      </c>
      <c r="E885" s="20" t="s">
        <v>1101</v>
      </c>
      <c r="F885" s="20" t="s">
        <v>175</v>
      </c>
      <c r="G885" s="415">
        <v>0</v>
      </c>
      <c r="H885" s="26">
        <f t="shared" ref="H885:I885" si="441">1525.6</f>
        <v>1525.6</v>
      </c>
      <c r="I885" s="26">
        <f t="shared" si="441"/>
        <v>1525.6</v>
      </c>
      <c r="L885" s="111"/>
    </row>
    <row r="886" spans="1:14" ht="15.75" x14ac:dyDescent="0.25">
      <c r="A886" s="29" t="s">
        <v>413</v>
      </c>
      <c r="B886" s="16">
        <v>908</v>
      </c>
      <c r="C886" s="20" t="s">
        <v>249</v>
      </c>
      <c r="D886" s="20" t="s">
        <v>133</v>
      </c>
      <c r="E886" s="20" t="s">
        <v>1102</v>
      </c>
      <c r="F886" s="24"/>
      <c r="G886" s="415">
        <f>G887</f>
        <v>4020</v>
      </c>
      <c r="H886" s="26">
        <f t="shared" ref="H886:I887" si="442">H887</f>
        <v>4017.6</v>
      </c>
      <c r="I886" s="26">
        <f t="shared" si="442"/>
        <v>4017.6</v>
      </c>
      <c r="L886" s="111"/>
    </row>
    <row r="887" spans="1:14" ht="15.75" x14ac:dyDescent="0.25">
      <c r="A887" s="25" t="s">
        <v>146</v>
      </c>
      <c r="B887" s="16">
        <v>908</v>
      </c>
      <c r="C887" s="20" t="s">
        <v>249</v>
      </c>
      <c r="D887" s="20" t="s">
        <v>133</v>
      </c>
      <c r="E887" s="20" t="s">
        <v>1102</v>
      </c>
      <c r="F887" s="20" t="s">
        <v>147</v>
      </c>
      <c r="G887" s="415">
        <f>G888</f>
        <v>4020</v>
      </c>
      <c r="H887" s="26">
        <f t="shared" si="442"/>
        <v>4017.6</v>
      </c>
      <c r="I887" s="26">
        <f t="shared" si="442"/>
        <v>4017.6</v>
      </c>
      <c r="L887" s="111"/>
    </row>
    <row r="888" spans="1:14" ht="33" customHeight="1" x14ac:dyDescent="0.25">
      <c r="A888" s="25" t="s">
        <v>148</v>
      </c>
      <c r="B888" s="16">
        <v>908</v>
      </c>
      <c r="C888" s="20" t="s">
        <v>249</v>
      </c>
      <c r="D888" s="20" t="s">
        <v>133</v>
      </c>
      <c r="E888" s="20" t="s">
        <v>1102</v>
      </c>
      <c r="F888" s="20" t="s">
        <v>149</v>
      </c>
      <c r="G888" s="419">
        <v>4020</v>
      </c>
      <c r="H888" s="27">
        <f t="shared" ref="H888:I888" si="443">4017.6</f>
        <v>4017.6</v>
      </c>
      <c r="I888" s="27">
        <f t="shared" si="443"/>
        <v>4017.6</v>
      </c>
      <c r="L888" s="111"/>
      <c r="M888" s="118"/>
      <c r="N888" s="118"/>
    </row>
    <row r="889" spans="1:14" ht="31.5" x14ac:dyDescent="0.25">
      <c r="A889" s="29" t="s">
        <v>1009</v>
      </c>
      <c r="B889" s="16">
        <v>908</v>
      </c>
      <c r="C889" s="20" t="s">
        <v>249</v>
      </c>
      <c r="D889" s="20" t="s">
        <v>133</v>
      </c>
      <c r="E889" s="20" t="s">
        <v>1103</v>
      </c>
      <c r="F889" s="24"/>
      <c r="G889" s="415">
        <f>G890</f>
        <v>1140</v>
      </c>
      <c r="H889" s="26">
        <f t="shared" ref="H889:I890" si="444">H890</f>
        <v>1135.3</v>
      </c>
      <c r="I889" s="26">
        <f t="shared" si="444"/>
        <v>1135.3</v>
      </c>
      <c r="L889" s="111"/>
    </row>
    <row r="890" spans="1:14" ht="15.75" x14ac:dyDescent="0.25">
      <c r="A890" s="25" t="s">
        <v>146</v>
      </c>
      <c r="B890" s="16">
        <v>908</v>
      </c>
      <c r="C890" s="20" t="s">
        <v>249</v>
      </c>
      <c r="D890" s="20" t="s">
        <v>133</v>
      </c>
      <c r="E890" s="20" t="s">
        <v>1103</v>
      </c>
      <c r="F890" s="20" t="s">
        <v>147</v>
      </c>
      <c r="G890" s="415">
        <f>G891</f>
        <v>1140</v>
      </c>
      <c r="H890" s="26">
        <f t="shared" si="444"/>
        <v>1135.3</v>
      </c>
      <c r="I890" s="26">
        <f t="shared" si="444"/>
        <v>1135.3</v>
      </c>
      <c r="L890" s="111"/>
    </row>
    <row r="891" spans="1:14" ht="33" customHeight="1" x14ac:dyDescent="0.25">
      <c r="A891" s="25" t="s">
        <v>148</v>
      </c>
      <c r="B891" s="16">
        <v>908</v>
      </c>
      <c r="C891" s="20" t="s">
        <v>249</v>
      </c>
      <c r="D891" s="20" t="s">
        <v>133</v>
      </c>
      <c r="E891" s="20" t="s">
        <v>1103</v>
      </c>
      <c r="F891" s="20" t="s">
        <v>149</v>
      </c>
      <c r="G891" s="415">
        <v>1140</v>
      </c>
      <c r="H891" s="26">
        <f t="shared" ref="H891:I891" si="445">1191.6-15-41.3</f>
        <v>1135.3</v>
      </c>
      <c r="I891" s="26">
        <f t="shared" si="445"/>
        <v>1135.3</v>
      </c>
      <c r="L891" s="111"/>
    </row>
    <row r="892" spans="1:14" ht="15.75" x14ac:dyDescent="0.25">
      <c r="A892" s="23" t="s">
        <v>532</v>
      </c>
      <c r="B892" s="19">
        <v>908</v>
      </c>
      <c r="C892" s="24" t="s">
        <v>249</v>
      </c>
      <c r="D892" s="24" t="s">
        <v>228</v>
      </c>
      <c r="E892" s="24"/>
      <c r="F892" s="24"/>
      <c r="G892" s="416">
        <f>G893+G922+G951</f>
        <v>5120</v>
      </c>
      <c r="H892" s="21">
        <f t="shared" ref="H892:I892" si="446">H893+H922</f>
        <v>105884.63</v>
      </c>
      <c r="I892" s="21">
        <f t="shared" si="446"/>
        <v>105884.63</v>
      </c>
      <c r="L892" s="111"/>
    </row>
    <row r="893" spans="1:14" s="230" customFormat="1" ht="15.75" x14ac:dyDescent="0.25">
      <c r="A893" s="23" t="s">
        <v>156</v>
      </c>
      <c r="B893" s="19">
        <v>908</v>
      </c>
      <c r="C893" s="24" t="s">
        <v>249</v>
      </c>
      <c r="D893" s="24" t="s">
        <v>228</v>
      </c>
      <c r="E893" s="24" t="s">
        <v>914</v>
      </c>
      <c r="F893" s="24"/>
      <c r="G893" s="416">
        <f>G894+G905</f>
        <v>5000</v>
      </c>
      <c r="H893" s="21">
        <f t="shared" ref="H893:I893" si="447">H894+H905</f>
        <v>96944.63</v>
      </c>
      <c r="I893" s="21">
        <f t="shared" si="447"/>
        <v>96944.63</v>
      </c>
      <c r="J893" s="212"/>
      <c r="K893" s="111"/>
      <c r="L893" s="111"/>
    </row>
    <row r="894" spans="1:14" s="230" customFormat="1" ht="31.5" x14ac:dyDescent="0.25">
      <c r="A894" s="23" t="s">
        <v>918</v>
      </c>
      <c r="B894" s="19">
        <v>908</v>
      </c>
      <c r="C894" s="24" t="s">
        <v>249</v>
      </c>
      <c r="D894" s="24" t="s">
        <v>228</v>
      </c>
      <c r="E894" s="24" t="s">
        <v>913</v>
      </c>
      <c r="F894" s="24"/>
      <c r="G894" s="416">
        <f>G895+G900</f>
        <v>5000</v>
      </c>
      <c r="H894" s="21">
        <f t="shared" ref="H894:I894" si="448">H895+H900</f>
        <v>23180.9</v>
      </c>
      <c r="I894" s="21">
        <f t="shared" si="448"/>
        <v>23180.9</v>
      </c>
      <c r="J894" s="212"/>
      <c r="K894" s="111"/>
      <c r="L894" s="111"/>
    </row>
    <row r="895" spans="1:14" s="230" customFormat="1" ht="15.75" hidden="1" x14ac:dyDescent="0.25">
      <c r="A895" s="35" t="s">
        <v>552</v>
      </c>
      <c r="B895" s="16">
        <v>908</v>
      </c>
      <c r="C895" s="20" t="s">
        <v>249</v>
      </c>
      <c r="D895" s="20" t="s">
        <v>228</v>
      </c>
      <c r="E895" s="20" t="s">
        <v>1120</v>
      </c>
      <c r="F895" s="20"/>
      <c r="G895" s="415">
        <f>G896+G898</f>
        <v>0</v>
      </c>
      <c r="H895" s="26">
        <f t="shared" ref="H895:I895" si="449">H896+H898</f>
        <v>15322.9</v>
      </c>
      <c r="I895" s="26">
        <f t="shared" si="449"/>
        <v>15322.9</v>
      </c>
      <c r="J895" s="212"/>
      <c r="K895" s="111"/>
      <c r="L895" s="111"/>
    </row>
    <row r="896" spans="1:14" s="230" customFormat="1" ht="15.75" hidden="1" x14ac:dyDescent="0.25">
      <c r="A896" s="25" t="s">
        <v>146</v>
      </c>
      <c r="B896" s="16">
        <v>908</v>
      </c>
      <c r="C896" s="20" t="s">
        <v>249</v>
      </c>
      <c r="D896" s="20" t="s">
        <v>228</v>
      </c>
      <c r="E896" s="20" t="s">
        <v>1120</v>
      </c>
      <c r="F896" s="20" t="s">
        <v>147</v>
      </c>
      <c r="G896" s="415">
        <f>G897</f>
        <v>0</v>
      </c>
      <c r="H896" s="26">
        <f t="shared" ref="H896:I896" si="450">H897</f>
        <v>322.89999999999998</v>
      </c>
      <c r="I896" s="26">
        <f t="shared" si="450"/>
        <v>322.89999999999998</v>
      </c>
      <c r="J896" s="212"/>
      <c r="K896" s="111"/>
      <c r="L896" s="111"/>
    </row>
    <row r="897" spans="1:12" s="230" customFormat="1" ht="31.5" hidden="1" x14ac:dyDescent="0.25">
      <c r="A897" s="25" t="s">
        <v>148</v>
      </c>
      <c r="B897" s="16">
        <v>908</v>
      </c>
      <c r="C897" s="20" t="s">
        <v>249</v>
      </c>
      <c r="D897" s="20" t="s">
        <v>228</v>
      </c>
      <c r="E897" s="20" t="s">
        <v>1120</v>
      </c>
      <c r="F897" s="20" t="s">
        <v>149</v>
      </c>
      <c r="G897" s="420">
        <v>0</v>
      </c>
      <c r="H897" s="268">
        <v>322.89999999999998</v>
      </c>
      <c r="I897" s="268">
        <v>322.89999999999998</v>
      </c>
      <c r="J897" s="212"/>
      <c r="K897" s="111"/>
      <c r="L897" s="111"/>
    </row>
    <row r="898" spans="1:12" s="230" customFormat="1" ht="15.75" hidden="1" x14ac:dyDescent="0.25">
      <c r="A898" s="25" t="s">
        <v>150</v>
      </c>
      <c r="B898" s="16">
        <v>908</v>
      </c>
      <c r="C898" s="20" t="s">
        <v>249</v>
      </c>
      <c r="D898" s="20" t="s">
        <v>228</v>
      </c>
      <c r="E898" s="20" t="s">
        <v>1120</v>
      </c>
      <c r="F898" s="20" t="s">
        <v>160</v>
      </c>
      <c r="G898" s="420">
        <f>G899</f>
        <v>0</v>
      </c>
      <c r="H898" s="268">
        <f t="shared" ref="H898:I898" si="451">H899</f>
        <v>15000</v>
      </c>
      <c r="I898" s="268">
        <f t="shared" si="451"/>
        <v>15000</v>
      </c>
      <c r="J898" s="212"/>
      <c r="K898" s="111"/>
      <c r="L898" s="111"/>
    </row>
    <row r="899" spans="1:12" s="230" customFormat="1" ht="31.5" hidden="1" x14ac:dyDescent="0.25">
      <c r="A899" s="25" t="s">
        <v>199</v>
      </c>
      <c r="B899" s="16">
        <v>908</v>
      </c>
      <c r="C899" s="20" t="s">
        <v>249</v>
      </c>
      <c r="D899" s="20" t="s">
        <v>228</v>
      </c>
      <c r="E899" s="20" t="s">
        <v>1120</v>
      </c>
      <c r="F899" s="20" t="s">
        <v>175</v>
      </c>
      <c r="G899" s="420">
        <v>0</v>
      </c>
      <c r="H899" s="268">
        <v>15000</v>
      </c>
      <c r="I899" s="268">
        <v>15000</v>
      </c>
      <c r="J899" s="212"/>
      <c r="K899" s="111"/>
      <c r="L899" s="111"/>
    </row>
    <row r="900" spans="1:12" s="230" customFormat="1" ht="31.5" x14ac:dyDescent="0.25">
      <c r="A900" s="29" t="s">
        <v>1009</v>
      </c>
      <c r="B900" s="16">
        <v>908</v>
      </c>
      <c r="C900" s="20" t="s">
        <v>249</v>
      </c>
      <c r="D900" s="20" t="s">
        <v>228</v>
      </c>
      <c r="E900" s="20" t="s">
        <v>1103</v>
      </c>
      <c r="F900" s="20"/>
      <c r="G900" s="415">
        <f>G903+G901</f>
        <v>5000</v>
      </c>
      <c r="H900" s="26">
        <f t="shared" ref="H900:I900" si="452">H903+H901</f>
        <v>7858</v>
      </c>
      <c r="I900" s="26">
        <f t="shared" si="452"/>
        <v>7858</v>
      </c>
      <c r="J900" s="212"/>
      <c r="K900" s="111"/>
      <c r="L900" s="111"/>
    </row>
    <row r="901" spans="1:12" s="230" customFormat="1" ht="15.75" x14ac:dyDescent="0.25">
      <c r="A901" s="25" t="s">
        <v>146</v>
      </c>
      <c r="B901" s="16">
        <v>908</v>
      </c>
      <c r="C901" s="20" t="s">
        <v>249</v>
      </c>
      <c r="D901" s="20" t="s">
        <v>228</v>
      </c>
      <c r="E901" s="20" t="s">
        <v>1103</v>
      </c>
      <c r="F901" s="20" t="s">
        <v>147</v>
      </c>
      <c r="G901" s="415">
        <f>G902</f>
        <v>5000</v>
      </c>
      <c r="H901" s="26">
        <f t="shared" ref="H901:I901" si="453">H902</f>
        <v>6970.2</v>
      </c>
      <c r="I901" s="26">
        <f t="shared" si="453"/>
        <v>6970.2</v>
      </c>
      <c r="J901" s="212"/>
      <c r="K901" s="111"/>
      <c r="L901" s="111"/>
    </row>
    <row r="902" spans="1:12" s="230" customFormat="1" ht="31.5" x14ac:dyDescent="0.25">
      <c r="A902" s="25" t="s">
        <v>148</v>
      </c>
      <c r="B902" s="16">
        <v>908</v>
      </c>
      <c r="C902" s="20" t="s">
        <v>249</v>
      </c>
      <c r="D902" s="20" t="s">
        <v>228</v>
      </c>
      <c r="E902" s="20" t="s">
        <v>1103</v>
      </c>
      <c r="F902" s="20" t="s">
        <v>149</v>
      </c>
      <c r="G902" s="415">
        <v>5000</v>
      </c>
      <c r="H902" s="26">
        <v>6970.2</v>
      </c>
      <c r="I902" s="26">
        <v>6970.2</v>
      </c>
      <c r="J902" s="212"/>
      <c r="K902" s="111"/>
      <c r="L902" s="111"/>
    </row>
    <row r="903" spans="1:12" s="230" customFormat="1" ht="15.75" hidden="1" x14ac:dyDescent="0.25">
      <c r="A903" s="25" t="s">
        <v>150</v>
      </c>
      <c r="B903" s="16">
        <v>908</v>
      </c>
      <c r="C903" s="20" t="s">
        <v>249</v>
      </c>
      <c r="D903" s="20" t="s">
        <v>228</v>
      </c>
      <c r="E903" s="20" t="s">
        <v>1103</v>
      </c>
      <c r="F903" s="20" t="s">
        <v>160</v>
      </c>
      <c r="G903" s="415">
        <f>G904</f>
        <v>0</v>
      </c>
      <c r="H903" s="26">
        <f t="shared" ref="H903:I903" si="454">H904</f>
        <v>887.8</v>
      </c>
      <c r="I903" s="26">
        <f t="shared" si="454"/>
        <v>887.8</v>
      </c>
      <c r="J903" s="212"/>
      <c r="K903" s="111"/>
      <c r="L903" s="111"/>
    </row>
    <row r="904" spans="1:12" ht="15.75" hidden="1" x14ac:dyDescent="0.25">
      <c r="A904" s="25" t="s">
        <v>161</v>
      </c>
      <c r="B904" s="16">
        <v>908</v>
      </c>
      <c r="C904" s="20" t="s">
        <v>249</v>
      </c>
      <c r="D904" s="20" t="s">
        <v>228</v>
      </c>
      <c r="E904" s="20" t="s">
        <v>1103</v>
      </c>
      <c r="F904" s="20" t="s">
        <v>162</v>
      </c>
      <c r="G904" s="415">
        <v>0</v>
      </c>
      <c r="H904" s="26">
        <v>887.8</v>
      </c>
      <c r="I904" s="26">
        <v>887.8</v>
      </c>
      <c r="L904" s="116"/>
    </row>
    <row r="905" spans="1:12" s="230" customFormat="1" ht="48.75" hidden="1" customHeight="1" x14ac:dyDescent="0.25">
      <c r="A905" s="23" t="s">
        <v>1177</v>
      </c>
      <c r="B905" s="19">
        <v>908</v>
      </c>
      <c r="C905" s="24" t="s">
        <v>249</v>
      </c>
      <c r="D905" s="24" t="s">
        <v>228</v>
      </c>
      <c r="E905" s="24" t="s">
        <v>1121</v>
      </c>
      <c r="F905" s="24"/>
      <c r="G905" s="416">
        <f>G906+G914+G911+G919</f>
        <v>0</v>
      </c>
      <c r="H905" s="21">
        <f t="shared" ref="H905:I905" si="455">H906+H914+H911+H919</f>
        <v>73763.73000000001</v>
      </c>
      <c r="I905" s="21">
        <f t="shared" si="455"/>
        <v>73763.73000000001</v>
      </c>
      <c r="J905" s="212"/>
      <c r="K905" s="111"/>
      <c r="L905" s="111"/>
    </row>
    <row r="906" spans="1:12" s="230" customFormat="1" ht="35.25" hidden="1" customHeight="1" x14ac:dyDescent="0.25">
      <c r="A906" s="25" t="s">
        <v>874</v>
      </c>
      <c r="B906" s="16">
        <v>908</v>
      </c>
      <c r="C906" s="20" t="s">
        <v>249</v>
      </c>
      <c r="D906" s="20" t="s">
        <v>228</v>
      </c>
      <c r="E906" s="20" t="s">
        <v>1122</v>
      </c>
      <c r="F906" s="20"/>
      <c r="G906" s="415">
        <f>G907+G909</f>
        <v>0</v>
      </c>
      <c r="H906" s="26">
        <f t="shared" ref="H906:I906" si="456">H907+H909</f>
        <v>20500</v>
      </c>
      <c r="I906" s="26">
        <f t="shared" si="456"/>
        <v>20500</v>
      </c>
      <c r="J906" s="212"/>
      <c r="K906" s="111"/>
      <c r="L906" s="111"/>
    </row>
    <row r="907" spans="1:12" s="230" customFormat="1" ht="34.5" hidden="1" customHeight="1" x14ac:dyDescent="0.25">
      <c r="A907" s="25" t="s">
        <v>146</v>
      </c>
      <c r="B907" s="16">
        <v>908</v>
      </c>
      <c r="C907" s="20" t="s">
        <v>249</v>
      </c>
      <c r="D907" s="20" t="s">
        <v>228</v>
      </c>
      <c r="E907" s="20" t="s">
        <v>1122</v>
      </c>
      <c r="F907" s="20" t="s">
        <v>147</v>
      </c>
      <c r="G907" s="415">
        <f>G908</f>
        <v>0</v>
      </c>
      <c r="H907" s="26">
        <f t="shared" ref="H907:I907" si="457">H908</f>
        <v>2125.4</v>
      </c>
      <c r="I907" s="26">
        <f t="shared" si="457"/>
        <v>2125.4</v>
      </c>
      <c r="J907" s="212"/>
      <c r="K907" s="111"/>
      <c r="L907" s="111"/>
    </row>
    <row r="908" spans="1:12" s="230" customFormat="1" ht="33" hidden="1" customHeight="1" x14ac:dyDescent="0.25">
      <c r="A908" s="25" t="s">
        <v>148</v>
      </c>
      <c r="B908" s="16">
        <v>908</v>
      </c>
      <c r="C908" s="20" t="s">
        <v>249</v>
      </c>
      <c r="D908" s="20" t="s">
        <v>228</v>
      </c>
      <c r="E908" s="20" t="s">
        <v>1122</v>
      </c>
      <c r="F908" s="20" t="s">
        <v>149</v>
      </c>
      <c r="G908" s="415">
        <v>0</v>
      </c>
      <c r="H908" s="26">
        <v>2125.4</v>
      </c>
      <c r="I908" s="26">
        <v>2125.4</v>
      </c>
      <c r="J908" s="212"/>
      <c r="K908" s="111"/>
      <c r="L908" s="111"/>
    </row>
    <row r="909" spans="1:12" s="230" customFormat="1" ht="20.25" hidden="1" customHeight="1" x14ac:dyDescent="0.25">
      <c r="A909" s="25" t="s">
        <v>150</v>
      </c>
      <c r="B909" s="16">
        <v>908</v>
      </c>
      <c r="C909" s="20" t="s">
        <v>249</v>
      </c>
      <c r="D909" s="20" t="s">
        <v>228</v>
      </c>
      <c r="E909" s="20" t="s">
        <v>1122</v>
      </c>
      <c r="F909" s="20" t="s">
        <v>884</v>
      </c>
      <c r="G909" s="415">
        <f>G910</f>
        <v>0</v>
      </c>
      <c r="H909" s="26">
        <f t="shared" ref="H909:I909" si="458">H910</f>
        <v>18374.599999999999</v>
      </c>
      <c r="I909" s="26">
        <f t="shared" si="458"/>
        <v>18374.599999999999</v>
      </c>
      <c r="J909" s="212"/>
      <c r="K909" s="111"/>
      <c r="L909" s="111"/>
    </row>
    <row r="910" spans="1:12" s="230" customFormat="1" ht="20.25" hidden="1" customHeight="1" x14ac:dyDescent="0.25">
      <c r="A910" s="25" t="s">
        <v>583</v>
      </c>
      <c r="B910" s="16">
        <v>908</v>
      </c>
      <c r="C910" s="20" t="s">
        <v>249</v>
      </c>
      <c r="D910" s="20" t="s">
        <v>228</v>
      </c>
      <c r="E910" s="20" t="s">
        <v>1122</v>
      </c>
      <c r="F910" s="20" t="s">
        <v>1257</v>
      </c>
      <c r="G910" s="415">
        <v>0</v>
      </c>
      <c r="H910" s="26">
        <v>18374.599999999999</v>
      </c>
      <c r="I910" s="26">
        <v>18374.599999999999</v>
      </c>
      <c r="J910" s="212"/>
      <c r="K910" s="111"/>
      <c r="L910" s="111"/>
    </row>
    <row r="911" spans="1:12" s="230" customFormat="1" ht="47.25" hidden="1" customHeight="1" x14ac:dyDescent="0.25">
      <c r="A911" s="25" t="s">
        <v>823</v>
      </c>
      <c r="B911" s="16">
        <v>908</v>
      </c>
      <c r="C911" s="20" t="s">
        <v>249</v>
      </c>
      <c r="D911" s="20" t="s">
        <v>228</v>
      </c>
      <c r="E911" s="20" t="s">
        <v>1123</v>
      </c>
      <c r="F911" s="20"/>
      <c r="G911" s="415">
        <f>G912</f>
        <v>0</v>
      </c>
      <c r="H911" s="26">
        <f t="shared" ref="H911:I912" si="459">H912</f>
        <v>0</v>
      </c>
      <c r="I911" s="26">
        <f t="shared" si="459"/>
        <v>0</v>
      </c>
      <c r="J911" s="212"/>
      <c r="K911" s="111"/>
      <c r="L911" s="111"/>
    </row>
    <row r="912" spans="1:12" s="230" customFormat="1" ht="33.75" hidden="1" customHeight="1" x14ac:dyDescent="0.25">
      <c r="A912" s="25" t="s">
        <v>146</v>
      </c>
      <c r="B912" s="16">
        <v>908</v>
      </c>
      <c r="C912" s="20" t="s">
        <v>249</v>
      </c>
      <c r="D912" s="20" t="s">
        <v>228</v>
      </c>
      <c r="E912" s="20" t="s">
        <v>1123</v>
      </c>
      <c r="F912" s="20" t="s">
        <v>147</v>
      </c>
      <c r="G912" s="415">
        <f>G913</f>
        <v>0</v>
      </c>
      <c r="H912" s="26">
        <f t="shared" si="459"/>
        <v>0</v>
      </c>
      <c r="I912" s="26">
        <f t="shared" si="459"/>
        <v>0</v>
      </c>
      <c r="J912" s="212"/>
      <c r="K912" s="111"/>
      <c r="L912" s="111"/>
    </row>
    <row r="913" spans="1:13" s="230" customFormat="1" ht="32.25" hidden="1" customHeight="1" x14ac:dyDescent="0.25">
      <c r="A913" s="25" t="s">
        <v>148</v>
      </c>
      <c r="B913" s="16">
        <v>908</v>
      </c>
      <c r="C913" s="20" t="s">
        <v>249</v>
      </c>
      <c r="D913" s="20" t="s">
        <v>228</v>
      </c>
      <c r="E913" s="20" t="s">
        <v>1123</v>
      </c>
      <c r="F913" s="20" t="s">
        <v>149</v>
      </c>
      <c r="G913" s="415">
        <v>0</v>
      </c>
      <c r="H913" s="26">
        <v>0</v>
      </c>
      <c r="I913" s="26">
        <v>0</v>
      </c>
      <c r="J913" s="212"/>
      <c r="K913" s="111"/>
      <c r="L913" s="111"/>
    </row>
    <row r="914" spans="1:13" s="230" customFormat="1" ht="47.25" hidden="1" customHeight="1" x14ac:dyDescent="0.25">
      <c r="A914" s="100" t="s">
        <v>880</v>
      </c>
      <c r="B914" s="16">
        <v>908</v>
      </c>
      <c r="C914" s="20" t="s">
        <v>249</v>
      </c>
      <c r="D914" s="20" t="s">
        <v>228</v>
      </c>
      <c r="E914" s="20" t="s">
        <v>1124</v>
      </c>
      <c r="F914" s="20"/>
      <c r="G914" s="415">
        <f>G915+G917</f>
        <v>0</v>
      </c>
      <c r="H914" s="26">
        <f t="shared" ref="H914:I914" si="460">H915+H917</f>
        <v>49220.1</v>
      </c>
      <c r="I914" s="26">
        <f t="shared" si="460"/>
        <v>49220.1</v>
      </c>
      <c r="J914" s="212"/>
      <c r="K914" s="111"/>
      <c r="L914" s="111"/>
    </row>
    <row r="915" spans="1:13" s="230" customFormat="1" ht="34.5" hidden="1" customHeight="1" x14ac:dyDescent="0.25">
      <c r="A915" s="25" t="s">
        <v>885</v>
      </c>
      <c r="B915" s="16">
        <v>908</v>
      </c>
      <c r="C915" s="20" t="s">
        <v>249</v>
      </c>
      <c r="D915" s="20" t="s">
        <v>228</v>
      </c>
      <c r="E915" s="20" t="s">
        <v>1124</v>
      </c>
      <c r="F915" s="20" t="s">
        <v>884</v>
      </c>
      <c r="G915" s="415">
        <f>G916</f>
        <v>0</v>
      </c>
      <c r="H915" s="26">
        <f t="shared" ref="H915:I915" si="461">H916</f>
        <v>49220.1</v>
      </c>
      <c r="I915" s="26">
        <f t="shared" si="461"/>
        <v>49220.1</v>
      </c>
      <c r="J915" s="212"/>
      <c r="K915" s="111"/>
      <c r="L915" s="111"/>
    </row>
    <row r="916" spans="1:13" s="230" customFormat="1" ht="47.25" hidden="1" customHeight="1" x14ac:dyDescent="0.25">
      <c r="A916" s="25" t="s">
        <v>1235</v>
      </c>
      <c r="B916" s="16">
        <v>908</v>
      </c>
      <c r="C916" s="20" t="s">
        <v>249</v>
      </c>
      <c r="D916" s="20" t="s">
        <v>228</v>
      </c>
      <c r="E916" s="20" t="s">
        <v>1124</v>
      </c>
      <c r="F916" s="20" t="s">
        <v>1257</v>
      </c>
      <c r="G916" s="415">
        <v>0</v>
      </c>
      <c r="H916" s="26">
        <v>49220.1</v>
      </c>
      <c r="I916" s="26">
        <v>49220.1</v>
      </c>
      <c r="J916" s="212"/>
      <c r="K916" s="111"/>
      <c r="L916" s="111"/>
    </row>
    <row r="917" spans="1:13" s="230" customFormat="1" ht="17.25" hidden="1" customHeight="1" x14ac:dyDescent="0.25">
      <c r="A917" s="25" t="s">
        <v>150</v>
      </c>
      <c r="B917" s="16">
        <v>908</v>
      </c>
      <c r="C917" s="20" t="s">
        <v>249</v>
      </c>
      <c r="D917" s="20" t="s">
        <v>228</v>
      </c>
      <c r="E917" s="20" t="s">
        <v>1124</v>
      </c>
      <c r="F917" s="20" t="s">
        <v>160</v>
      </c>
      <c r="G917" s="415">
        <f>G918</f>
        <v>0</v>
      </c>
      <c r="H917" s="26">
        <f t="shared" ref="H917:I917" si="462">H918</f>
        <v>0</v>
      </c>
      <c r="I917" s="26">
        <f t="shared" si="462"/>
        <v>0</v>
      </c>
      <c r="J917" s="212"/>
      <c r="K917" s="111"/>
      <c r="L917" s="111"/>
    </row>
    <row r="918" spans="1:13" s="230" customFormat="1" ht="18.75" hidden="1" customHeight="1" x14ac:dyDescent="0.25">
      <c r="A918" s="25" t="s">
        <v>726</v>
      </c>
      <c r="B918" s="16">
        <v>908</v>
      </c>
      <c r="C918" s="20" t="s">
        <v>249</v>
      </c>
      <c r="D918" s="20" t="s">
        <v>228</v>
      </c>
      <c r="E918" s="20" t="s">
        <v>1124</v>
      </c>
      <c r="F918" s="20" t="s">
        <v>153</v>
      </c>
      <c r="G918" s="415">
        <v>0</v>
      </c>
      <c r="H918" s="26">
        <v>0</v>
      </c>
      <c r="I918" s="26">
        <v>0</v>
      </c>
      <c r="J918" s="212"/>
      <c r="K918" s="111"/>
      <c r="L918" s="111"/>
    </row>
    <row r="919" spans="1:13" s="230" customFormat="1" ht="38.25" hidden="1" customHeight="1" x14ac:dyDescent="0.25">
      <c r="A919" s="25" t="s">
        <v>1258</v>
      </c>
      <c r="B919" s="16">
        <v>908</v>
      </c>
      <c r="C919" s="20" t="s">
        <v>249</v>
      </c>
      <c r="D919" s="20" t="s">
        <v>228</v>
      </c>
      <c r="E919" s="20" t="s">
        <v>1259</v>
      </c>
      <c r="F919" s="20"/>
      <c r="G919" s="415">
        <f>G920</f>
        <v>0</v>
      </c>
      <c r="H919" s="26">
        <f t="shared" ref="H919:I920" si="463">H920</f>
        <v>4043.63</v>
      </c>
      <c r="I919" s="26">
        <f t="shared" si="463"/>
        <v>4043.63</v>
      </c>
      <c r="J919" s="212"/>
      <c r="K919" s="111"/>
      <c r="L919" s="111"/>
    </row>
    <row r="920" spans="1:13" s="230" customFormat="1" ht="32.25" hidden="1" customHeight="1" x14ac:dyDescent="0.25">
      <c r="A920" s="25" t="s">
        <v>146</v>
      </c>
      <c r="B920" s="16">
        <v>908</v>
      </c>
      <c r="C920" s="20" t="s">
        <v>249</v>
      </c>
      <c r="D920" s="20" t="s">
        <v>228</v>
      </c>
      <c r="E920" s="20" t="s">
        <v>1259</v>
      </c>
      <c r="F920" s="20" t="s">
        <v>147</v>
      </c>
      <c r="G920" s="415">
        <f>G921</f>
        <v>0</v>
      </c>
      <c r="H920" s="26">
        <f t="shared" si="463"/>
        <v>4043.63</v>
      </c>
      <c r="I920" s="26">
        <f t="shared" si="463"/>
        <v>4043.63</v>
      </c>
      <c r="J920" s="212"/>
      <c r="K920" s="111"/>
      <c r="L920" s="111"/>
    </row>
    <row r="921" spans="1:13" s="230" customFormat="1" ht="35.25" hidden="1" customHeight="1" x14ac:dyDescent="0.25">
      <c r="A921" s="25" t="s">
        <v>148</v>
      </c>
      <c r="B921" s="16">
        <v>908</v>
      </c>
      <c r="C921" s="20" t="s">
        <v>249</v>
      </c>
      <c r="D921" s="20" t="s">
        <v>228</v>
      </c>
      <c r="E921" s="20" t="s">
        <v>1259</v>
      </c>
      <c r="F921" s="20" t="s">
        <v>149</v>
      </c>
      <c r="G921" s="415">
        <v>0</v>
      </c>
      <c r="H921" s="26">
        <v>4043.63</v>
      </c>
      <c r="I921" s="26">
        <v>4043.63</v>
      </c>
      <c r="J921" s="212"/>
      <c r="K921" s="111"/>
      <c r="L921" s="111"/>
    </row>
    <row r="922" spans="1:13" s="230" customFormat="1" ht="47.25" hidden="1" customHeight="1" x14ac:dyDescent="0.25">
      <c r="A922" s="23" t="s">
        <v>1377</v>
      </c>
      <c r="B922" s="19">
        <v>908</v>
      </c>
      <c r="C922" s="24" t="s">
        <v>249</v>
      </c>
      <c r="D922" s="24" t="s">
        <v>228</v>
      </c>
      <c r="E922" s="24" t="s">
        <v>533</v>
      </c>
      <c r="F922" s="24"/>
      <c r="G922" s="416">
        <f>G923+G927+G931+G935+G947+G943</f>
        <v>0</v>
      </c>
      <c r="H922" s="21">
        <f t="shared" ref="H922:I922" si="464">H923+H927+H931+H935+H947+H943</f>
        <v>8940</v>
      </c>
      <c r="I922" s="21">
        <f t="shared" si="464"/>
        <v>8940</v>
      </c>
      <c r="J922" s="212" t="s">
        <v>1201</v>
      </c>
      <c r="K922" s="111"/>
      <c r="L922" s="111"/>
    </row>
    <row r="923" spans="1:13" s="230" customFormat="1" ht="30.75" hidden="1" customHeight="1" x14ac:dyDescent="0.25">
      <c r="A923" s="23" t="s">
        <v>1104</v>
      </c>
      <c r="B923" s="19">
        <v>908</v>
      </c>
      <c r="C923" s="24" t="s">
        <v>249</v>
      </c>
      <c r="D923" s="24" t="s">
        <v>228</v>
      </c>
      <c r="E923" s="24" t="s">
        <v>1106</v>
      </c>
      <c r="F923" s="24"/>
      <c r="G923" s="416">
        <f>G924</f>
        <v>0</v>
      </c>
      <c r="H923" s="21">
        <f t="shared" ref="H923:I925" si="465">H924</f>
        <v>4377</v>
      </c>
      <c r="I923" s="21">
        <f t="shared" si="465"/>
        <v>4377</v>
      </c>
      <c r="J923" s="212"/>
      <c r="K923" s="111"/>
      <c r="L923" s="111"/>
    </row>
    <row r="924" spans="1:13" ht="15.75" hidden="1" x14ac:dyDescent="0.25">
      <c r="A924" s="45" t="s">
        <v>1105</v>
      </c>
      <c r="B924" s="16">
        <v>908</v>
      </c>
      <c r="C924" s="40" t="s">
        <v>249</v>
      </c>
      <c r="D924" s="40" t="s">
        <v>228</v>
      </c>
      <c r="E924" s="20" t="s">
        <v>1107</v>
      </c>
      <c r="F924" s="40"/>
      <c r="G924" s="415">
        <f>G925</f>
        <v>0</v>
      </c>
      <c r="H924" s="26">
        <f t="shared" si="465"/>
        <v>4377</v>
      </c>
      <c r="I924" s="26">
        <f t="shared" si="465"/>
        <v>4377</v>
      </c>
      <c r="J924" s="212" t="s">
        <v>1010</v>
      </c>
      <c r="L924" s="111"/>
    </row>
    <row r="925" spans="1:13" ht="15.75" hidden="1" x14ac:dyDescent="0.25">
      <c r="A925" s="31" t="s">
        <v>146</v>
      </c>
      <c r="B925" s="16">
        <v>908</v>
      </c>
      <c r="C925" s="40" t="s">
        <v>249</v>
      </c>
      <c r="D925" s="40" t="s">
        <v>228</v>
      </c>
      <c r="E925" s="20" t="s">
        <v>1107</v>
      </c>
      <c r="F925" s="40" t="s">
        <v>147</v>
      </c>
      <c r="G925" s="415">
        <f>G926</f>
        <v>0</v>
      </c>
      <c r="H925" s="26">
        <f t="shared" si="465"/>
        <v>4377</v>
      </c>
      <c r="I925" s="26">
        <f t="shared" si="465"/>
        <v>4377</v>
      </c>
      <c r="L925" s="111"/>
    </row>
    <row r="926" spans="1:13" ht="31.5" hidden="1" x14ac:dyDescent="0.25">
      <c r="A926" s="31" t="s">
        <v>148</v>
      </c>
      <c r="B926" s="16">
        <v>908</v>
      </c>
      <c r="C926" s="40" t="s">
        <v>249</v>
      </c>
      <c r="D926" s="40" t="s">
        <v>228</v>
      </c>
      <c r="E926" s="20" t="s">
        <v>1107</v>
      </c>
      <c r="F926" s="40" t="s">
        <v>149</v>
      </c>
      <c r="G926" s="415">
        <v>0</v>
      </c>
      <c r="H926" s="26">
        <f t="shared" ref="H926:I926" si="466">2903+250+60+1164</f>
        <v>4377</v>
      </c>
      <c r="I926" s="26">
        <f t="shared" si="466"/>
        <v>4377</v>
      </c>
      <c r="J926" s="244"/>
      <c r="K926" s="237"/>
      <c r="L926" s="111"/>
      <c r="M926" s="111"/>
    </row>
    <row r="927" spans="1:13" s="230" customFormat="1" ht="15.75" hidden="1" x14ac:dyDescent="0.25">
      <c r="A927" s="34" t="s">
        <v>1108</v>
      </c>
      <c r="B927" s="19">
        <v>908</v>
      </c>
      <c r="C927" s="7" t="s">
        <v>249</v>
      </c>
      <c r="D927" s="7" t="s">
        <v>228</v>
      </c>
      <c r="E927" s="24" t="s">
        <v>1109</v>
      </c>
      <c r="F927" s="7"/>
      <c r="G927" s="416">
        <f>G928</f>
        <v>0</v>
      </c>
      <c r="H927" s="21">
        <f t="shared" ref="H927:I929" si="467">H928</f>
        <v>400</v>
      </c>
      <c r="I927" s="21">
        <f t="shared" si="467"/>
        <v>400</v>
      </c>
      <c r="J927" s="266"/>
      <c r="K927" s="237"/>
      <c r="L927" s="111"/>
      <c r="M927" s="111"/>
    </row>
    <row r="928" spans="1:13" ht="15.75" hidden="1" x14ac:dyDescent="0.25">
      <c r="A928" s="45" t="s">
        <v>538</v>
      </c>
      <c r="B928" s="16">
        <v>908</v>
      </c>
      <c r="C928" s="40" t="s">
        <v>249</v>
      </c>
      <c r="D928" s="40" t="s">
        <v>228</v>
      </c>
      <c r="E928" s="20" t="s">
        <v>1112</v>
      </c>
      <c r="F928" s="40"/>
      <c r="G928" s="415">
        <f>G929</f>
        <v>0</v>
      </c>
      <c r="H928" s="26">
        <f t="shared" si="467"/>
        <v>400</v>
      </c>
      <c r="I928" s="26">
        <f t="shared" si="467"/>
        <v>400</v>
      </c>
      <c r="L928" s="111"/>
    </row>
    <row r="929" spans="1:14" ht="15.75" hidden="1" x14ac:dyDescent="0.25">
      <c r="A929" s="31" t="s">
        <v>146</v>
      </c>
      <c r="B929" s="16">
        <v>908</v>
      </c>
      <c r="C929" s="40" t="s">
        <v>249</v>
      </c>
      <c r="D929" s="40" t="s">
        <v>228</v>
      </c>
      <c r="E929" s="20" t="s">
        <v>1112</v>
      </c>
      <c r="F929" s="40" t="s">
        <v>147</v>
      </c>
      <c r="G929" s="415">
        <f>G930</f>
        <v>0</v>
      </c>
      <c r="H929" s="26">
        <f t="shared" si="467"/>
        <v>400</v>
      </c>
      <c r="I929" s="26">
        <f t="shared" si="467"/>
        <v>400</v>
      </c>
      <c r="L929" s="111"/>
    </row>
    <row r="930" spans="1:14" ht="31.5" hidden="1" x14ac:dyDescent="0.25">
      <c r="A930" s="31" t="s">
        <v>148</v>
      </c>
      <c r="B930" s="16">
        <v>908</v>
      </c>
      <c r="C930" s="40" t="s">
        <v>249</v>
      </c>
      <c r="D930" s="40" t="s">
        <v>228</v>
      </c>
      <c r="E930" s="20" t="s">
        <v>1112</v>
      </c>
      <c r="F930" s="40" t="s">
        <v>149</v>
      </c>
      <c r="G930" s="411">
        <v>0</v>
      </c>
      <c r="H930" s="6">
        <f>400</f>
        <v>400</v>
      </c>
      <c r="I930" s="6">
        <f>400</f>
        <v>400</v>
      </c>
      <c r="J930" s="244"/>
      <c r="L930" s="111"/>
    </row>
    <row r="931" spans="1:14" s="230" customFormat="1" ht="16.5" hidden="1" customHeight="1" x14ac:dyDescent="0.25">
      <c r="A931" s="58" t="s">
        <v>1110</v>
      </c>
      <c r="B931" s="19">
        <v>908</v>
      </c>
      <c r="C931" s="7" t="s">
        <v>249</v>
      </c>
      <c r="D931" s="7" t="s">
        <v>228</v>
      </c>
      <c r="E931" s="24" t="s">
        <v>1111</v>
      </c>
      <c r="F931" s="7"/>
      <c r="G931" s="305">
        <f>G932</f>
        <v>0</v>
      </c>
      <c r="H931" s="4">
        <f t="shared" ref="H931:I933" si="468">H932</f>
        <v>1733</v>
      </c>
      <c r="I931" s="4">
        <f t="shared" si="468"/>
        <v>1733</v>
      </c>
      <c r="J931" s="212"/>
      <c r="K931" s="111"/>
      <c r="L931" s="111"/>
    </row>
    <row r="932" spans="1:14" ht="15.75" hidden="1" x14ac:dyDescent="0.25">
      <c r="A932" s="45" t="s">
        <v>540</v>
      </c>
      <c r="B932" s="16">
        <v>908</v>
      </c>
      <c r="C932" s="40" t="s">
        <v>249</v>
      </c>
      <c r="D932" s="40" t="s">
        <v>228</v>
      </c>
      <c r="E932" s="20" t="s">
        <v>1113</v>
      </c>
      <c r="F932" s="40"/>
      <c r="G932" s="415">
        <f>G933</f>
        <v>0</v>
      </c>
      <c r="H932" s="26">
        <f t="shared" si="468"/>
        <v>1733</v>
      </c>
      <c r="I932" s="26">
        <f t="shared" si="468"/>
        <v>1733</v>
      </c>
      <c r="L932" s="111"/>
    </row>
    <row r="933" spans="1:14" ht="15.75" hidden="1" x14ac:dyDescent="0.25">
      <c r="A933" s="31" t="s">
        <v>146</v>
      </c>
      <c r="B933" s="16">
        <v>908</v>
      </c>
      <c r="C933" s="40" t="s">
        <v>249</v>
      </c>
      <c r="D933" s="40" t="s">
        <v>228</v>
      </c>
      <c r="E933" s="20" t="s">
        <v>1113</v>
      </c>
      <c r="F933" s="40" t="s">
        <v>147</v>
      </c>
      <c r="G933" s="415">
        <f>G934</f>
        <v>0</v>
      </c>
      <c r="H933" s="26">
        <f t="shared" si="468"/>
        <v>1733</v>
      </c>
      <c r="I933" s="26">
        <f t="shared" si="468"/>
        <v>1733</v>
      </c>
      <c r="L933" s="111"/>
    </row>
    <row r="934" spans="1:14" ht="31.5" hidden="1" x14ac:dyDescent="0.25">
      <c r="A934" s="31" t="s">
        <v>148</v>
      </c>
      <c r="B934" s="16">
        <v>908</v>
      </c>
      <c r="C934" s="40" t="s">
        <v>249</v>
      </c>
      <c r="D934" s="40" t="s">
        <v>228</v>
      </c>
      <c r="E934" s="20" t="s">
        <v>1113</v>
      </c>
      <c r="F934" s="40" t="s">
        <v>149</v>
      </c>
      <c r="G934" s="411">
        <v>0</v>
      </c>
      <c r="H934" s="6">
        <f t="shared" ref="H934:I934" si="469">200+20-60+1573</f>
        <v>1733</v>
      </c>
      <c r="I934" s="6">
        <f t="shared" si="469"/>
        <v>1733</v>
      </c>
      <c r="J934" s="244"/>
      <c r="K934" s="237"/>
      <c r="L934" s="111"/>
      <c r="M934" s="111"/>
      <c r="N934" s="111"/>
    </row>
    <row r="935" spans="1:14" s="230" customFormat="1" ht="15.75" hidden="1" x14ac:dyDescent="0.25">
      <c r="A935" s="58" t="s">
        <v>1114</v>
      </c>
      <c r="B935" s="19">
        <v>908</v>
      </c>
      <c r="C935" s="7" t="s">
        <v>249</v>
      </c>
      <c r="D935" s="7" t="s">
        <v>228</v>
      </c>
      <c r="E935" s="24" t="s">
        <v>1115</v>
      </c>
      <c r="F935" s="7"/>
      <c r="G935" s="305">
        <f>G936</f>
        <v>0</v>
      </c>
      <c r="H935" s="4">
        <f t="shared" ref="H935:I937" si="470">H936</f>
        <v>2330</v>
      </c>
      <c r="I935" s="4">
        <f t="shared" si="470"/>
        <v>2330</v>
      </c>
      <c r="J935" s="212"/>
      <c r="K935" s="111"/>
      <c r="L935" s="111"/>
    </row>
    <row r="936" spans="1:14" ht="15.75" hidden="1" x14ac:dyDescent="0.25">
      <c r="A936" s="45" t="s">
        <v>542</v>
      </c>
      <c r="B936" s="16">
        <v>908</v>
      </c>
      <c r="C936" s="40" t="s">
        <v>249</v>
      </c>
      <c r="D936" s="40" t="s">
        <v>228</v>
      </c>
      <c r="E936" s="20" t="s">
        <v>1116</v>
      </c>
      <c r="F936" s="40"/>
      <c r="G936" s="415">
        <f>G937</f>
        <v>0</v>
      </c>
      <c r="H936" s="26">
        <f t="shared" si="470"/>
        <v>2330</v>
      </c>
      <c r="I936" s="26">
        <f t="shared" si="470"/>
        <v>2330</v>
      </c>
      <c r="L936" s="111"/>
    </row>
    <row r="937" spans="1:14" ht="15.75" hidden="1" x14ac:dyDescent="0.25">
      <c r="A937" s="31" t="s">
        <v>146</v>
      </c>
      <c r="B937" s="16">
        <v>908</v>
      </c>
      <c r="C937" s="40" t="s">
        <v>249</v>
      </c>
      <c r="D937" s="40" t="s">
        <v>228</v>
      </c>
      <c r="E937" s="20" t="s">
        <v>1116</v>
      </c>
      <c r="F937" s="40" t="s">
        <v>147</v>
      </c>
      <c r="G937" s="415">
        <f>G938</f>
        <v>0</v>
      </c>
      <c r="H937" s="26">
        <f t="shared" si="470"/>
        <v>2330</v>
      </c>
      <c r="I937" s="26">
        <f t="shared" si="470"/>
        <v>2330</v>
      </c>
      <c r="L937" s="111"/>
    </row>
    <row r="938" spans="1:14" ht="31.5" hidden="1" x14ac:dyDescent="0.25">
      <c r="A938" s="31" t="s">
        <v>148</v>
      </c>
      <c r="B938" s="16">
        <v>908</v>
      </c>
      <c r="C938" s="40" t="s">
        <v>249</v>
      </c>
      <c r="D938" s="40" t="s">
        <v>228</v>
      </c>
      <c r="E938" s="20" t="s">
        <v>1116</v>
      </c>
      <c r="F938" s="40" t="s">
        <v>149</v>
      </c>
      <c r="G938" s="411">
        <v>0</v>
      </c>
      <c r="H938" s="6">
        <f t="shared" ref="H938:I938" si="471">278.2+171.8+1880</f>
        <v>2330</v>
      </c>
      <c r="I938" s="6">
        <f t="shared" si="471"/>
        <v>2330</v>
      </c>
      <c r="J938" s="244"/>
      <c r="K938" s="237"/>
      <c r="L938" s="237"/>
      <c r="M938" s="111"/>
    </row>
    <row r="939" spans="1:14" s="230" customFormat="1" ht="31.5" hidden="1" customHeight="1" x14ac:dyDescent="0.25">
      <c r="A939" s="34" t="s">
        <v>1178</v>
      </c>
      <c r="B939" s="19">
        <v>908</v>
      </c>
      <c r="C939" s="7" t="s">
        <v>249</v>
      </c>
      <c r="D939" s="7" t="s">
        <v>228</v>
      </c>
      <c r="E939" s="24" t="s">
        <v>1179</v>
      </c>
      <c r="F939" s="7"/>
      <c r="G939" s="305">
        <f>G940</f>
        <v>0</v>
      </c>
      <c r="H939" s="4">
        <f t="shared" ref="H939:I941" si="472">H940</f>
        <v>0</v>
      </c>
      <c r="I939" s="4">
        <f t="shared" si="472"/>
        <v>0</v>
      </c>
      <c r="J939" s="266"/>
      <c r="K939" s="237"/>
      <c r="L939" s="237"/>
      <c r="M939" s="111"/>
    </row>
    <row r="940" spans="1:14" ht="15.75" hidden="1" x14ac:dyDescent="0.25">
      <c r="A940" s="45" t="s">
        <v>544</v>
      </c>
      <c r="B940" s="16">
        <v>908</v>
      </c>
      <c r="C940" s="40" t="s">
        <v>249</v>
      </c>
      <c r="D940" s="40" t="s">
        <v>228</v>
      </c>
      <c r="E940" s="20" t="s">
        <v>1182</v>
      </c>
      <c r="F940" s="40"/>
      <c r="G940" s="415">
        <f>G941</f>
        <v>0</v>
      </c>
      <c r="H940" s="26">
        <f t="shared" si="472"/>
        <v>0</v>
      </c>
      <c r="I940" s="26">
        <f t="shared" si="472"/>
        <v>0</v>
      </c>
      <c r="L940" s="111"/>
    </row>
    <row r="941" spans="1:14" ht="15.75" hidden="1" x14ac:dyDescent="0.25">
      <c r="A941" s="31" t="s">
        <v>146</v>
      </c>
      <c r="B941" s="16">
        <v>908</v>
      </c>
      <c r="C941" s="40" t="s">
        <v>249</v>
      </c>
      <c r="D941" s="40" t="s">
        <v>228</v>
      </c>
      <c r="E941" s="20" t="s">
        <v>1182</v>
      </c>
      <c r="F941" s="40" t="s">
        <v>147</v>
      </c>
      <c r="G941" s="415">
        <f>G942</f>
        <v>0</v>
      </c>
      <c r="H941" s="26">
        <f t="shared" si="472"/>
        <v>0</v>
      </c>
      <c r="I941" s="26">
        <f t="shared" si="472"/>
        <v>0</v>
      </c>
      <c r="L941" s="111"/>
    </row>
    <row r="942" spans="1:14" ht="31.5" hidden="1" x14ac:dyDescent="0.25">
      <c r="A942" s="31" t="s">
        <v>148</v>
      </c>
      <c r="B942" s="16">
        <v>908</v>
      </c>
      <c r="C942" s="40" t="s">
        <v>249</v>
      </c>
      <c r="D942" s="40" t="s">
        <v>228</v>
      </c>
      <c r="E942" s="20" t="s">
        <v>1182</v>
      </c>
      <c r="F942" s="40" t="s">
        <v>149</v>
      </c>
      <c r="G942" s="415">
        <v>0</v>
      </c>
      <c r="H942" s="26">
        <v>0</v>
      </c>
      <c r="I942" s="26">
        <v>0</v>
      </c>
      <c r="L942" s="111"/>
    </row>
    <row r="943" spans="1:14" s="230" customFormat="1" ht="31.5" hidden="1" x14ac:dyDescent="0.25">
      <c r="A943" s="282" t="s">
        <v>1180</v>
      </c>
      <c r="B943" s="19">
        <v>908</v>
      </c>
      <c r="C943" s="7" t="s">
        <v>249</v>
      </c>
      <c r="D943" s="7" t="s">
        <v>228</v>
      </c>
      <c r="E943" s="24" t="s">
        <v>1181</v>
      </c>
      <c r="F943" s="7"/>
      <c r="G943" s="416">
        <f>G944</f>
        <v>0</v>
      </c>
      <c r="H943" s="21">
        <f t="shared" ref="H943:I945" si="473">H944</f>
        <v>0</v>
      </c>
      <c r="I943" s="21">
        <f t="shared" si="473"/>
        <v>0</v>
      </c>
      <c r="J943" s="212"/>
      <c r="K943" s="111"/>
      <c r="L943" s="111"/>
    </row>
    <row r="944" spans="1:14" ht="21.75" hidden="1" customHeight="1" x14ac:dyDescent="0.25">
      <c r="A944" s="180" t="s">
        <v>546</v>
      </c>
      <c r="B944" s="16">
        <v>908</v>
      </c>
      <c r="C944" s="40" t="s">
        <v>249</v>
      </c>
      <c r="D944" s="40" t="s">
        <v>228</v>
      </c>
      <c r="E944" s="20" t="s">
        <v>1183</v>
      </c>
      <c r="F944" s="40"/>
      <c r="G944" s="415">
        <f>G945</f>
        <v>0</v>
      </c>
      <c r="H944" s="26">
        <f t="shared" si="473"/>
        <v>0</v>
      </c>
      <c r="I944" s="26">
        <f t="shared" si="473"/>
        <v>0</v>
      </c>
      <c r="L944" s="111"/>
    </row>
    <row r="945" spans="1:12" ht="31.5" hidden="1" customHeight="1" x14ac:dyDescent="0.25">
      <c r="A945" s="31" t="s">
        <v>146</v>
      </c>
      <c r="B945" s="16">
        <v>908</v>
      </c>
      <c r="C945" s="40" t="s">
        <v>249</v>
      </c>
      <c r="D945" s="40" t="s">
        <v>228</v>
      </c>
      <c r="E945" s="20" t="s">
        <v>1183</v>
      </c>
      <c r="F945" s="40" t="s">
        <v>147</v>
      </c>
      <c r="G945" s="415">
        <f>G946</f>
        <v>0</v>
      </c>
      <c r="H945" s="26">
        <f t="shared" si="473"/>
        <v>0</v>
      </c>
      <c r="I945" s="26">
        <f t="shared" si="473"/>
        <v>0</v>
      </c>
      <c r="L945" s="111"/>
    </row>
    <row r="946" spans="1:12" ht="36" hidden="1" customHeight="1" x14ac:dyDescent="0.25">
      <c r="A946" s="31" t="s">
        <v>148</v>
      </c>
      <c r="B946" s="16">
        <v>908</v>
      </c>
      <c r="C946" s="40" t="s">
        <v>249</v>
      </c>
      <c r="D946" s="40" t="s">
        <v>228</v>
      </c>
      <c r="E946" s="20" t="s">
        <v>1183</v>
      </c>
      <c r="F946" s="40" t="s">
        <v>149</v>
      </c>
      <c r="G946" s="415">
        <v>0</v>
      </c>
      <c r="H946" s="26">
        <v>0</v>
      </c>
      <c r="I946" s="26">
        <v>0</v>
      </c>
      <c r="L946" s="111"/>
    </row>
    <row r="947" spans="1:12" s="230" customFormat="1" ht="31.5" hidden="1" customHeight="1" x14ac:dyDescent="0.25">
      <c r="A947" s="282" t="s">
        <v>1118</v>
      </c>
      <c r="B947" s="19">
        <v>908</v>
      </c>
      <c r="C947" s="7" t="s">
        <v>249</v>
      </c>
      <c r="D947" s="7" t="s">
        <v>228</v>
      </c>
      <c r="E947" s="24" t="s">
        <v>1119</v>
      </c>
      <c r="F947" s="7"/>
      <c r="G947" s="416">
        <f>G948</f>
        <v>0</v>
      </c>
      <c r="H947" s="21">
        <f t="shared" ref="H947:I949" si="474">H948</f>
        <v>100</v>
      </c>
      <c r="I947" s="21">
        <f t="shared" si="474"/>
        <v>100</v>
      </c>
      <c r="J947" s="212"/>
      <c r="K947" s="111"/>
      <c r="L947" s="111"/>
    </row>
    <row r="948" spans="1:12" ht="15.75" hidden="1" x14ac:dyDescent="0.25">
      <c r="A948" s="180" t="s">
        <v>548</v>
      </c>
      <c r="B948" s="16">
        <v>908</v>
      </c>
      <c r="C948" s="40" t="s">
        <v>249</v>
      </c>
      <c r="D948" s="40" t="s">
        <v>228</v>
      </c>
      <c r="E948" s="20" t="s">
        <v>1117</v>
      </c>
      <c r="F948" s="40"/>
      <c r="G948" s="415">
        <f>G949</f>
        <v>0</v>
      </c>
      <c r="H948" s="26">
        <f t="shared" si="474"/>
        <v>100</v>
      </c>
      <c r="I948" s="26">
        <f t="shared" si="474"/>
        <v>100</v>
      </c>
      <c r="L948" s="111"/>
    </row>
    <row r="949" spans="1:12" ht="15.75" hidden="1" x14ac:dyDescent="0.25">
      <c r="A949" s="25" t="s">
        <v>146</v>
      </c>
      <c r="B949" s="16">
        <v>908</v>
      </c>
      <c r="C949" s="40" t="s">
        <v>249</v>
      </c>
      <c r="D949" s="40" t="s">
        <v>228</v>
      </c>
      <c r="E949" s="20" t="s">
        <v>1117</v>
      </c>
      <c r="F949" s="40" t="s">
        <v>147</v>
      </c>
      <c r="G949" s="415">
        <f>G950</f>
        <v>0</v>
      </c>
      <c r="H949" s="26">
        <f t="shared" si="474"/>
        <v>100</v>
      </c>
      <c r="I949" s="26">
        <f t="shared" si="474"/>
        <v>100</v>
      </c>
      <c r="L949" s="111"/>
    </row>
    <row r="950" spans="1:12" ht="31.5" hidden="1" x14ac:dyDescent="0.25">
      <c r="A950" s="25" t="s">
        <v>148</v>
      </c>
      <c r="B950" s="16">
        <v>908</v>
      </c>
      <c r="C950" s="40" t="s">
        <v>249</v>
      </c>
      <c r="D950" s="40" t="s">
        <v>228</v>
      </c>
      <c r="E950" s="20" t="s">
        <v>1117</v>
      </c>
      <c r="F950" s="40" t="s">
        <v>149</v>
      </c>
      <c r="G950" s="415">
        <v>0</v>
      </c>
      <c r="H950" s="26">
        <v>100</v>
      </c>
      <c r="I950" s="26">
        <v>100</v>
      </c>
      <c r="J950" s="244"/>
      <c r="L950" s="111"/>
    </row>
    <row r="951" spans="1:12" s="230" customFormat="1" ht="31.5" x14ac:dyDescent="0.25">
      <c r="A951" s="23" t="s">
        <v>1384</v>
      </c>
      <c r="B951" s="19">
        <v>908</v>
      </c>
      <c r="C951" s="7" t="s">
        <v>249</v>
      </c>
      <c r="D951" s="7" t="s">
        <v>228</v>
      </c>
      <c r="E951" s="24" t="s">
        <v>1383</v>
      </c>
      <c r="F951" s="7"/>
      <c r="G951" s="416">
        <f>G952</f>
        <v>120</v>
      </c>
      <c r="H951" s="26"/>
      <c r="I951" s="26"/>
      <c r="J951" s="266"/>
      <c r="K951" s="111"/>
      <c r="L951" s="111"/>
    </row>
    <row r="952" spans="1:12" s="230" customFormat="1" ht="15.75" x14ac:dyDescent="0.25">
      <c r="A952" s="23" t="s">
        <v>1385</v>
      </c>
      <c r="B952" s="19">
        <v>908</v>
      </c>
      <c r="C952" s="7" t="s">
        <v>249</v>
      </c>
      <c r="D952" s="7" t="s">
        <v>228</v>
      </c>
      <c r="E952" s="24" t="s">
        <v>1386</v>
      </c>
      <c r="F952" s="7"/>
      <c r="G952" s="416">
        <f>G953</f>
        <v>120</v>
      </c>
      <c r="H952" s="26"/>
      <c r="I952" s="26"/>
      <c r="J952" s="266"/>
      <c r="K952" s="111"/>
      <c r="L952" s="111"/>
    </row>
    <row r="953" spans="1:12" s="230" customFormat="1" ht="15.75" x14ac:dyDescent="0.25">
      <c r="A953" s="25" t="s">
        <v>552</v>
      </c>
      <c r="B953" s="16">
        <v>908</v>
      </c>
      <c r="C953" s="40" t="s">
        <v>249</v>
      </c>
      <c r="D953" s="40" t="s">
        <v>228</v>
      </c>
      <c r="E953" s="20" t="s">
        <v>1387</v>
      </c>
      <c r="F953" s="40"/>
      <c r="G953" s="415">
        <f>G954</f>
        <v>120</v>
      </c>
      <c r="H953" s="26"/>
      <c r="I953" s="26"/>
      <c r="J953" s="266"/>
      <c r="K953" s="111"/>
      <c r="L953" s="111"/>
    </row>
    <row r="954" spans="1:12" s="230" customFormat="1" ht="15.75" x14ac:dyDescent="0.25">
      <c r="A954" s="25" t="s">
        <v>146</v>
      </c>
      <c r="B954" s="16">
        <v>908</v>
      </c>
      <c r="C954" s="40" t="s">
        <v>249</v>
      </c>
      <c r="D954" s="40" t="s">
        <v>228</v>
      </c>
      <c r="E954" s="20" t="s">
        <v>1387</v>
      </c>
      <c r="F954" s="40" t="s">
        <v>147</v>
      </c>
      <c r="G954" s="415">
        <f>G955</f>
        <v>120</v>
      </c>
      <c r="H954" s="26"/>
      <c r="I954" s="26"/>
      <c r="J954" s="266"/>
      <c r="K954" s="111"/>
      <c r="L954" s="111"/>
    </row>
    <row r="955" spans="1:12" s="230" customFormat="1" ht="31.5" x14ac:dyDescent="0.25">
      <c r="A955" s="25" t="s">
        <v>148</v>
      </c>
      <c r="B955" s="16">
        <v>908</v>
      </c>
      <c r="C955" s="40" t="s">
        <v>249</v>
      </c>
      <c r="D955" s="40" t="s">
        <v>228</v>
      </c>
      <c r="E955" s="20" t="s">
        <v>1387</v>
      </c>
      <c r="F955" s="40" t="s">
        <v>149</v>
      </c>
      <c r="G955" s="415">
        <v>120</v>
      </c>
      <c r="H955" s="26"/>
      <c r="I955" s="26"/>
      <c r="J955" s="266"/>
      <c r="K955" s="111"/>
      <c r="L955" s="111"/>
    </row>
    <row r="956" spans="1:12" ht="15.75" x14ac:dyDescent="0.25">
      <c r="A956" s="23" t="s">
        <v>556</v>
      </c>
      <c r="B956" s="19">
        <v>908</v>
      </c>
      <c r="C956" s="24" t="s">
        <v>249</v>
      </c>
      <c r="D956" s="24" t="s">
        <v>230</v>
      </c>
      <c r="E956" s="24"/>
      <c r="F956" s="24"/>
      <c r="G956" s="416">
        <f>G957+G962+G1000</f>
        <v>4134.5</v>
      </c>
      <c r="H956" s="21">
        <f>H957+H962+H1000</f>
        <v>7926.1200000000008</v>
      </c>
      <c r="I956" s="21">
        <f>I957+I962+I1000</f>
        <v>7926.1200000000008</v>
      </c>
      <c r="J956" s="212">
        <v>7926.1</v>
      </c>
      <c r="K956" s="116">
        <f>J956-G956</f>
        <v>3791.6000000000004</v>
      </c>
      <c r="L956" s="111"/>
    </row>
    <row r="957" spans="1:12" s="230" customFormat="1" ht="15.75" x14ac:dyDescent="0.25">
      <c r="A957" s="23" t="s">
        <v>156</v>
      </c>
      <c r="B957" s="19">
        <v>908</v>
      </c>
      <c r="C957" s="24" t="s">
        <v>249</v>
      </c>
      <c r="D957" s="24" t="s">
        <v>230</v>
      </c>
      <c r="E957" s="24" t="s">
        <v>914</v>
      </c>
      <c r="F957" s="24"/>
      <c r="G957" s="416">
        <f>G958</f>
        <v>390</v>
      </c>
      <c r="H957" s="21">
        <f t="shared" ref="H957:I960" si="475">H958</f>
        <v>390</v>
      </c>
      <c r="I957" s="21">
        <f t="shared" si="475"/>
        <v>390</v>
      </c>
      <c r="J957" s="212"/>
      <c r="K957" s="116"/>
      <c r="L957" s="111"/>
    </row>
    <row r="958" spans="1:12" s="230" customFormat="1" ht="31.5" x14ac:dyDescent="0.25">
      <c r="A958" s="23" t="s">
        <v>918</v>
      </c>
      <c r="B958" s="19">
        <v>908</v>
      </c>
      <c r="C958" s="24" t="s">
        <v>249</v>
      </c>
      <c r="D958" s="24" t="s">
        <v>230</v>
      </c>
      <c r="E958" s="24" t="s">
        <v>913</v>
      </c>
      <c r="F958" s="24"/>
      <c r="G958" s="416">
        <f>G959</f>
        <v>390</v>
      </c>
      <c r="H958" s="21">
        <f t="shared" si="475"/>
        <v>390</v>
      </c>
      <c r="I958" s="21">
        <f t="shared" si="475"/>
        <v>390</v>
      </c>
      <c r="J958" s="212"/>
      <c r="K958" s="116"/>
      <c r="L958" s="111"/>
    </row>
    <row r="959" spans="1:12" s="230" customFormat="1" ht="15.75" x14ac:dyDescent="0.25">
      <c r="A959" s="25" t="s">
        <v>579</v>
      </c>
      <c r="B959" s="16">
        <v>908</v>
      </c>
      <c r="C959" s="20" t="s">
        <v>249</v>
      </c>
      <c r="D959" s="20" t="s">
        <v>230</v>
      </c>
      <c r="E959" s="20" t="s">
        <v>1272</v>
      </c>
      <c r="F959" s="20"/>
      <c r="G959" s="415">
        <f>G960</f>
        <v>390</v>
      </c>
      <c r="H959" s="26">
        <f t="shared" si="475"/>
        <v>390</v>
      </c>
      <c r="I959" s="26">
        <f t="shared" si="475"/>
        <v>390</v>
      </c>
      <c r="J959" s="212"/>
      <c r="K959" s="116"/>
      <c r="L959" s="111"/>
    </row>
    <row r="960" spans="1:12" s="230" customFormat="1" ht="15.75" x14ac:dyDescent="0.25">
      <c r="A960" s="25" t="s">
        <v>146</v>
      </c>
      <c r="B960" s="16">
        <v>908</v>
      </c>
      <c r="C960" s="20" t="s">
        <v>249</v>
      </c>
      <c r="D960" s="20" t="s">
        <v>230</v>
      </c>
      <c r="E960" s="20" t="s">
        <v>1272</v>
      </c>
      <c r="F960" s="20" t="s">
        <v>147</v>
      </c>
      <c r="G960" s="415">
        <f>G961</f>
        <v>390</v>
      </c>
      <c r="H960" s="26">
        <f t="shared" si="475"/>
        <v>390</v>
      </c>
      <c r="I960" s="26">
        <f t="shared" si="475"/>
        <v>390</v>
      </c>
      <c r="J960" s="212"/>
      <c r="K960" s="116"/>
      <c r="L960" s="111"/>
    </row>
    <row r="961" spans="1:13" s="230" customFormat="1" ht="31.5" x14ac:dyDescent="0.25">
      <c r="A961" s="25" t="s">
        <v>148</v>
      </c>
      <c r="B961" s="16">
        <v>908</v>
      </c>
      <c r="C961" s="20" t="s">
        <v>249</v>
      </c>
      <c r="D961" s="20" t="s">
        <v>230</v>
      </c>
      <c r="E961" s="20" t="s">
        <v>1272</v>
      </c>
      <c r="F961" s="20" t="s">
        <v>149</v>
      </c>
      <c r="G961" s="419">
        <v>390</v>
      </c>
      <c r="H961" s="27">
        <v>390</v>
      </c>
      <c r="I961" s="27">
        <v>390</v>
      </c>
      <c r="J961" s="212"/>
      <c r="K961" s="116"/>
      <c r="L961" s="111"/>
    </row>
    <row r="962" spans="1:13" ht="34.5" customHeight="1" x14ac:dyDescent="0.25">
      <c r="A962" s="23" t="s">
        <v>557</v>
      </c>
      <c r="B962" s="19">
        <v>908</v>
      </c>
      <c r="C962" s="24" t="s">
        <v>249</v>
      </c>
      <c r="D962" s="24" t="s">
        <v>230</v>
      </c>
      <c r="E962" s="24" t="s">
        <v>558</v>
      </c>
      <c r="F962" s="24"/>
      <c r="G962" s="416">
        <f>G963+G977</f>
        <v>3244.5</v>
      </c>
      <c r="H962" s="21">
        <f t="shared" ref="H962:I962" si="476">H963+H977</f>
        <v>4921.6000000000004</v>
      </c>
      <c r="I962" s="21">
        <f t="shared" si="476"/>
        <v>4921.6000000000004</v>
      </c>
      <c r="J962" s="242"/>
      <c r="K962" s="116"/>
      <c r="L962" s="116"/>
    </row>
    <row r="963" spans="1:13" ht="35.25" customHeight="1" x14ac:dyDescent="0.25">
      <c r="A963" s="23" t="s">
        <v>559</v>
      </c>
      <c r="B963" s="19">
        <v>908</v>
      </c>
      <c r="C963" s="24" t="s">
        <v>249</v>
      </c>
      <c r="D963" s="24" t="s">
        <v>230</v>
      </c>
      <c r="E963" s="24" t="s">
        <v>560</v>
      </c>
      <c r="F963" s="24"/>
      <c r="G963" s="416">
        <f>G964</f>
        <v>940</v>
      </c>
      <c r="H963" s="21">
        <f t="shared" ref="H963:I963" si="477">H964</f>
        <v>2535.1999999999998</v>
      </c>
      <c r="I963" s="21">
        <f t="shared" si="477"/>
        <v>2535.1999999999998</v>
      </c>
      <c r="L963" s="111"/>
    </row>
    <row r="964" spans="1:13" s="230" customFormat="1" ht="35.25" customHeight="1" x14ac:dyDescent="0.25">
      <c r="A964" s="23" t="s">
        <v>1127</v>
      </c>
      <c r="B964" s="19">
        <v>908</v>
      </c>
      <c r="C964" s="24" t="s">
        <v>249</v>
      </c>
      <c r="D964" s="24" t="s">
        <v>230</v>
      </c>
      <c r="E964" s="24" t="s">
        <v>1125</v>
      </c>
      <c r="F964" s="24"/>
      <c r="G964" s="416">
        <f>G965+G968+G974</f>
        <v>940</v>
      </c>
      <c r="H964" s="21">
        <f t="shared" ref="H964:I964" si="478">H965+H968+H974</f>
        <v>2535.1999999999998</v>
      </c>
      <c r="I964" s="21">
        <f t="shared" si="478"/>
        <v>2535.1999999999998</v>
      </c>
      <c r="J964" s="212"/>
      <c r="K964" s="111"/>
      <c r="L964" s="111"/>
    </row>
    <row r="965" spans="1:13" ht="19.5" customHeight="1" x14ac:dyDescent="0.25">
      <c r="A965" s="25" t="s">
        <v>561</v>
      </c>
      <c r="B965" s="16">
        <v>908</v>
      </c>
      <c r="C965" s="20" t="s">
        <v>249</v>
      </c>
      <c r="D965" s="20" t="s">
        <v>230</v>
      </c>
      <c r="E965" s="20" t="s">
        <v>1126</v>
      </c>
      <c r="F965" s="20"/>
      <c r="G965" s="415">
        <f>G966</f>
        <v>90</v>
      </c>
      <c r="H965" s="26">
        <f t="shared" ref="H965:I966" si="479">H966</f>
        <v>90</v>
      </c>
      <c r="I965" s="26">
        <f t="shared" si="479"/>
        <v>90</v>
      </c>
      <c r="L965" s="111"/>
    </row>
    <row r="966" spans="1:13" ht="15.75" x14ac:dyDescent="0.25">
      <c r="A966" s="25" t="s">
        <v>146</v>
      </c>
      <c r="B966" s="16">
        <v>908</v>
      </c>
      <c r="C966" s="20" t="s">
        <v>249</v>
      </c>
      <c r="D966" s="20" t="s">
        <v>230</v>
      </c>
      <c r="E966" s="20" t="s">
        <v>1126</v>
      </c>
      <c r="F966" s="20" t="s">
        <v>147</v>
      </c>
      <c r="G966" s="415">
        <f>G967</f>
        <v>90</v>
      </c>
      <c r="H966" s="26">
        <f t="shared" si="479"/>
        <v>90</v>
      </c>
      <c r="I966" s="26">
        <f t="shared" si="479"/>
        <v>90</v>
      </c>
      <c r="L966" s="111"/>
    </row>
    <row r="967" spans="1:13" ht="31.5" x14ac:dyDescent="0.25">
      <c r="A967" s="25" t="s">
        <v>148</v>
      </c>
      <c r="B967" s="16">
        <v>908</v>
      </c>
      <c r="C967" s="20" t="s">
        <v>249</v>
      </c>
      <c r="D967" s="20" t="s">
        <v>230</v>
      </c>
      <c r="E967" s="20" t="s">
        <v>1126</v>
      </c>
      <c r="F967" s="20" t="s">
        <v>149</v>
      </c>
      <c r="G967" s="415">
        <v>90</v>
      </c>
      <c r="H967" s="26">
        <v>90</v>
      </c>
      <c r="I967" s="26">
        <v>90</v>
      </c>
      <c r="J967" s="240"/>
      <c r="K967" s="225"/>
      <c r="L967" s="111"/>
      <c r="M967" s="111"/>
    </row>
    <row r="968" spans="1:13" ht="15.75" x14ac:dyDescent="0.25">
      <c r="A968" s="25" t="s">
        <v>1299</v>
      </c>
      <c r="B968" s="16">
        <v>908</v>
      </c>
      <c r="C968" s="20" t="s">
        <v>249</v>
      </c>
      <c r="D968" s="20" t="s">
        <v>230</v>
      </c>
      <c r="E968" s="20" t="s">
        <v>1128</v>
      </c>
      <c r="F968" s="20"/>
      <c r="G968" s="415">
        <f>G969+G971</f>
        <v>650</v>
      </c>
      <c r="H968" s="26">
        <f t="shared" ref="H968:I968" si="480">H969+H971</f>
        <v>643.29999999999995</v>
      </c>
      <c r="I968" s="26">
        <f t="shared" si="480"/>
        <v>643.29999999999995</v>
      </c>
      <c r="L968" s="111"/>
    </row>
    <row r="969" spans="1:13" ht="15.75" x14ac:dyDescent="0.25">
      <c r="A969" s="25" t="s">
        <v>146</v>
      </c>
      <c r="B969" s="16">
        <v>908</v>
      </c>
      <c r="C969" s="20" t="s">
        <v>249</v>
      </c>
      <c r="D969" s="20" t="s">
        <v>230</v>
      </c>
      <c r="E969" s="20" t="s">
        <v>1128</v>
      </c>
      <c r="F969" s="20" t="s">
        <v>147</v>
      </c>
      <c r="G969" s="415">
        <f>G970</f>
        <v>650</v>
      </c>
      <c r="H969" s="26">
        <f t="shared" ref="H969:I969" si="481">H970</f>
        <v>602</v>
      </c>
      <c r="I969" s="26">
        <f t="shared" si="481"/>
        <v>602</v>
      </c>
      <c r="L969" s="111"/>
    </row>
    <row r="970" spans="1:13" ht="31.5" x14ac:dyDescent="0.25">
      <c r="A970" s="25" t="s">
        <v>148</v>
      </c>
      <c r="B970" s="16">
        <v>908</v>
      </c>
      <c r="C970" s="20" t="s">
        <v>249</v>
      </c>
      <c r="D970" s="20" t="s">
        <v>230</v>
      </c>
      <c r="E970" s="20" t="s">
        <v>1128</v>
      </c>
      <c r="F970" s="20" t="s">
        <v>149</v>
      </c>
      <c r="G970" s="415">
        <v>650</v>
      </c>
      <c r="H970" s="26">
        <f t="shared" ref="H970:I970" si="482">800-240+5706.6-5664.6</f>
        <v>602</v>
      </c>
      <c r="I970" s="26">
        <f t="shared" si="482"/>
        <v>602</v>
      </c>
      <c r="J970" s="240"/>
      <c r="K970" s="225"/>
      <c r="L970" s="225"/>
      <c r="M970" s="111"/>
    </row>
    <row r="971" spans="1:13" ht="15.75" hidden="1" x14ac:dyDescent="0.25">
      <c r="A971" s="25" t="s">
        <v>150</v>
      </c>
      <c r="B971" s="16">
        <v>908</v>
      </c>
      <c r="C971" s="20" t="s">
        <v>249</v>
      </c>
      <c r="D971" s="20" t="s">
        <v>230</v>
      </c>
      <c r="E971" s="20" t="s">
        <v>1128</v>
      </c>
      <c r="F971" s="20" t="s">
        <v>160</v>
      </c>
      <c r="G971" s="415">
        <f>G973+G972</f>
        <v>0</v>
      </c>
      <c r="H971" s="26">
        <f t="shared" ref="H971:I971" si="483">H973+H972</f>
        <v>41.3</v>
      </c>
      <c r="I971" s="26">
        <f t="shared" si="483"/>
        <v>41.3</v>
      </c>
      <c r="L971" s="111"/>
    </row>
    <row r="972" spans="1:13" s="230" customFormat="1" ht="32.25" hidden="1" customHeight="1" x14ac:dyDescent="0.25">
      <c r="A972" s="25" t="s">
        <v>883</v>
      </c>
      <c r="B972" s="16">
        <v>908</v>
      </c>
      <c r="C972" s="20" t="s">
        <v>249</v>
      </c>
      <c r="D972" s="20" t="s">
        <v>230</v>
      </c>
      <c r="E972" s="20" t="s">
        <v>1128</v>
      </c>
      <c r="F972" s="20" t="s">
        <v>162</v>
      </c>
      <c r="G972" s="415">
        <v>0</v>
      </c>
      <c r="H972" s="26">
        <v>41.3</v>
      </c>
      <c r="I972" s="26">
        <v>41.3</v>
      </c>
      <c r="J972" s="212"/>
      <c r="K972" s="111"/>
      <c r="L972" s="111"/>
    </row>
    <row r="973" spans="1:13" ht="15.75" hidden="1" x14ac:dyDescent="0.25">
      <c r="A973" s="25" t="s">
        <v>726</v>
      </c>
      <c r="B973" s="16">
        <v>908</v>
      </c>
      <c r="C973" s="20" t="s">
        <v>249</v>
      </c>
      <c r="D973" s="20" t="s">
        <v>230</v>
      </c>
      <c r="E973" s="20" t="s">
        <v>1128</v>
      </c>
      <c r="F973" s="20" t="s">
        <v>153</v>
      </c>
      <c r="G973" s="415">
        <f>3.4+37.5-40.9</f>
        <v>0</v>
      </c>
      <c r="H973" s="26">
        <f t="shared" ref="H973:I973" si="484">3.4+37.5-40.9</f>
        <v>0</v>
      </c>
      <c r="I973" s="26">
        <f t="shared" si="484"/>
        <v>0</v>
      </c>
      <c r="J973" s="240"/>
      <c r="L973" s="111"/>
    </row>
    <row r="974" spans="1:13" ht="15.75" x14ac:dyDescent="0.25">
      <c r="A974" s="25" t="s">
        <v>565</v>
      </c>
      <c r="B974" s="16">
        <v>908</v>
      </c>
      <c r="C974" s="20" t="s">
        <v>249</v>
      </c>
      <c r="D974" s="20" t="s">
        <v>230</v>
      </c>
      <c r="E974" s="20" t="s">
        <v>1129</v>
      </c>
      <c r="F974" s="20"/>
      <c r="G974" s="415">
        <f>G975</f>
        <v>200</v>
      </c>
      <c r="H974" s="26">
        <f t="shared" ref="H974:I975" si="485">H975</f>
        <v>1801.9</v>
      </c>
      <c r="I974" s="26">
        <f t="shared" si="485"/>
        <v>1801.9</v>
      </c>
      <c r="L974" s="111"/>
    </row>
    <row r="975" spans="1:13" ht="15.75" x14ac:dyDescent="0.25">
      <c r="A975" s="25" t="s">
        <v>146</v>
      </c>
      <c r="B975" s="16">
        <v>908</v>
      </c>
      <c r="C975" s="20" t="s">
        <v>249</v>
      </c>
      <c r="D975" s="20" t="s">
        <v>230</v>
      </c>
      <c r="E975" s="20" t="s">
        <v>1129</v>
      </c>
      <c r="F975" s="20" t="s">
        <v>147</v>
      </c>
      <c r="G975" s="415">
        <f>G976</f>
        <v>200</v>
      </c>
      <c r="H975" s="26">
        <f t="shared" si="485"/>
        <v>1801.9</v>
      </c>
      <c r="I975" s="26">
        <f t="shared" si="485"/>
        <v>1801.9</v>
      </c>
      <c r="L975" s="111"/>
    </row>
    <row r="976" spans="1:13" ht="31.5" x14ac:dyDescent="0.25">
      <c r="A976" s="25" t="s">
        <v>148</v>
      </c>
      <c r="B976" s="16">
        <v>908</v>
      </c>
      <c r="C976" s="20" t="s">
        <v>249</v>
      </c>
      <c r="D976" s="20" t="s">
        <v>230</v>
      </c>
      <c r="E976" s="20" t="s">
        <v>1129</v>
      </c>
      <c r="F976" s="20" t="s">
        <v>149</v>
      </c>
      <c r="G976" s="415">
        <v>200</v>
      </c>
      <c r="H976" s="26">
        <v>1801.9</v>
      </c>
      <c r="I976" s="26">
        <v>1801.9</v>
      </c>
      <c r="J976" s="240"/>
      <c r="K976" s="225"/>
      <c r="L976" s="225"/>
    </row>
    <row r="977" spans="1:12" ht="45.75" customHeight="1" x14ac:dyDescent="0.25">
      <c r="A977" s="23" t="s">
        <v>567</v>
      </c>
      <c r="B977" s="19">
        <v>908</v>
      </c>
      <c r="C977" s="24" t="s">
        <v>249</v>
      </c>
      <c r="D977" s="24" t="s">
        <v>230</v>
      </c>
      <c r="E977" s="24" t="s">
        <v>568</v>
      </c>
      <c r="F977" s="24"/>
      <c r="G977" s="416">
        <f>G978+G993</f>
        <v>2304.5</v>
      </c>
      <c r="H977" s="21">
        <f>H978+H993</f>
        <v>2386.4</v>
      </c>
      <c r="I977" s="21">
        <f>I978+I993</f>
        <v>2386.4</v>
      </c>
      <c r="L977" s="238"/>
    </row>
    <row r="978" spans="1:12" s="230" customFormat="1" ht="32.25" customHeight="1" x14ac:dyDescent="0.25">
      <c r="A978" s="23" t="s">
        <v>1145</v>
      </c>
      <c r="B978" s="19">
        <v>908</v>
      </c>
      <c r="C978" s="24" t="s">
        <v>249</v>
      </c>
      <c r="D978" s="24" t="s">
        <v>230</v>
      </c>
      <c r="E978" s="24" t="s">
        <v>1130</v>
      </c>
      <c r="F978" s="24"/>
      <c r="G978" s="416">
        <f>G990+G979+G982+G987</f>
        <v>390</v>
      </c>
      <c r="H978" s="21">
        <f>H990+H979+H982+H987</f>
        <v>722.5</v>
      </c>
      <c r="I978" s="21">
        <f>I990+I979+I982+I987</f>
        <v>722.5</v>
      </c>
      <c r="J978" s="212"/>
      <c r="K978" s="111"/>
      <c r="L978" s="238"/>
    </row>
    <row r="979" spans="1:12" ht="15.75" x14ac:dyDescent="0.25">
      <c r="A979" s="25" t="s">
        <v>570</v>
      </c>
      <c r="B979" s="16">
        <v>908</v>
      </c>
      <c r="C979" s="20" t="s">
        <v>249</v>
      </c>
      <c r="D979" s="20" t="s">
        <v>230</v>
      </c>
      <c r="E979" s="20" t="s">
        <v>1132</v>
      </c>
      <c r="F979" s="20"/>
      <c r="G979" s="415">
        <f>G980</f>
        <v>4</v>
      </c>
      <c r="H979" s="26">
        <f t="shared" ref="H979:I980" si="486">H980</f>
        <v>4</v>
      </c>
      <c r="I979" s="26">
        <f t="shared" si="486"/>
        <v>4</v>
      </c>
      <c r="L979" s="111"/>
    </row>
    <row r="980" spans="1:12" ht="15.75" x14ac:dyDescent="0.25">
      <c r="A980" s="25" t="s">
        <v>146</v>
      </c>
      <c r="B980" s="16">
        <v>908</v>
      </c>
      <c r="C980" s="20" t="s">
        <v>249</v>
      </c>
      <c r="D980" s="20" t="s">
        <v>230</v>
      </c>
      <c r="E980" s="20" t="s">
        <v>1132</v>
      </c>
      <c r="F980" s="20" t="s">
        <v>147</v>
      </c>
      <c r="G980" s="415">
        <f>G981</f>
        <v>4</v>
      </c>
      <c r="H980" s="26">
        <f t="shared" si="486"/>
        <v>4</v>
      </c>
      <c r="I980" s="26">
        <f t="shared" si="486"/>
        <v>4</v>
      </c>
      <c r="L980" s="111"/>
    </row>
    <row r="981" spans="1:12" ht="36" customHeight="1" x14ac:dyDescent="0.25">
      <c r="A981" s="25" t="s">
        <v>148</v>
      </c>
      <c r="B981" s="16">
        <v>908</v>
      </c>
      <c r="C981" s="20" t="s">
        <v>249</v>
      </c>
      <c r="D981" s="20" t="s">
        <v>230</v>
      </c>
      <c r="E981" s="20" t="s">
        <v>1132</v>
      </c>
      <c r="F981" s="20" t="s">
        <v>149</v>
      </c>
      <c r="G981" s="415">
        <v>4</v>
      </c>
      <c r="H981" s="26">
        <v>4</v>
      </c>
      <c r="I981" s="26">
        <v>4</v>
      </c>
      <c r="J981" s="240"/>
      <c r="L981" s="225"/>
    </row>
    <row r="982" spans="1:12" ht="30.75" customHeight="1" x14ac:dyDescent="0.25">
      <c r="A982" s="45" t="s">
        <v>572</v>
      </c>
      <c r="B982" s="16">
        <v>908</v>
      </c>
      <c r="C982" s="20" t="s">
        <v>249</v>
      </c>
      <c r="D982" s="20" t="s">
        <v>230</v>
      </c>
      <c r="E982" s="20" t="s">
        <v>1133</v>
      </c>
      <c r="F982" s="20"/>
      <c r="G982" s="415">
        <f>G983+G985</f>
        <v>375</v>
      </c>
      <c r="H982" s="26">
        <f t="shared" ref="H982:I982" si="487">H983+H985</f>
        <v>707.5</v>
      </c>
      <c r="I982" s="26">
        <f t="shared" si="487"/>
        <v>707.5</v>
      </c>
      <c r="L982" s="224"/>
    </row>
    <row r="983" spans="1:12" ht="15.75" x14ac:dyDescent="0.25">
      <c r="A983" s="25" t="s">
        <v>146</v>
      </c>
      <c r="B983" s="16">
        <v>908</v>
      </c>
      <c r="C983" s="20" t="s">
        <v>249</v>
      </c>
      <c r="D983" s="20" t="s">
        <v>230</v>
      </c>
      <c r="E983" s="20" t="s">
        <v>1133</v>
      </c>
      <c r="F983" s="20" t="s">
        <v>147</v>
      </c>
      <c r="G983" s="415">
        <f>G984</f>
        <v>300</v>
      </c>
      <c r="H983" s="26">
        <f t="shared" ref="H983:I983" si="488">H984</f>
        <v>632.5</v>
      </c>
      <c r="I983" s="26">
        <f t="shared" si="488"/>
        <v>632.5</v>
      </c>
      <c r="L983" s="111"/>
    </row>
    <row r="984" spans="1:12" ht="31.5" x14ac:dyDescent="0.25">
      <c r="A984" s="25" t="s">
        <v>148</v>
      </c>
      <c r="B984" s="16">
        <v>908</v>
      </c>
      <c r="C984" s="20" t="s">
        <v>249</v>
      </c>
      <c r="D984" s="20" t="s">
        <v>230</v>
      </c>
      <c r="E984" s="20" t="s">
        <v>1133</v>
      </c>
      <c r="F984" s="20" t="s">
        <v>149</v>
      </c>
      <c r="G984" s="415">
        <v>300</v>
      </c>
      <c r="H984" s="26">
        <f t="shared" ref="H984:I984" si="489">1000-1000+243.4+195.5-60.4-46+300</f>
        <v>632.5</v>
      </c>
      <c r="I984" s="26">
        <f t="shared" si="489"/>
        <v>632.5</v>
      </c>
      <c r="J984" s="240"/>
      <c r="K984" s="270"/>
      <c r="L984" s="111"/>
    </row>
    <row r="985" spans="1:12" s="230" customFormat="1" ht="15.75" x14ac:dyDescent="0.25">
      <c r="A985" s="25" t="s">
        <v>150</v>
      </c>
      <c r="B985" s="16">
        <v>908</v>
      </c>
      <c r="C985" s="20" t="s">
        <v>249</v>
      </c>
      <c r="D985" s="20" t="s">
        <v>230</v>
      </c>
      <c r="E985" s="20" t="s">
        <v>1133</v>
      </c>
      <c r="F985" s="20" t="s">
        <v>160</v>
      </c>
      <c r="G985" s="415">
        <f>G986</f>
        <v>75</v>
      </c>
      <c r="H985" s="26">
        <f t="shared" ref="H985:I985" si="490">H986</f>
        <v>75</v>
      </c>
      <c r="I985" s="26">
        <f t="shared" si="490"/>
        <v>75</v>
      </c>
      <c r="J985" s="249"/>
      <c r="K985" s="111"/>
      <c r="L985" s="111"/>
    </row>
    <row r="986" spans="1:12" s="230" customFormat="1" ht="15.75" x14ac:dyDescent="0.25">
      <c r="A986" s="25" t="s">
        <v>726</v>
      </c>
      <c r="B986" s="16">
        <v>908</v>
      </c>
      <c r="C986" s="20" t="s">
        <v>249</v>
      </c>
      <c r="D986" s="20" t="s">
        <v>230</v>
      </c>
      <c r="E986" s="20" t="s">
        <v>1133</v>
      </c>
      <c r="F986" s="20" t="s">
        <v>153</v>
      </c>
      <c r="G986" s="415">
        <v>75</v>
      </c>
      <c r="H986" s="26">
        <v>75</v>
      </c>
      <c r="I986" s="26">
        <v>75</v>
      </c>
      <c r="J986" s="249"/>
      <c r="K986" s="111"/>
      <c r="L986" s="111"/>
    </row>
    <row r="987" spans="1:12" ht="15.75" hidden="1" x14ac:dyDescent="0.25">
      <c r="A987" s="45" t="s">
        <v>574</v>
      </c>
      <c r="B987" s="16">
        <v>908</v>
      </c>
      <c r="C987" s="20" t="s">
        <v>249</v>
      </c>
      <c r="D987" s="20" t="s">
        <v>230</v>
      </c>
      <c r="E987" s="20" t="s">
        <v>1134</v>
      </c>
      <c r="F987" s="20"/>
      <c r="G987" s="415">
        <f>G988</f>
        <v>0</v>
      </c>
      <c r="H987" s="26">
        <f t="shared" ref="H987:I988" si="491">H988</f>
        <v>0</v>
      </c>
      <c r="I987" s="26">
        <f t="shared" si="491"/>
        <v>0</v>
      </c>
      <c r="L987" s="238"/>
    </row>
    <row r="988" spans="1:12" ht="15.75" hidden="1" x14ac:dyDescent="0.25">
      <c r="A988" s="25" t="s">
        <v>146</v>
      </c>
      <c r="B988" s="16">
        <v>908</v>
      </c>
      <c r="C988" s="20" t="s">
        <v>249</v>
      </c>
      <c r="D988" s="20" t="s">
        <v>230</v>
      </c>
      <c r="E988" s="20" t="s">
        <v>1134</v>
      </c>
      <c r="F988" s="20" t="s">
        <v>147</v>
      </c>
      <c r="G988" s="415">
        <f>G989</f>
        <v>0</v>
      </c>
      <c r="H988" s="26">
        <f t="shared" si="491"/>
        <v>0</v>
      </c>
      <c r="I988" s="26">
        <f t="shared" si="491"/>
        <v>0</v>
      </c>
      <c r="L988" s="111"/>
    </row>
    <row r="989" spans="1:12" ht="31.5" hidden="1" x14ac:dyDescent="0.25">
      <c r="A989" s="25" t="s">
        <v>148</v>
      </c>
      <c r="B989" s="16">
        <v>908</v>
      </c>
      <c r="C989" s="20" t="s">
        <v>249</v>
      </c>
      <c r="D989" s="20" t="s">
        <v>230</v>
      </c>
      <c r="E989" s="20" t="s">
        <v>1134</v>
      </c>
      <c r="F989" s="20" t="s">
        <v>149</v>
      </c>
      <c r="G989" s="415">
        <v>0</v>
      </c>
      <c r="H989" s="26">
        <v>0</v>
      </c>
      <c r="I989" s="26">
        <v>0</v>
      </c>
      <c r="L989" s="111"/>
    </row>
    <row r="990" spans="1:12" s="230" customFormat="1" ht="15.75" x14ac:dyDescent="0.25">
      <c r="A990" s="296" t="s">
        <v>1301</v>
      </c>
      <c r="B990" s="16">
        <v>908</v>
      </c>
      <c r="C990" s="20" t="s">
        <v>249</v>
      </c>
      <c r="D990" s="20" t="s">
        <v>230</v>
      </c>
      <c r="E990" s="20" t="s">
        <v>1302</v>
      </c>
      <c r="F990" s="20"/>
      <c r="G990" s="415">
        <f>G991</f>
        <v>11</v>
      </c>
      <c r="H990" s="26">
        <f t="shared" ref="H990:I991" si="492">H991</f>
        <v>11</v>
      </c>
      <c r="I990" s="26">
        <f t="shared" si="492"/>
        <v>11</v>
      </c>
      <c r="J990" s="212"/>
      <c r="K990" s="111"/>
      <c r="L990" s="111"/>
    </row>
    <row r="991" spans="1:12" s="230" customFormat="1" ht="15.75" x14ac:dyDescent="0.25">
      <c r="A991" s="25" t="s">
        <v>146</v>
      </c>
      <c r="B991" s="16">
        <v>908</v>
      </c>
      <c r="C991" s="20" t="s">
        <v>249</v>
      </c>
      <c r="D991" s="20" t="s">
        <v>230</v>
      </c>
      <c r="E991" s="20" t="s">
        <v>1302</v>
      </c>
      <c r="F991" s="20" t="s">
        <v>147</v>
      </c>
      <c r="G991" s="415">
        <f>G992</f>
        <v>11</v>
      </c>
      <c r="H991" s="26">
        <f t="shared" si="492"/>
        <v>11</v>
      </c>
      <c r="I991" s="26">
        <f t="shared" si="492"/>
        <v>11</v>
      </c>
      <c r="J991" s="212"/>
      <c r="K991" s="111"/>
      <c r="L991" s="111"/>
    </row>
    <row r="992" spans="1:12" s="230" customFormat="1" ht="31.5" x14ac:dyDescent="0.25">
      <c r="A992" s="25" t="s">
        <v>148</v>
      </c>
      <c r="B992" s="16">
        <v>908</v>
      </c>
      <c r="C992" s="20" t="s">
        <v>249</v>
      </c>
      <c r="D992" s="20" t="s">
        <v>230</v>
      </c>
      <c r="E992" s="20" t="s">
        <v>1302</v>
      </c>
      <c r="F992" s="20" t="s">
        <v>149</v>
      </c>
      <c r="G992" s="415">
        <v>11</v>
      </c>
      <c r="H992" s="26">
        <v>11</v>
      </c>
      <c r="I992" s="26">
        <v>11</v>
      </c>
      <c r="J992" s="212"/>
      <c r="K992" s="111"/>
      <c r="L992" s="111"/>
    </row>
    <row r="993" spans="1:12" s="230" customFormat="1" ht="15.75" x14ac:dyDescent="0.25">
      <c r="A993" s="23" t="s">
        <v>952</v>
      </c>
      <c r="B993" s="19">
        <v>908</v>
      </c>
      <c r="C993" s="24" t="s">
        <v>249</v>
      </c>
      <c r="D993" s="24" t="s">
        <v>230</v>
      </c>
      <c r="E993" s="24" t="s">
        <v>1135</v>
      </c>
      <c r="F993" s="24"/>
      <c r="G993" s="416">
        <f>G994+G997</f>
        <v>1914.5</v>
      </c>
      <c r="H993" s="21">
        <f t="shared" ref="H993:I993" si="493">H994+H997</f>
        <v>1663.9</v>
      </c>
      <c r="I993" s="21">
        <f t="shared" si="493"/>
        <v>1663.9</v>
      </c>
      <c r="J993" s="212"/>
      <c r="K993" s="111"/>
      <c r="L993" s="111"/>
    </row>
    <row r="994" spans="1:12" s="230" customFormat="1" ht="31.5" hidden="1" x14ac:dyDescent="0.25">
      <c r="A994" s="25" t="s">
        <v>706</v>
      </c>
      <c r="B994" s="16">
        <v>908</v>
      </c>
      <c r="C994" s="20" t="s">
        <v>249</v>
      </c>
      <c r="D994" s="20" t="s">
        <v>230</v>
      </c>
      <c r="E994" s="20" t="s">
        <v>1136</v>
      </c>
      <c r="F994" s="20"/>
      <c r="G994" s="415">
        <f>G995</f>
        <v>0</v>
      </c>
      <c r="H994" s="26">
        <f t="shared" ref="H994:I995" si="494">H995</f>
        <v>244</v>
      </c>
      <c r="I994" s="26">
        <f t="shared" si="494"/>
        <v>244</v>
      </c>
      <c r="J994" s="212"/>
      <c r="K994" s="111"/>
      <c r="L994" s="111"/>
    </row>
    <row r="995" spans="1:12" s="230" customFormat="1" ht="15.75" hidden="1" x14ac:dyDescent="0.25">
      <c r="A995" s="25" t="s">
        <v>146</v>
      </c>
      <c r="B995" s="16">
        <v>908</v>
      </c>
      <c r="C995" s="20" t="s">
        <v>249</v>
      </c>
      <c r="D995" s="20" t="s">
        <v>230</v>
      </c>
      <c r="E995" s="20" t="s">
        <v>1136</v>
      </c>
      <c r="F995" s="20" t="s">
        <v>147</v>
      </c>
      <c r="G995" s="415">
        <f>G996</f>
        <v>0</v>
      </c>
      <c r="H995" s="26">
        <f t="shared" si="494"/>
        <v>244</v>
      </c>
      <c r="I995" s="26">
        <f t="shared" si="494"/>
        <v>244</v>
      </c>
      <c r="J995" s="212"/>
      <c r="K995" s="111"/>
      <c r="L995" s="111"/>
    </row>
    <row r="996" spans="1:12" s="230" customFormat="1" ht="31.5" hidden="1" x14ac:dyDescent="0.25">
      <c r="A996" s="25" t="s">
        <v>148</v>
      </c>
      <c r="B996" s="16">
        <v>908</v>
      </c>
      <c r="C996" s="20" t="s">
        <v>249</v>
      </c>
      <c r="D996" s="20" t="s">
        <v>230</v>
      </c>
      <c r="E996" s="20" t="s">
        <v>1136</v>
      </c>
      <c r="F996" s="20" t="s">
        <v>149</v>
      </c>
      <c r="G996" s="415">
        <v>0</v>
      </c>
      <c r="H996" s="26">
        <v>244</v>
      </c>
      <c r="I996" s="26">
        <v>244</v>
      </c>
      <c r="J996" s="212"/>
      <c r="K996" s="111"/>
      <c r="L996" s="111"/>
    </row>
    <row r="997" spans="1:12" s="230" customFormat="1" ht="47.25" x14ac:dyDescent="0.25">
      <c r="A997" s="25" t="s">
        <v>1260</v>
      </c>
      <c r="B997" s="16">
        <v>908</v>
      </c>
      <c r="C997" s="20" t="s">
        <v>249</v>
      </c>
      <c r="D997" s="20" t="s">
        <v>230</v>
      </c>
      <c r="E997" s="20" t="s">
        <v>1261</v>
      </c>
      <c r="F997" s="20"/>
      <c r="G997" s="415">
        <f>G998</f>
        <v>1914.5</v>
      </c>
      <c r="H997" s="26">
        <f t="shared" ref="H997:I998" si="495">H998</f>
        <v>1419.9</v>
      </c>
      <c r="I997" s="26">
        <f t="shared" si="495"/>
        <v>1419.9</v>
      </c>
      <c r="J997" s="212"/>
      <c r="K997" s="111"/>
      <c r="L997" s="111"/>
    </row>
    <row r="998" spans="1:12" s="230" customFormat="1" ht="15.75" x14ac:dyDescent="0.25">
      <c r="A998" s="25" t="s">
        <v>146</v>
      </c>
      <c r="B998" s="16">
        <v>908</v>
      </c>
      <c r="C998" s="20" t="s">
        <v>249</v>
      </c>
      <c r="D998" s="20" t="s">
        <v>230</v>
      </c>
      <c r="E998" s="20" t="s">
        <v>1261</v>
      </c>
      <c r="F998" s="20" t="s">
        <v>147</v>
      </c>
      <c r="G998" s="415">
        <f>G999</f>
        <v>1914.5</v>
      </c>
      <c r="H998" s="26">
        <f t="shared" si="495"/>
        <v>1419.9</v>
      </c>
      <c r="I998" s="26">
        <f t="shared" si="495"/>
        <v>1419.9</v>
      </c>
      <c r="J998" s="212"/>
      <c r="K998" s="111"/>
      <c r="L998" s="111"/>
    </row>
    <row r="999" spans="1:12" s="230" customFormat="1" ht="31.5" x14ac:dyDescent="0.25">
      <c r="A999" s="25" t="s">
        <v>148</v>
      </c>
      <c r="B999" s="16">
        <v>908</v>
      </c>
      <c r="C999" s="20" t="s">
        <v>249</v>
      </c>
      <c r="D999" s="20" t="s">
        <v>230</v>
      </c>
      <c r="E999" s="20" t="s">
        <v>1261</v>
      </c>
      <c r="F999" s="20" t="s">
        <v>149</v>
      </c>
      <c r="G999" s="415">
        <v>1914.5</v>
      </c>
      <c r="H999" s="26">
        <v>1419.9</v>
      </c>
      <c r="I999" s="26">
        <v>1419.9</v>
      </c>
      <c r="J999" s="212"/>
      <c r="K999" s="111"/>
      <c r="L999" s="111"/>
    </row>
    <row r="1000" spans="1:12" ht="52.5" customHeight="1" x14ac:dyDescent="0.25">
      <c r="A1000" s="23" t="s">
        <v>822</v>
      </c>
      <c r="B1000" s="19">
        <v>908</v>
      </c>
      <c r="C1000" s="24" t="s">
        <v>249</v>
      </c>
      <c r="D1000" s="24" t="s">
        <v>230</v>
      </c>
      <c r="E1000" s="24" t="s">
        <v>733</v>
      </c>
      <c r="F1000" s="24"/>
      <c r="G1000" s="416">
        <f>G1001</f>
        <v>500</v>
      </c>
      <c r="H1000" s="21">
        <f t="shared" ref="H1000:I1003" si="496">H1001</f>
        <v>2614.5200000000004</v>
      </c>
      <c r="I1000" s="21">
        <f t="shared" si="496"/>
        <v>2614.5200000000004</v>
      </c>
      <c r="L1000" s="224"/>
    </row>
    <row r="1001" spans="1:12" s="230" customFormat="1" ht="34.5" customHeight="1" x14ac:dyDescent="0.25">
      <c r="A1001" s="23" t="s">
        <v>1256</v>
      </c>
      <c r="B1001" s="19">
        <v>908</v>
      </c>
      <c r="C1001" s="24" t="s">
        <v>249</v>
      </c>
      <c r="D1001" s="24" t="s">
        <v>230</v>
      </c>
      <c r="E1001" s="24" t="s">
        <v>1300</v>
      </c>
      <c r="F1001" s="24"/>
      <c r="G1001" s="416">
        <f>G1002</f>
        <v>500</v>
      </c>
      <c r="H1001" s="21">
        <f t="shared" si="496"/>
        <v>2614.5200000000004</v>
      </c>
      <c r="I1001" s="21">
        <f t="shared" si="496"/>
        <v>2614.5200000000004</v>
      </c>
      <c r="J1001" s="212"/>
      <c r="K1001" s="111"/>
      <c r="L1001" s="224"/>
    </row>
    <row r="1002" spans="1:12" ht="48.75" customHeight="1" x14ac:dyDescent="0.25">
      <c r="A1002" s="81" t="s">
        <v>709</v>
      </c>
      <c r="B1002" s="16">
        <v>908</v>
      </c>
      <c r="C1002" s="20" t="s">
        <v>249</v>
      </c>
      <c r="D1002" s="20" t="s">
        <v>230</v>
      </c>
      <c r="E1002" s="20" t="s">
        <v>882</v>
      </c>
      <c r="F1002" s="20"/>
      <c r="G1002" s="415">
        <f>G1003</f>
        <v>500</v>
      </c>
      <c r="H1002" s="26">
        <f t="shared" si="496"/>
        <v>2614.5200000000004</v>
      </c>
      <c r="I1002" s="26">
        <f t="shared" si="496"/>
        <v>2614.5200000000004</v>
      </c>
      <c r="L1002" s="111"/>
    </row>
    <row r="1003" spans="1:12" ht="15.75" x14ac:dyDescent="0.25">
      <c r="A1003" s="25" t="s">
        <v>146</v>
      </c>
      <c r="B1003" s="16">
        <v>908</v>
      </c>
      <c r="C1003" s="20" t="s">
        <v>249</v>
      </c>
      <c r="D1003" s="20" t="s">
        <v>230</v>
      </c>
      <c r="E1003" s="20" t="s">
        <v>882</v>
      </c>
      <c r="F1003" s="20" t="s">
        <v>147</v>
      </c>
      <c r="G1003" s="415">
        <f>G1004</f>
        <v>500</v>
      </c>
      <c r="H1003" s="26">
        <f t="shared" si="496"/>
        <v>2614.5200000000004</v>
      </c>
      <c r="I1003" s="26">
        <f t="shared" si="496"/>
        <v>2614.5200000000004</v>
      </c>
      <c r="L1003" s="111"/>
    </row>
    <row r="1004" spans="1:12" ht="31.5" x14ac:dyDescent="0.25">
      <c r="A1004" s="25" t="s">
        <v>148</v>
      </c>
      <c r="B1004" s="16">
        <v>908</v>
      </c>
      <c r="C1004" s="20" t="s">
        <v>249</v>
      </c>
      <c r="D1004" s="20" t="s">
        <v>230</v>
      </c>
      <c r="E1004" s="20" t="s">
        <v>882</v>
      </c>
      <c r="F1004" s="20" t="s">
        <v>149</v>
      </c>
      <c r="G1004" s="415">
        <v>500</v>
      </c>
      <c r="H1004" s="26">
        <f t="shared" ref="H1004:I1004" si="497">500+2114.52+5000-5000</f>
        <v>2614.5200000000004</v>
      </c>
      <c r="I1004" s="26">
        <f t="shared" si="497"/>
        <v>2614.5200000000004</v>
      </c>
      <c r="J1004" s="240"/>
      <c r="L1004" s="111"/>
    </row>
    <row r="1005" spans="1:12" ht="15.75" x14ac:dyDescent="0.25">
      <c r="A1005" s="23" t="s">
        <v>584</v>
      </c>
      <c r="B1005" s="19">
        <v>908</v>
      </c>
      <c r="C1005" s="24" t="s">
        <v>249</v>
      </c>
      <c r="D1005" s="24" t="s">
        <v>249</v>
      </c>
      <c r="E1005" s="24"/>
      <c r="F1005" s="24"/>
      <c r="G1005" s="416">
        <f>G1006+G1018+G1035</f>
        <v>22364</v>
      </c>
      <c r="H1005" s="21">
        <f t="shared" ref="H1005:I1005" si="498">H1006+H1018</f>
        <v>28887.3</v>
      </c>
      <c r="I1005" s="21">
        <f t="shared" si="498"/>
        <v>28887.3</v>
      </c>
      <c r="L1005" s="111"/>
    </row>
    <row r="1006" spans="1:12" ht="15.75" x14ac:dyDescent="0.25">
      <c r="A1006" s="23" t="s">
        <v>992</v>
      </c>
      <c r="B1006" s="19">
        <v>908</v>
      </c>
      <c r="C1006" s="24" t="s">
        <v>249</v>
      </c>
      <c r="D1006" s="24" t="s">
        <v>249</v>
      </c>
      <c r="E1006" s="24" t="s">
        <v>906</v>
      </c>
      <c r="F1006" s="24"/>
      <c r="G1006" s="416">
        <f>G1007</f>
        <v>11546</v>
      </c>
      <c r="H1006" s="21">
        <f t="shared" ref="H1006:I1006" si="499">H1007</f>
        <v>12857.2</v>
      </c>
      <c r="I1006" s="21">
        <f t="shared" si="499"/>
        <v>12857.2</v>
      </c>
      <c r="L1006" s="111"/>
    </row>
    <row r="1007" spans="1:12" ht="15.75" x14ac:dyDescent="0.25">
      <c r="A1007" s="23" t="s">
        <v>993</v>
      </c>
      <c r="B1007" s="19">
        <v>908</v>
      </c>
      <c r="C1007" s="24" t="s">
        <v>249</v>
      </c>
      <c r="D1007" s="24" t="s">
        <v>249</v>
      </c>
      <c r="E1007" s="24" t="s">
        <v>907</v>
      </c>
      <c r="F1007" s="24"/>
      <c r="G1007" s="416">
        <f>G1008+G1015</f>
        <v>11546</v>
      </c>
      <c r="H1007" s="21">
        <f t="shared" ref="H1007:I1007" si="500">H1008+H1015</f>
        <v>12857.2</v>
      </c>
      <c r="I1007" s="21">
        <f t="shared" si="500"/>
        <v>12857.2</v>
      </c>
      <c r="L1007" s="111"/>
    </row>
    <row r="1008" spans="1:12" ht="15.75" x14ac:dyDescent="0.25">
      <c r="A1008" s="25" t="s">
        <v>969</v>
      </c>
      <c r="B1008" s="16">
        <v>908</v>
      </c>
      <c r="C1008" s="20" t="s">
        <v>249</v>
      </c>
      <c r="D1008" s="20" t="s">
        <v>249</v>
      </c>
      <c r="E1008" s="20" t="s">
        <v>908</v>
      </c>
      <c r="F1008" s="20"/>
      <c r="G1008" s="415">
        <f>G1009+G1013+G1011</f>
        <v>11210</v>
      </c>
      <c r="H1008" s="26">
        <f t="shared" ref="H1008:I1008" si="501">H1009+H1013+H1011</f>
        <v>12857.2</v>
      </c>
      <c r="I1008" s="26">
        <f t="shared" si="501"/>
        <v>12857.2</v>
      </c>
      <c r="L1008" s="111"/>
    </row>
    <row r="1009" spans="1:14" ht="60.75" customHeight="1" x14ac:dyDescent="0.25">
      <c r="A1009" s="25" t="s">
        <v>142</v>
      </c>
      <c r="B1009" s="16">
        <v>908</v>
      </c>
      <c r="C1009" s="20" t="s">
        <v>249</v>
      </c>
      <c r="D1009" s="20" t="s">
        <v>249</v>
      </c>
      <c r="E1009" s="20" t="s">
        <v>908</v>
      </c>
      <c r="F1009" s="20" t="s">
        <v>143</v>
      </c>
      <c r="G1009" s="415">
        <f>G1010</f>
        <v>11138</v>
      </c>
      <c r="H1009" s="26">
        <f t="shared" ref="H1009:I1009" si="502">H1010</f>
        <v>12785.7</v>
      </c>
      <c r="I1009" s="26">
        <f t="shared" si="502"/>
        <v>12785.7</v>
      </c>
      <c r="L1009" s="111"/>
    </row>
    <row r="1010" spans="1:14" ht="15.75" x14ac:dyDescent="0.25">
      <c r="A1010" s="25" t="s">
        <v>144</v>
      </c>
      <c r="B1010" s="16">
        <v>908</v>
      </c>
      <c r="C1010" s="20" t="s">
        <v>249</v>
      </c>
      <c r="D1010" s="20" t="s">
        <v>249</v>
      </c>
      <c r="E1010" s="20" t="s">
        <v>908</v>
      </c>
      <c r="F1010" s="20" t="s">
        <v>145</v>
      </c>
      <c r="G1010" s="419">
        <v>11138</v>
      </c>
      <c r="H1010" s="27">
        <v>12785.7</v>
      </c>
      <c r="I1010" s="27">
        <v>12785.7</v>
      </c>
      <c r="J1010" s="313"/>
      <c r="L1010" s="332">
        <v>11138</v>
      </c>
      <c r="M1010" s="1" t="s">
        <v>1392</v>
      </c>
    </row>
    <row r="1011" spans="1:14" ht="15.75" x14ac:dyDescent="0.25">
      <c r="A1011" s="25" t="s">
        <v>146</v>
      </c>
      <c r="B1011" s="16">
        <v>908</v>
      </c>
      <c r="C1011" s="20" t="s">
        <v>249</v>
      </c>
      <c r="D1011" s="20" t="s">
        <v>249</v>
      </c>
      <c r="E1011" s="20" t="s">
        <v>908</v>
      </c>
      <c r="F1011" s="20" t="s">
        <v>147</v>
      </c>
      <c r="G1011" s="415">
        <f>G1012</f>
        <v>25</v>
      </c>
      <c r="H1011" s="26">
        <f t="shared" ref="H1011:I1011" si="503">H1012</f>
        <v>25</v>
      </c>
      <c r="I1011" s="26">
        <f t="shared" si="503"/>
        <v>25</v>
      </c>
      <c r="L1011" s="111"/>
    </row>
    <row r="1012" spans="1:14" ht="36.75" customHeight="1" x14ac:dyDescent="0.25">
      <c r="A1012" s="25" t="s">
        <v>148</v>
      </c>
      <c r="B1012" s="16">
        <v>908</v>
      </c>
      <c r="C1012" s="20" t="s">
        <v>249</v>
      </c>
      <c r="D1012" s="20" t="s">
        <v>249</v>
      </c>
      <c r="E1012" s="20" t="s">
        <v>908</v>
      </c>
      <c r="F1012" s="20" t="s">
        <v>149</v>
      </c>
      <c r="G1012" s="419">
        <v>25</v>
      </c>
      <c r="H1012" s="27">
        <v>25</v>
      </c>
      <c r="I1012" s="27">
        <v>25</v>
      </c>
      <c r="J1012" s="242"/>
      <c r="L1012" s="111"/>
      <c r="M1012" s="111"/>
      <c r="N1012" s="111"/>
    </row>
    <row r="1013" spans="1:14" ht="15.75" x14ac:dyDescent="0.25">
      <c r="A1013" s="25" t="s">
        <v>150</v>
      </c>
      <c r="B1013" s="16">
        <v>908</v>
      </c>
      <c r="C1013" s="20" t="s">
        <v>249</v>
      </c>
      <c r="D1013" s="20" t="s">
        <v>249</v>
      </c>
      <c r="E1013" s="20" t="s">
        <v>908</v>
      </c>
      <c r="F1013" s="20" t="s">
        <v>160</v>
      </c>
      <c r="G1013" s="415">
        <f>G1014</f>
        <v>47</v>
      </c>
      <c r="H1013" s="26">
        <f t="shared" ref="H1013:I1013" si="504">H1014</f>
        <v>46.5</v>
      </c>
      <c r="I1013" s="26">
        <f t="shared" si="504"/>
        <v>46.5</v>
      </c>
      <c r="L1013" s="111"/>
    </row>
    <row r="1014" spans="1:14" ht="15.75" x14ac:dyDescent="0.25">
      <c r="A1014" s="25" t="s">
        <v>583</v>
      </c>
      <c r="B1014" s="16">
        <v>908</v>
      </c>
      <c r="C1014" s="20" t="s">
        <v>249</v>
      </c>
      <c r="D1014" s="20" t="s">
        <v>249</v>
      </c>
      <c r="E1014" s="20" t="s">
        <v>908</v>
      </c>
      <c r="F1014" s="20" t="s">
        <v>153</v>
      </c>
      <c r="G1014" s="415">
        <v>47</v>
      </c>
      <c r="H1014" s="26">
        <f t="shared" ref="H1014:I1014" si="505">65.3-18.8</f>
        <v>46.5</v>
      </c>
      <c r="I1014" s="26">
        <f t="shared" si="505"/>
        <v>46.5</v>
      </c>
      <c r="J1014" s="240"/>
      <c r="L1014" s="111"/>
    </row>
    <row r="1015" spans="1:14" s="230" customFormat="1" ht="31.5" x14ac:dyDescent="0.25">
      <c r="A1015" s="25" t="s">
        <v>886</v>
      </c>
      <c r="B1015" s="16">
        <v>908</v>
      </c>
      <c r="C1015" s="20" t="s">
        <v>249</v>
      </c>
      <c r="D1015" s="20" t="s">
        <v>249</v>
      </c>
      <c r="E1015" s="20" t="s">
        <v>910</v>
      </c>
      <c r="F1015" s="20"/>
      <c r="G1015" s="415">
        <f>G1016</f>
        <v>336</v>
      </c>
      <c r="H1015" s="26">
        <f t="shared" ref="H1015:I1016" si="506">H1016</f>
        <v>0</v>
      </c>
      <c r="I1015" s="26">
        <f t="shared" si="506"/>
        <v>0</v>
      </c>
      <c r="J1015" s="249"/>
      <c r="K1015" s="111"/>
      <c r="L1015" s="111"/>
    </row>
    <row r="1016" spans="1:14" s="230" customFormat="1" ht="47.25" x14ac:dyDescent="0.25">
      <c r="A1016" s="25" t="s">
        <v>142</v>
      </c>
      <c r="B1016" s="16">
        <v>908</v>
      </c>
      <c r="C1016" s="20" t="s">
        <v>249</v>
      </c>
      <c r="D1016" s="20" t="s">
        <v>249</v>
      </c>
      <c r="E1016" s="20" t="s">
        <v>910</v>
      </c>
      <c r="F1016" s="20" t="s">
        <v>143</v>
      </c>
      <c r="G1016" s="415">
        <f>G1017</f>
        <v>336</v>
      </c>
      <c r="H1016" s="26">
        <f t="shared" si="506"/>
        <v>0</v>
      </c>
      <c r="I1016" s="26">
        <f t="shared" si="506"/>
        <v>0</v>
      </c>
      <c r="J1016" s="249"/>
      <c r="K1016" s="111"/>
      <c r="L1016" s="111"/>
    </row>
    <row r="1017" spans="1:14" s="230" customFormat="1" ht="15.75" x14ac:dyDescent="0.25">
      <c r="A1017" s="25" t="s">
        <v>144</v>
      </c>
      <c r="B1017" s="16">
        <v>908</v>
      </c>
      <c r="C1017" s="20" t="s">
        <v>249</v>
      </c>
      <c r="D1017" s="20" t="s">
        <v>249</v>
      </c>
      <c r="E1017" s="20" t="s">
        <v>910</v>
      </c>
      <c r="F1017" s="20" t="s">
        <v>145</v>
      </c>
      <c r="G1017" s="415">
        <v>336</v>
      </c>
      <c r="H1017" s="26"/>
      <c r="I1017" s="26"/>
      <c r="J1017" s="249"/>
      <c r="K1017" s="111"/>
      <c r="L1017" s="111"/>
    </row>
    <row r="1018" spans="1:14" ht="15.75" x14ac:dyDescent="0.25">
      <c r="A1018" s="23" t="s">
        <v>156</v>
      </c>
      <c r="B1018" s="19">
        <v>908</v>
      </c>
      <c r="C1018" s="24" t="s">
        <v>249</v>
      </c>
      <c r="D1018" s="24" t="s">
        <v>249</v>
      </c>
      <c r="E1018" s="24" t="s">
        <v>914</v>
      </c>
      <c r="F1018" s="24"/>
      <c r="G1018" s="416">
        <f>G1019+G1026</f>
        <v>10761</v>
      </c>
      <c r="H1018" s="21">
        <f t="shared" ref="H1018:I1018" si="507">H1019+H1026</f>
        <v>16030.099999999999</v>
      </c>
      <c r="I1018" s="21">
        <f t="shared" si="507"/>
        <v>16030.099999999999</v>
      </c>
      <c r="L1018" s="111"/>
    </row>
    <row r="1019" spans="1:14" s="230" customFormat="1" ht="31.5" x14ac:dyDescent="0.25">
      <c r="A1019" s="23" t="s">
        <v>918</v>
      </c>
      <c r="B1019" s="19">
        <v>908</v>
      </c>
      <c r="C1019" s="24" t="s">
        <v>249</v>
      </c>
      <c r="D1019" s="24" t="s">
        <v>249</v>
      </c>
      <c r="E1019" s="24" t="s">
        <v>913</v>
      </c>
      <c r="F1019" s="24"/>
      <c r="G1019" s="416">
        <f>G1020+G1023</f>
        <v>982</v>
      </c>
      <c r="H1019" s="21">
        <f t="shared" ref="H1019:I1019" si="508">H1020+H1023</f>
        <v>6982.2</v>
      </c>
      <c r="I1019" s="21">
        <f t="shared" si="508"/>
        <v>6982.2</v>
      </c>
      <c r="J1019" s="212"/>
      <c r="K1019" s="111"/>
      <c r="L1019" s="111"/>
    </row>
    <row r="1020" spans="1:14" ht="15.75" x14ac:dyDescent="0.25">
      <c r="A1020" s="25" t="s">
        <v>585</v>
      </c>
      <c r="B1020" s="16">
        <v>908</v>
      </c>
      <c r="C1020" s="20" t="s">
        <v>249</v>
      </c>
      <c r="D1020" s="20" t="s">
        <v>249</v>
      </c>
      <c r="E1020" s="20" t="s">
        <v>1137</v>
      </c>
      <c r="F1020" s="20"/>
      <c r="G1020" s="419">
        <f>G1021</f>
        <v>982</v>
      </c>
      <c r="H1020" s="27">
        <f t="shared" ref="H1020:I1021" si="509">H1021</f>
        <v>982.2</v>
      </c>
      <c r="I1020" s="27">
        <f t="shared" si="509"/>
        <v>982.2</v>
      </c>
      <c r="L1020" s="111"/>
    </row>
    <row r="1021" spans="1:14" ht="15.75" x14ac:dyDescent="0.25">
      <c r="A1021" s="25" t="s">
        <v>150</v>
      </c>
      <c r="B1021" s="16">
        <v>908</v>
      </c>
      <c r="C1021" s="20" t="s">
        <v>249</v>
      </c>
      <c r="D1021" s="20" t="s">
        <v>249</v>
      </c>
      <c r="E1021" s="20" t="s">
        <v>1137</v>
      </c>
      <c r="F1021" s="20" t="s">
        <v>160</v>
      </c>
      <c r="G1021" s="419">
        <f>G1022</f>
        <v>982</v>
      </c>
      <c r="H1021" s="27">
        <f t="shared" si="509"/>
        <v>982.2</v>
      </c>
      <c r="I1021" s="27">
        <f t="shared" si="509"/>
        <v>982.2</v>
      </c>
      <c r="L1021" s="111"/>
    </row>
    <row r="1022" spans="1:14" ht="47.25" customHeight="1" x14ac:dyDescent="0.25">
      <c r="A1022" s="25" t="s">
        <v>199</v>
      </c>
      <c r="B1022" s="16">
        <v>908</v>
      </c>
      <c r="C1022" s="20" t="s">
        <v>249</v>
      </c>
      <c r="D1022" s="20" t="s">
        <v>249</v>
      </c>
      <c r="E1022" s="20" t="s">
        <v>1137</v>
      </c>
      <c r="F1022" s="20" t="s">
        <v>175</v>
      </c>
      <c r="G1022" s="419">
        <v>982</v>
      </c>
      <c r="H1022" s="27">
        <f t="shared" ref="H1022:I1022" si="510">982.2</f>
        <v>982.2</v>
      </c>
      <c r="I1022" s="27">
        <f t="shared" si="510"/>
        <v>982.2</v>
      </c>
      <c r="J1022" s="240"/>
      <c r="K1022" s="225"/>
      <c r="L1022" s="111"/>
    </row>
    <row r="1023" spans="1:14" s="230" customFormat="1" ht="37.5" hidden="1" customHeight="1" x14ac:dyDescent="0.25">
      <c r="A1023" s="25" t="s">
        <v>869</v>
      </c>
      <c r="B1023" s="16">
        <v>908</v>
      </c>
      <c r="C1023" s="20" t="s">
        <v>249</v>
      </c>
      <c r="D1023" s="20" t="s">
        <v>249</v>
      </c>
      <c r="E1023" s="20" t="s">
        <v>1262</v>
      </c>
      <c r="F1023" s="20"/>
      <c r="G1023" s="419">
        <f>G1024</f>
        <v>0</v>
      </c>
      <c r="H1023" s="27">
        <f t="shared" ref="H1023:I1024" si="511">H1024</f>
        <v>6000</v>
      </c>
      <c r="I1023" s="27">
        <f t="shared" si="511"/>
        <v>6000</v>
      </c>
      <c r="J1023" s="249"/>
      <c r="K1023" s="267"/>
      <c r="L1023" s="111"/>
    </row>
    <row r="1024" spans="1:14" s="230" customFormat="1" ht="21.75" hidden="1" customHeight="1" x14ac:dyDescent="0.25">
      <c r="A1024" s="25" t="s">
        <v>150</v>
      </c>
      <c r="B1024" s="16">
        <v>908</v>
      </c>
      <c r="C1024" s="20" t="s">
        <v>249</v>
      </c>
      <c r="D1024" s="20" t="s">
        <v>249</v>
      </c>
      <c r="E1024" s="20" t="s">
        <v>1262</v>
      </c>
      <c r="F1024" s="20" t="s">
        <v>160</v>
      </c>
      <c r="G1024" s="419">
        <f>G1025</f>
        <v>0</v>
      </c>
      <c r="H1024" s="27">
        <f t="shared" si="511"/>
        <v>6000</v>
      </c>
      <c r="I1024" s="27">
        <f t="shared" si="511"/>
        <v>6000</v>
      </c>
      <c r="J1024" s="249"/>
      <c r="K1024" s="267"/>
      <c r="L1024" s="111"/>
    </row>
    <row r="1025" spans="1:13" s="230" customFormat="1" ht="47.25" hidden="1" customHeight="1" x14ac:dyDescent="0.25">
      <c r="A1025" s="25" t="s">
        <v>199</v>
      </c>
      <c r="B1025" s="16">
        <v>908</v>
      </c>
      <c r="C1025" s="20" t="s">
        <v>249</v>
      </c>
      <c r="D1025" s="20" t="s">
        <v>249</v>
      </c>
      <c r="E1025" s="20" t="s">
        <v>1262</v>
      </c>
      <c r="F1025" s="20" t="s">
        <v>175</v>
      </c>
      <c r="G1025" s="419">
        <v>0</v>
      </c>
      <c r="H1025" s="27">
        <v>6000</v>
      </c>
      <c r="I1025" s="27">
        <v>6000</v>
      </c>
      <c r="J1025" s="249"/>
      <c r="K1025" s="267"/>
      <c r="L1025" s="111"/>
    </row>
    <row r="1026" spans="1:13" s="230" customFormat="1" ht="36.75" customHeight="1" x14ac:dyDescent="0.25">
      <c r="A1026" s="23" t="s">
        <v>1006</v>
      </c>
      <c r="B1026" s="19">
        <v>908</v>
      </c>
      <c r="C1026" s="24" t="s">
        <v>249</v>
      </c>
      <c r="D1026" s="24" t="s">
        <v>249</v>
      </c>
      <c r="E1026" s="24" t="s">
        <v>989</v>
      </c>
      <c r="F1026" s="24"/>
      <c r="G1026" s="315">
        <f>G1027+G1032</f>
        <v>9779</v>
      </c>
      <c r="H1026" s="44">
        <f t="shared" ref="H1026:I1026" si="512">H1027+H1032</f>
        <v>9047.9</v>
      </c>
      <c r="I1026" s="44">
        <f t="shared" si="512"/>
        <v>9047.9</v>
      </c>
      <c r="J1026" s="249"/>
      <c r="K1026" s="267"/>
      <c r="L1026" s="111"/>
    </row>
    <row r="1027" spans="1:13" ht="15.75" x14ac:dyDescent="0.25">
      <c r="A1027" s="25" t="s">
        <v>976</v>
      </c>
      <c r="B1027" s="16">
        <v>908</v>
      </c>
      <c r="C1027" s="20" t="s">
        <v>249</v>
      </c>
      <c r="D1027" s="20" t="s">
        <v>249</v>
      </c>
      <c r="E1027" s="20" t="s">
        <v>990</v>
      </c>
      <c r="F1027" s="20"/>
      <c r="G1027" s="415">
        <f>G1028+G1030</f>
        <v>9359</v>
      </c>
      <c r="H1027" s="26">
        <f t="shared" ref="H1027:I1027" si="513">H1028+H1030</f>
        <v>9047.9</v>
      </c>
      <c r="I1027" s="26">
        <f t="shared" si="513"/>
        <v>9047.9</v>
      </c>
      <c r="K1027" s="1"/>
      <c r="L1027" s="111"/>
    </row>
    <row r="1028" spans="1:13" ht="69.75" customHeight="1" x14ac:dyDescent="0.25">
      <c r="A1028" s="25" t="s">
        <v>142</v>
      </c>
      <c r="B1028" s="16">
        <v>908</v>
      </c>
      <c r="C1028" s="20" t="s">
        <v>249</v>
      </c>
      <c r="D1028" s="20" t="s">
        <v>249</v>
      </c>
      <c r="E1028" s="20" t="s">
        <v>990</v>
      </c>
      <c r="F1028" s="20" t="s">
        <v>143</v>
      </c>
      <c r="G1028" s="415">
        <f>G1029</f>
        <v>8047</v>
      </c>
      <c r="H1028" s="26">
        <f t="shared" ref="H1028:I1028" si="514">H1029</f>
        <v>7255.7</v>
      </c>
      <c r="I1028" s="26">
        <f t="shared" si="514"/>
        <v>7255.7</v>
      </c>
      <c r="K1028" s="1"/>
      <c r="L1028" s="111"/>
    </row>
    <row r="1029" spans="1:13" ht="29.25" customHeight="1" x14ac:dyDescent="0.25">
      <c r="A1029" s="25" t="s">
        <v>357</v>
      </c>
      <c r="B1029" s="16">
        <v>908</v>
      </c>
      <c r="C1029" s="20" t="s">
        <v>249</v>
      </c>
      <c r="D1029" s="20" t="s">
        <v>249</v>
      </c>
      <c r="E1029" s="20" t="s">
        <v>990</v>
      </c>
      <c r="F1029" s="20" t="s">
        <v>224</v>
      </c>
      <c r="G1029" s="419">
        <v>8047</v>
      </c>
      <c r="H1029" s="27">
        <v>7255.7</v>
      </c>
      <c r="I1029" s="27">
        <v>7255.7</v>
      </c>
      <c r="J1029" s="313"/>
      <c r="K1029" s="225"/>
      <c r="L1029" s="332">
        <v>8047</v>
      </c>
      <c r="M1029" s="1" t="s">
        <v>1393</v>
      </c>
    </row>
    <row r="1030" spans="1:13" ht="15.75" x14ac:dyDescent="0.25">
      <c r="A1030" s="25" t="s">
        <v>146</v>
      </c>
      <c r="B1030" s="16">
        <v>908</v>
      </c>
      <c r="C1030" s="20" t="s">
        <v>249</v>
      </c>
      <c r="D1030" s="20" t="s">
        <v>249</v>
      </c>
      <c r="E1030" s="20" t="s">
        <v>990</v>
      </c>
      <c r="F1030" s="20" t="s">
        <v>147</v>
      </c>
      <c r="G1030" s="415">
        <f>G1031</f>
        <v>1312</v>
      </c>
      <c r="H1030" s="26">
        <f t="shared" ref="H1030:I1030" si="515">H1031</f>
        <v>1792.2</v>
      </c>
      <c r="I1030" s="26">
        <f t="shared" si="515"/>
        <v>1792.2</v>
      </c>
      <c r="L1030" s="111"/>
    </row>
    <row r="1031" spans="1:13" ht="31.5" x14ac:dyDescent="0.25">
      <c r="A1031" s="25" t="s">
        <v>148</v>
      </c>
      <c r="B1031" s="16">
        <v>908</v>
      </c>
      <c r="C1031" s="20" t="s">
        <v>249</v>
      </c>
      <c r="D1031" s="20" t="s">
        <v>249</v>
      </c>
      <c r="E1031" s="20" t="s">
        <v>990</v>
      </c>
      <c r="F1031" s="20" t="s">
        <v>149</v>
      </c>
      <c r="G1031" s="419">
        <v>1312</v>
      </c>
      <c r="H1031" s="27">
        <f t="shared" ref="H1031:I1031" si="516">3670-1877.8</f>
        <v>1792.2</v>
      </c>
      <c r="I1031" s="27">
        <f t="shared" si="516"/>
        <v>1792.2</v>
      </c>
      <c r="J1031" s="240"/>
      <c r="L1031" s="111"/>
    </row>
    <row r="1032" spans="1:13" s="230" customFormat="1" ht="31.5" x14ac:dyDescent="0.25">
      <c r="A1032" s="25" t="s">
        <v>886</v>
      </c>
      <c r="B1032" s="16">
        <v>908</v>
      </c>
      <c r="C1032" s="20" t="s">
        <v>249</v>
      </c>
      <c r="D1032" s="20" t="s">
        <v>249</v>
      </c>
      <c r="E1032" s="20" t="s">
        <v>991</v>
      </c>
      <c r="F1032" s="20"/>
      <c r="G1032" s="415">
        <f>G1033</f>
        <v>420</v>
      </c>
      <c r="H1032" s="26">
        <f t="shared" ref="H1032:I1033" si="517">H1033</f>
        <v>0</v>
      </c>
      <c r="I1032" s="26">
        <f t="shared" si="517"/>
        <v>0</v>
      </c>
      <c r="J1032" s="249"/>
      <c r="K1032" s="111"/>
      <c r="L1032" s="111"/>
    </row>
    <row r="1033" spans="1:13" s="230" customFormat="1" ht="47.25" x14ac:dyDescent="0.25">
      <c r="A1033" s="25" t="s">
        <v>142</v>
      </c>
      <c r="B1033" s="16">
        <v>908</v>
      </c>
      <c r="C1033" s="20" t="s">
        <v>249</v>
      </c>
      <c r="D1033" s="20" t="s">
        <v>249</v>
      </c>
      <c r="E1033" s="20" t="s">
        <v>991</v>
      </c>
      <c r="F1033" s="20" t="s">
        <v>143</v>
      </c>
      <c r="G1033" s="415">
        <f>G1034</f>
        <v>420</v>
      </c>
      <c r="H1033" s="26">
        <f t="shared" si="517"/>
        <v>0</v>
      </c>
      <c r="I1033" s="26">
        <f t="shared" si="517"/>
        <v>0</v>
      </c>
      <c r="J1033" s="249"/>
      <c r="K1033" s="111"/>
      <c r="L1033" s="111"/>
    </row>
    <row r="1034" spans="1:13" s="230" customFormat="1" ht="15.75" x14ac:dyDescent="0.25">
      <c r="A1034" s="25" t="s">
        <v>357</v>
      </c>
      <c r="B1034" s="16">
        <v>908</v>
      </c>
      <c r="C1034" s="20" t="s">
        <v>249</v>
      </c>
      <c r="D1034" s="20" t="s">
        <v>249</v>
      </c>
      <c r="E1034" s="20" t="s">
        <v>991</v>
      </c>
      <c r="F1034" s="20" t="s">
        <v>224</v>
      </c>
      <c r="G1034" s="415">
        <v>420</v>
      </c>
      <c r="H1034" s="26"/>
      <c r="I1034" s="26"/>
      <c r="J1034" s="249"/>
      <c r="K1034" s="111"/>
      <c r="L1034" s="111"/>
    </row>
    <row r="1035" spans="1:13" s="230" customFormat="1" ht="47.25" x14ac:dyDescent="0.25">
      <c r="A1035" s="34" t="s">
        <v>804</v>
      </c>
      <c r="B1035" s="19">
        <v>908</v>
      </c>
      <c r="C1035" s="24" t="s">
        <v>249</v>
      </c>
      <c r="D1035" s="24" t="s">
        <v>249</v>
      </c>
      <c r="E1035" s="24" t="s">
        <v>339</v>
      </c>
      <c r="F1035" s="24"/>
      <c r="G1035" s="416">
        <f>G1036</f>
        <v>57</v>
      </c>
      <c r="H1035" s="26"/>
      <c r="I1035" s="26"/>
      <c r="J1035" s="249"/>
      <c r="K1035" s="111"/>
      <c r="L1035" s="111"/>
    </row>
    <row r="1036" spans="1:13" s="230" customFormat="1" ht="31.5" x14ac:dyDescent="0.25">
      <c r="A1036" s="34" t="s">
        <v>1168</v>
      </c>
      <c r="B1036" s="19">
        <v>908</v>
      </c>
      <c r="C1036" s="24" t="s">
        <v>249</v>
      </c>
      <c r="D1036" s="24" t="s">
        <v>249</v>
      </c>
      <c r="E1036" s="24" t="s">
        <v>1030</v>
      </c>
      <c r="F1036" s="24"/>
      <c r="G1036" s="416">
        <f>G1037</f>
        <v>57</v>
      </c>
      <c r="H1036" s="26"/>
      <c r="I1036" s="26"/>
      <c r="J1036" s="249"/>
      <c r="K1036" s="111"/>
      <c r="L1036" s="111"/>
    </row>
    <row r="1037" spans="1:13" s="230" customFormat="1" ht="31.5" x14ac:dyDescent="0.25">
      <c r="A1037" s="31" t="s">
        <v>1284</v>
      </c>
      <c r="B1037" s="16">
        <v>908</v>
      </c>
      <c r="C1037" s="20" t="s">
        <v>249</v>
      </c>
      <c r="D1037" s="20" t="s">
        <v>249</v>
      </c>
      <c r="E1037" s="20" t="s">
        <v>1200</v>
      </c>
      <c r="F1037" s="20"/>
      <c r="G1037" s="415">
        <f>G1038</f>
        <v>57</v>
      </c>
      <c r="H1037" s="26"/>
      <c r="I1037" s="26"/>
      <c r="J1037" s="249"/>
      <c r="K1037" s="111"/>
      <c r="L1037" s="111"/>
    </row>
    <row r="1038" spans="1:13" s="230" customFormat="1" ht="15.75" x14ac:dyDescent="0.25">
      <c r="A1038" s="25" t="s">
        <v>146</v>
      </c>
      <c r="B1038" s="16">
        <v>908</v>
      </c>
      <c r="C1038" s="20" t="s">
        <v>249</v>
      </c>
      <c r="D1038" s="20" t="s">
        <v>249</v>
      </c>
      <c r="E1038" s="20" t="s">
        <v>1200</v>
      </c>
      <c r="F1038" s="20" t="s">
        <v>147</v>
      </c>
      <c r="G1038" s="415">
        <f>G1039</f>
        <v>57</v>
      </c>
      <c r="H1038" s="26"/>
      <c r="I1038" s="26"/>
      <c r="J1038" s="249"/>
      <c r="K1038" s="111"/>
      <c r="L1038" s="111"/>
    </row>
    <row r="1039" spans="1:13" s="230" customFormat="1" ht="31.5" x14ac:dyDescent="0.25">
      <c r="A1039" s="25" t="s">
        <v>148</v>
      </c>
      <c r="B1039" s="16">
        <v>908</v>
      </c>
      <c r="C1039" s="20" t="s">
        <v>249</v>
      </c>
      <c r="D1039" s="20" t="s">
        <v>249</v>
      </c>
      <c r="E1039" s="20" t="s">
        <v>1200</v>
      </c>
      <c r="F1039" s="20" t="s">
        <v>149</v>
      </c>
      <c r="G1039" s="415">
        <v>57</v>
      </c>
      <c r="H1039" s="26"/>
      <c r="I1039" s="26"/>
      <c r="J1039" s="249"/>
      <c r="K1039" s="111"/>
      <c r="L1039" s="111"/>
    </row>
    <row r="1040" spans="1:13" ht="15.75" x14ac:dyDescent="0.25">
      <c r="A1040" s="23" t="s">
        <v>258</v>
      </c>
      <c r="B1040" s="19">
        <v>908</v>
      </c>
      <c r="C1040" s="24" t="s">
        <v>259</v>
      </c>
      <c r="D1040" s="24"/>
      <c r="E1040" s="24"/>
      <c r="F1040" s="24"/>
      <c r="G1040" s="416">
        <f t="shared" ref="G1040:I1042" si="518">G1041</f>
        <v>87</v>
      </c>
      <c r="H1040" s="21">
        <f t="shared" si="518"/>
        <v>87.1</v>
      </c>
      <c r="I1040" s="21">
        <f t="shared" si="518"/>
        <v>87.1</v>
      </c>
      <c r="L1040" s="111"/>
    </row>
    <row r="1041" spans="1:13" ht="15.75" x14ac:dyDescent="0.25">
      <c r="A1041" s="23" t="s">
        <v>273</v>
      </c>
      <c r="B1041" s="19">
        <v>908</v>
      </c>
      <c r="C1041" s="24" t="s">
        <v>259</v>
      </c>
      <c r="D1041" s="24" t="s">
        <v>135</v>
      </c>
      <c r="E1041" s="24"/>
      <c r="F1041" s="24"/>
      <c r="G1041" s="416">
        <f t="shared" si="518"/>
        <v>87</v>
      </c>
      <c r="H1041" s="21">
        <f t="shared" si="518"/>
        <v>87.1</v>
      </c>
      <c r="I1041" s="21">
        <f t="shared" si="518"/>
        <v>87.1</v>
      </c>
      <c r="L1041" s="111"/>
    </row>
    <row r="1042" spans="1:13" ht="15.75" x14ac:dyDescent="0.25">
      <c r="A1042" s="23" t="s">
        <v>156</v>
      </c>
      <c r="B1042" s="19">
        <v>908</v>
      </c>
      <c r="C1042" s="24" t="s">
        <v>259</v>
      </c>
      <c r="D1042" s="24" t="s">
        <v>135</v>
      </c>
      <c r="E1042" s="24" t="s">
        <v>914</v>
      </c>
      <c r="F1042" s="24"/>
      <c r="G1042" s="416">
        <f>G1043</f>
        <v>87</v>
      </c>
      <c r="H1042" s="21">
        <f t="shared" si="518"/>
        <v>87.1</v>
      </c>
      <c r="I1042" s="21">
        <f t="shared" si="518"/>
        <v>87.1</v>
      </c>
      <c r="L1042" s="111"/>
    </row>
    <row r="1043" spans="1:13" ht="15.75" hidden="1" x14ac:dyDescent="0.25">
      <c r="A1043" s="23" t="s">
        <v>156</v>
      </c>
      <c r="B1043" s="19">
        <v>908</v>
      </c>
      <c r="C1043" s="24" t="s">
        <v>259</v>
      </c>
      <c r="D1043" s="24" t="s">
        <v>135</v>
      </c>
      <c r="E1043" s="24" t="s">
        <v>913</v>
      </c>
      <c r="F1043" s="24"/>
      <c r="G1043" s="416">
        <f>G1044</f>
        <v>87</v>
      </c>
      <c r="H1043" s="21">
        <f t="shared" ref="H1043:I1043" si="519">H1044</f>
        <v>87.1</v>
      </c>
      <c r="I1043" s="21">
        <f t="shared" si="519"/>
        <v>87.1</v>
      </c>
      <c r="L1043" s="111"/>
    </row>
    <row r="1044" spans="1:13" ht="31.5" x14ac:dyDescent="0.25">
      <c r="A1044" s="23" t="s">
        <v>918</v>
      </c>
      <c r="B1044" s="19">
        <v>908</v>
      </c>
      <c r="C1044" s="24" t="s">
        <v>259</v>
      </c>
      <c r="D1044" s="24" t="s">
        <v>135</v>
      </c>
      <c r="E1044" s="24" t="s">
        <v>913</v>
      </c>
      <c r="F1044" s="24"/>
      <c r="G1044" s="416">
        <f>G1045</f>
        <v>87</v>
      </c>
      <c r="H1044" s="21">
        <f t="shared" ref="H1044:I1046" si="520">H1045</f>
        <v>87.1</v>
      </c>
      <c r="I1044" s="21">
        <f t="shared" si="520"/>
        <v>87.1</v>
      </c>
      <c r="L1044" s="111"/>
    </row>
    <row r="1045" spans="1:13" ht="15.75" x14ac:dyDescent="0.25">
      <c r="A1045" s="25" t="s">
        <v>587</v>
      </c>
      <c r="B1045" s="16">
        <v>908</v>
      </c>
      <c r="C1045" s="20" t="s">
        <v>259</v>
      </c>
      <c r="D1045" s="20" t="s">
        <v>135</v>
      </c>
      <c r="E1045" s="20" t="s">
        <v>1138</v>
      </c>
      <c r="F1045" s="20"/>
      <c r="G1045" s="415">
        <f>G1046</f>
        <v>87</v>
      </c>
      <c r="H1045" s="26">
        <f t="shared" si="520"/>
        <v>87.1</v>
      </c>
      <c r="I1045" s="26">
        <f t="shared" si="520"/>
        <v>87.1</v>
      </c>
      <c r="L1045" s="111"/>
    </row>
    <row r="1046" spans="1:13" ht="15.75" x14ac:dyDescent="0.25">
      <c r="A1046" s="25" t="s">
        <v>146</v>
      </c>
      <c r="B1046" s="16">
        <v>908</v>
      </c>
      <c r="C1046" s="20" t="s">
        <v>259</v>
      </c>
      <c r="D1046" s="20" t="s">
        <v>135</v>
      </c>
      <c r="E1046" s="20" t="s">
        <v>1138</v>
      </c>
      <c r="F1046" s="20" t="s">
        <v>147</v>
      </c>
      <c r="G1046" s="415">
        <f>G1047</f>
        <v>87</v>
      </c>
      <c r="H1046" s="26">
        <f t="shared" si="520"/>
        <v>87.1</v>
      </c>
      <c r="I1046" s="26">
        <f t="shared" si="520"/>
        <v>87.1</v>
      </c>
      <c r="L1046" s="111"/>
    </row>
    <row r="1047" spans="1:13" ht="31.5" x14ac:dyDescent="0.25">
      <c r="A1047" s="25" t="s">
        <v>148</v>
      </c>
      <c r="B1047" s="16">
        <v>908</v>
      </c>
      <c r="C1047" s="20" t="s">
        <v>259</v>
      </c>
      <c r="D1047" s="20" t="s">
        <v>135</v>
      </c>
      <c r="E1047" s="20" t="s">
        <v>1138</v>
      </c>
      <c r="F1047" s="20" t="s">
        <v>149</v>
      </c>
      <c r="G1047" s="415">
        <v>87</v>
      </c>
      <c r="H1047" s="26">
        <v>87.1</v>
      </c>
      <c r="I1047" s="26">
        <v>87.1</v>
      </c>
      <c r="L1047" s="111"/>
    </row>
    <row r="1048" spans="1:13" ht="33" customHeight="1" x14ac:dyDescent="0.25">
      <c r="A1048" s="19" t="s">
        <v>589</v>
      </c>
      <c r="B1048" s="19">
        <v>910</v>
      </c>
      <c r="C1048" s="47"/>
      <c r="D1048" s="47"/>
      <c r="E1048" s="47"/>
      <c r="F1048" s="47"/>
      <c r="G1048" s="416">
        <f>G1049</f>
        <v>7005.5</v>
      </c>
      <c r="H1048" s="21">
        <f t="shared" ref="H1048:I1048" si="521">H1049</f>
        <v>8523.7000000000007</v>
      </c>
      <c r="I1048" s="21">
        <f t="shared" si="521"/>
        <v>8523.7000000000007</v>
      </c>
      <c r="J1048" s="242">
        <f>G1048-G1066</f>
        <v>6980.5</v>
      </c>
      <c r="L1048" s="111"/>
    </row>
    <row r="1049" spans="1:13" ht="15.75" x14ac:dyDescent="0.25">
      <c r="A1049" s="23" t="s">
        <v>132</v>
      </c>
      <c r="B1049" s="19">
        <v>910</v>
      </c>
      <c r="C1049" s="24" t="s">
        <v>133</v>
      </c>
      <c r="D1049" s="24"/>
      <c r="E1049" s="24"/>
      <c r="F1049" s="24"/>
      <c r="G1049" s="416">
        <f>G1050+G1069+G1080</f>
        <v>7005.5</v>
      </c>
      <c r="H1049" s="21">
        <f>H1050+H1069+H1080</f>
        <v>8523.7000000000007</v>
      </c>
      <c r="I1049" s="21">
        <f>I1050+I1069+I1080</f>
        <v>8523.7000000000007</v>
      </c>
      <c r="L1049" s="111"/>
    </row>
    <row r="1050" spans="1:13" ht="36" customHeight="1" x14ac:dyDescent="0.25">
      <c r="A1050" s="23" t="s">
        <v>590</v>
      </c>
      <c r="B1050" s="19">
        <v>910</v>
      </c>
      <c r="C1050" s="24" t="s">
        <v>133</v>
      </c>
      <c r="D1050" s="24" t="s">
        <v>228</v>
      </c>
      <c r="E1050" s="24"/>
      <c r="F1050" s="24"/>
      <c r="G1050" s="416">
        <f>G1051+G1061</f>
        <v>4268.5</v>
      </c>
      <c r="H1050" s="21">
        <f t="shared" ref="H1050:I1050" si="522">H1051+H1061</f>
        <v>4356.3</v>
      </c>
      <c r="I1050" s="21">
        <f t="shared" si="522"/>
        <v>4356.3</v>
      </c>
      <c r="L1050" s="111"/>
    </row>
    <row r="1051" spans="1:13" ht="15.75" x14ac:dyDescent="0.25">
      <c r="A1051" s="23" t="s">
        <v>992</v>
      </c>
      <c r="B1051" s="19">
        <v>910</v>
      </c>
      <c r="C1051" s="24" t="s">
        <v>133</v>
      </c>
      <c r="D1051" s="24" t="s">
        <v>228</v>
      </c>
      <c r="E1051" s="24" t="s">
        <v>906</v>
      </c>
      <c r="F1051" s="24"/>
      <c r="G1051" s="416">
        <f>G1052</f>
        <v>4243</v>
      </c>
      <c r="H1051" s="21">
        <f t="shared" ref="H1051:I1051" si="523">H1052</f>
        <v>4330.8</v>
      </c>
      <c r="I1051" s="21">
        <f t="shared" si="523"/>
        <v>4330.8</v>
      </c>
      <c r="L1051" s="111"/>
    </row>
    <row r="1052" spans="1:13" ht="15.75" x14ac:dyDescent="0.25">
      <c r="A1052" s="23" t="s">
        <v>1139</v>
      </c>
      <c r="B1052" s="19">
        <v>910</v>
      </c>
      <c r="C1052" s="24" t="s">
        <v>133</v>
      </c>
      <c r="D1052" s="24" t="s">
        <v>228</v>
      </c>
      <c r="E1052" s="24" t="s">
        <v>1140</v>
      </c>
      <c r="F1052" s="24"/>
      <c r="G1052" s="416">
        <f>G1053+G1058</f>
        <v>4243</v>
      </c>
      <c r="H1052" s="21">
        <f t="shared" ref="H1052:I1052" si="524">H1053+H1058</f>
        <v>4330.8</v>
      </c>
      <c r="I1052" s="21">
        <f t="shared" si="524"/>
        <v>4330.8</v>
      </c>
      <c r="L1052" s="111"/>
    </row>
    <row r="1053" spans="1:13" ht="31.5" x14ac:dyDescent="0.25">
      <c r="A1053" s="25" t="s">
        <v>591</v>
      </c>
      <c r="B1053" s="16">
        <v>910</v>
      </c>
      <c r="C1053" s="20" t="s">
        <v>133</v>
      </c>
      <c r="D1053" s="20" t="s">
        <v>228</v>
      </c>
      <c r="E1053" s="20" t="s">
        <v>1141</v>
      </c>
      <c r="F1053" s="20"/>
      <c r="G1053" s="415">
        <f>G1054+G1056</f>
        <v>4201</v>
      </c>
      <c r="H1053" s="26">
        <f t="shared" ref="H1053:I1053" si="525">H1054+H1056</f>
        <v>4330.8</v>
      </c>
      <c r="I1053" s="26">
        <f t="shared" si="525"/>
        <v>4330.8</v>
      </c>
      <c r="L1053" s="111"/>
    </row>
    <row r="1054" spans="1:13" ht="47.25" x14ac:dyDescent="0.25">
      <c r="A1054" s="25" t="s">
        <v>142</v>
      </c>
      <c r="B1054" s="16">
        <v>910</v>
      </c>
      <c r="C1054" s="20" t="s">
        <v>133</v>
      </c>
      <c r="D1054" s="20" t="s">
        <v>228</v>
      </c>
      <c r="E1054" s="20" t="s">
        <v>1141</v>
      </c>
      <c r="F1054" s="20" t="s">
        <v>143</v>
      </c>
      <c r="G1054" s="415">
        <f>G1055</f>
        <v>4111</v>
      </c>
      <c r="H1054" s="26">
        <f t="shared" ref="H1054:I1054" si="526">H1055</f>
        <v>4309.8</v>
      </c>
      <c r="I1054" s="26">
        <f t="shared" si="526"/>
        <v>4309.8</v>
      </c>
      <c r="L1054" s="111"/>
    </row>
    <row r="1055" spans="1:13" ht="25.5" x14ac:dyDescent="0.25">
      <c r="A1055" s="25" t="s">
        <v>144</v>
      </c>
      <c r="B1055" s="16">
        <v>910</v>
      </c>
      <c r="C1055" s="20" t="s">
        <v>133</v>
      </c>
      <c r="D1055" s="20" t="s">
        <v>228</v>
      </c>
      <c r="E1055" s="20" t="s">
        <v>1141</v>
      </c>
      <c r="F1055" s="20" t="s">
        <v>145</v>
      </c>
      <c r="G1055" s="419">
        <v>4111</v>
      </c>
      <c r="H1055" s="27">
        <f t="shared" ref="H1055:I1055" si="527">4581.8-522.1+250.1</f>
        <v>4309.8</v>
      </c>
      <c r="I1055" s="27">
        <f t="shared" si="527"/>
        <v>4309.8</v>
      </c>
      <c r="J1055" s="313" t="s">
        <v>888</v>
      </c>
      <c r="K1055" s="111">
        <v>1.0429999999999999</v>
      </c>
      <c r="L1055" s="332">
        <v>4111</v>
      </c>
      <c r="M1055" s="1" t="s">
        <v>1392</v>
      </c>
    </row>
    <row r="1056" spans="1:13" ht="34.5" customHeight="1" x14ac:dyDescent="0.25">
      <c r="A1056" s="25" t="s">
        <v>213</v>
      </c>
      <c r="B1056" s="16">
        <v>910</v>
      </c>
      <c r="C1056" s="20" t="s">
        <v>133</v>
      </c>
      <c r="D1056" s="20" t="s">
        <v>228</v>
      </c>
      <c r="E1056" s="20" t="s">
        <v>1141</v>
      </c>
      <c r="F1056" s="20" t="s">
        <v>147</v>
      </c>
      <c r="G1056" s="415">
        <f>G1057</f>
        <v>90</v>
      </c>
      <c r="H1056" s="26">
        <f t="shared" ref="H1056:I1056" si="528">H1057</f>
        <v>21</v>
      </c>
      <c r="I1056" s="26">
        <f t="shared" si="528"/>
        <v>21</v>
      </c>
      <c r="L1056" s="111"/>
    </row>
    <row r="1057" spans="1:12" ht="30" customHeight="1" x14ac:dyDescent="0.25">
      <c r="A1057" s="25" t="s">
        <v>148</v>
      </c>
      <c r="B1057" s="16">
        <v>910</v>
      </c>
      <c r="C1057" s="20" t="s">
        <v>133</v>
      </c>
      <c r="D1057" s="20" t="s">
        <v>228</v>
      </c>
      <c r="E1057" s="20" t="s">
        <v>1141</v>
      </c>
      <c r="F1057" s="20" t="s">
        <v>149</v>
      </c>
      <c r="G1057" s="415">
        <f>21+69</f>
        <v>90</v>
      </c>
      <c r="H1057" s="26">
        <v>21</v>
      </c>
      <c r="I1057" s="26">
        <v>21</v>
      </c>
      <c r="L1057" s="111"/>
    </row>
    <row r="1058" spans="1:12" s="230" customFormat="1" ht="30" customHeight="1" x14ac:dyDescent="0.25">
      <c r="A1058" s="25" t="s">
        <v>886</v>
      </c>
      <c r="B1058" s="16">
        <v>910</v>
      </c>
      <c r="C1058" s="20" t="s">
        <v>133</v>
      </c>
      <c r="D1058" s="20" t="s">
        <v>228</v>
      </c>
      <c r="E1058" s="20" t="s">
        <v>1142</v>
      </c>
      <c r="F1058" s="20"/>
      <c r="G1058" s="415">
        <f>G1059</f>
        <v>42</v>
      </c>
      <c r="H1058" s="26">
        <f t="shared" ref="H1058:I1059" si="529">H1059</f>
        <v>0</v>
      </c>
      <c r="I1058" s="26">
        <f t="shared" si="529"/>
        <v>0</v>
      </c>
      <c r="J1058" s="212"/>
      <c r="K1058" s="111"/>
      <c r="L1058" s="111"/>
    </row>
    <row r="1059" spans="1:12" s="230" customFormat="1" ht="30" customHeight="1" x14ac:dyDescent="0.25">
      <c r="A1059" s="25" t="s">
        <v>142</v>
      </c>
      <c r="B1059" s="16">
        <v>910</v>
      </c>
      <c r="C1059" s="20" t="s">
        <v>133</v>
      </c>
      <c r="D1059" s="20" t="s">
        <v>228</v>
      </c>
      <c r="E1059" s="20" t="s">
        <v>1142</v>
      </c>
      <c r="F1059" s="20" t="s">
        <v>143</v>
      </c>
      <c r="G1059" s="415">
        <f>G1060</f>
        <v>42</v>
      </c>
      <c r="H1059" s="26">
        <f t="shared" si="529"/>
        <v>0</v>
      </c>
      <c r="I1059" s="26">
        <f t="shared" si="529"/>
        <v>0</v>
      </c>
      <c r="J1059" s="212"/>
      <c r="K1059" s="111"/>
      <c r="L1059" s="111"/>
    </row>
    <row r="1060" spans="1:12" s="230" customFormat="1" ht="30" customHeight="1" x14ac:dyDescent="0.25">
      <c r="A1060" s="25" t="s">
        <v>144</v>
      </c>
      <c r="B1060" s="16">
        <v>910</v>
      </c>
      <c r="C1060" s="20" t="s">
        <v>133</v>
      </c>
      <c r="D1060" s="20" t="s">
        <v>228</v>
      </c>
      <c r="E1060" s="20" t="s">
        <v>1142</v>
      </c>
      <c r="F1060" s="20" t="s">
        <v>145</v>
      </c>
      <c r="G1060" s="415">
        <v>42</v>
      </c>
      <c r="H1060" s="26"/>
      <c r="I1060" s="26"/>
      <c r="J1060" s="212"/>
      <c r="K1060" s="111"/>
      <c r="L1060" s="111"/>
    </row>
    <row r="1061" spans="1:12" s="230" customFormat="1" ht="30" customHeight="1" x14ac:dyDescent="0.25">
      <c r="A1061" s="23" t="s">
        <v>1148</v>
      </c>
      <c r="B1061" s="19">
        <v>910</v>
      </c>
      <c r="C1061" s="24" t="s">
        <v>133</v>
      </c>
      <c r="D1061" s="24" t="s">
        <v>228</v>
      </c>
      <c r="E1061" s="24" t="s">
        <v>177</v>
      </c>
      <c r="F1061" s="24"/>
      <c r="G1061" s="416">
        <f>G1062</f>
        <v>25.5</v>
      </c>
      <c r="H1061" s="21">
        <f t="shared" ref="H1061:I1061" si="530">H1062</f>
        <v>25.5</v>
      </c>
      <c r="I1061" s="21">
        <f t="shared" si="530"/>
        <v>25.5</v>
      </c>
      <c r="J1061" s="212"/>
      <c r="K1061" s="111"/>
      <c r="L1061" s="111"/>
    </row>
    <row r="1062" spans="1:12" s="230" customFormat="1" ht="62.25" customHeight="1" x14ac:dyDescent="0.25">
      <c r="A1062" s="282" t="s">
        <v>891</v>
      </c>
      <c r="B1062" s="19">
        <v>910</v>
      </c>
      <c r="C1062" s="24" t="s">
        <v>133</v>
      </c>
      <c r="D1062" s="24" t="s">
        <v>228</v>
      </c>
      <c r="E1062" s="24" t="s">
        <v>898</v>
      </c>
      <c r="F1062" s="24"/>
      <c r="G1062" s="416">
        <f>G1063+G1066</f>
        <v>25.5</v>
      </c>
      <c r="H1062" s="21">
        <f t="shared" ref="H1062:I1062" si="531">H1063+H1066</f>
        <v>25.5</v>
      </c>
      <c r="I1062" s="21">
        <f t="shared" si="531"/>
        <v>25.5</v>
      </c>
      <c r="J1062" s="212"/>
      <c r="K1062" s="111"/>
      <c r="L1062" s="111"/>
    </row>
    <row r="1063" spans="1:12" s="230" customFormat="1" ht="37.5" customHeight="1" x14ac:dyDescent="0.25">
      <c r="A1063" s="31" t="s">
        <v>1310</v>
      </c>
      <c r="B1063" s="16">
        <v>910</v>
      </c>
      <c r="C1063" s="20" t="s">
        <v>133</v>
      </c>
      <c r="D1063" s="20" t="s">
        <v>228</v>
      </c>
      <c r="E1063" s="40" t="s">
        <v>1147</v>
      </c>
      <c r="F1063" s="20"/>
      <c r="G1063" s="415">
        <f>G1064</f>
        <v>0.5</v>
      </c>
      <c r="H1063" s="26">
        <f t="shared" ref="H1063:I1064" si="532">H1064</f>
        <v>0.5</v>
      </c>
      <c r="I1063" s="26">
        <f t="shared" si="532"/>
        <v>0.5</v>
      </c>
      <c r="J1063" s="212"/>
      <c r="K1063" s="111"/>
      <c r="L1063" s="111"/>
    </row>
    <row r="1064" spans="1:12" s="230" customFormat="1" ht="30" customHeight="1" x14ac:dyDescent="0.25">
      <c r="A1064" s="25" t="s">
        <v>146</v>
      </c>
      <c r="B1064" s="16">
        <v>910</v>
      </c>
      <c r="C1064" s="20" t="s">
        <v>133</v>
      </c>
      <c r="D1064" s="20" t="s">
        <v>228</v>
      </c>
      <c r="E1064" s="40" t="s">
        <v>1147</v>
      </c>
      <c r="F1064" s="20" t="s">
        <v>147</v>
      </c>
      <c r="G1064" s="415">
        <f>G1065</f>
        <v>0.5</v>
      </c>
      <c r="H1064" s="26">
        <f t="shared" si="532"/>
        <v>0.5</v>
      </c>
      <c r="I1064" s="26">
        <f t="shared" si="532"/>
        <v>0.5</v>
      </c>
      <c r="J1064" s="212"/>
      <c r="K1064" s="111"/>
      <c r="L1064" s="111"/>
    </row>
    <row r="1065" spans="1:12" s="230" customFormat="1" ht="30" customHeight="1" x14ac:dyDescent="0.25">
      <c r="A1065" s="25" t="s">
        <v>148</v>
      </c>
      <c r="B1065" s="16">
        <v>910</v>
      </c>
      <c r="C1065" s="20" t="s">
        <v>133</v>
      </c>
      <c r="D1065" s="20" t="s">
        <v>228</v>
      </c>
      <c r="E1065" s="40" t="s">
        <v>712</v>
      </c>
      <c r="F1065" s="20" t="s">
        <v>149</v>
      </c>
      <c r="G1065" s="415">
        <v>0.5</v>
      </c>
      <c r="H1065" s="26">
        <v>0.5</v>
      </c>
      <c r="I1065" s="26">
        <v>0.5</v>
      </c>
      <c r="J1065" s="212"/>
      <c r="K1065" s="111"/>
      <c r="L1065" s="111"/>
    </row>
    <row r="1066" spans="1:12" s="230" customFormat="1" ht="50.25" customHeight="1" x14ac:dyDescent="0.25">
      <c r="A1066" s="31" t="s">
        <v>711</v>
      </c>
      <c r="B1066" s="16">
        <v>910</v>
      </c>
      <c r="C1066" s="20" t="s">
        <v>133</v>
      </c>
      <c r="D1066" s="20" t="s">
        <v>228</v>
      </c>
      <c r="E1066" s="20" t="s">
        <v>1146</v>
      </c>
      <c r="F1066" s="20"/>
      <c r="G1066" s="415">
        <f>G1067</f>
        <v>25</v>
      </c>
      <c r="H1066" s="26">
        <f t="shared" ref="H1066:I1067" si="533">H1067</f>
        <v>25</v>
      </c>
      <c r="I1066" s="26">
        <f t="shared" si="533"/>
        <v>25</v>
      </c>
      <c r="J1066" s="212"/>
      <c r="K1066" s="111"/>
      <c r="L1066" s="111"/>
    </row>
    <row r="1067" spans="1:12" s="230" customFormat="1" ht="30" customHeight="1" x14ac:dyDescent="0.25">
      <c r="A1067" s="25" t="s">
        <v>146</v>
      </c>
      <c r="B1067" s="16">
        <v>910</v>
      </c>
      <c r="C1067" s="20" t="s">
        <v>133</v>
      </c>
      <c r="D1067" s="20" t="s">
        <v>228</v>
      </c>
      <c r="E1067" s="20" t="s">
        <v>1146</v>
      </c>
      <c r="F1067" s="20" t="s">
        <v>147</v>
      </c>
      <c r="G1067" s="415">
        <f>G1068</f>
        <v>25</v>
      </c>
      <c r="H1067" s="26">
        <f t="shared" si="533"/>
        <v>25</v>
      </c>
      <c r="I1067" s="26">
        <f t="shared" si="533"/>
        <v>25</v>
      </c>
      <c r="J1067" s="212"/>
      <c r="K1067" s="111"/>
      <c r="L1067" s="111"/>
    </row>
    <row r="1068" spans="1:12" s="230" customFormat="1" ht="30" customHeight="1" x14ac:dyDescent="0.25">
      <c r="A1068" s="25" t="s">
        <v>148</v>
      </c>
      <c r="B1068" s="16">
        <v>910</v>
      </c>
      <c r="C1068" s="20" t="s">
        <v>133</v>
      </c>
      <c r="D1068" s="20" t="s">
        <v>228</v>
      </c>
      <c r="E1068" s="20" t="s">
        <v>1146</v>
      </c>
      <c r="F1068" s="20" t="s">
        <v>149</v>
      </c>
      <c r="G1068" s="415">
        <f>40-40+25</f>
        <v>25</v>
      </c>
      <c r="H1068" s="26">
        <f t="shared" ref="H1068:I1068" si="534">40-40+25</f>
        <v>25</v>
      </c>
      <c r="I1068" s="26">
        <f t="shared" si="534"/>
        <v>25</v>
      </c>
      <c r="J1068" s="212"/>
      <c r="K1068" s="111"/>
      <c r="L1068" s="111"/>
    </row>
    <row r="1069" spans="1:12" ht="47.25" customHeight="1" x14ac:dyDescent="0.25">
      <c r="A1069" s="23" t="s">
        <v>593</v>
      </c>
      <c r="B1069" s="19">
        <v>910</v>
      </c>
      <c r="C1069" s="24" t="s">
        <v>133</v>
      </c>
      <c r="D1069" s="24" t="s">
        <v>230</v>
      </c>
      <c r="E1069" s="24"/>
      <c r="F1069" s="24"/>
      <c r="G1069" s="416">
        <f>G1070</f>
        <v>1091</v>
      </c>
      <c r="H1069" s="21">
        <f t="shared" ref="H1069:I1070" si="535">H1070</f>
        <v>1116</v>
      </c>
      <c r="I1069" s="21">
        <f t="shared" si="535"/>
        <v>1116</v>
      </c>
      <c r="L1069" s="111"/>
    </row>
    <row r="1070" spans="1:12" ht="15.75" x14ac:dyDescent="0.25">
      <c r="A1070" s="23" t="s">
        <v>992</v>
      </c>
      <c r="B1070" s="19">
        <v>910</v>
      </c>
      <c r="C1070" s="24" t="s">
        <v>133</v>
      </c>
      <c r="D1070" s="24" t="s">
        <v>230</v>
      </c>
      <c r="E1070" s="24" t="s">
        <v>906</v>
      </c>
      <c r="F1070" s="24"/>
      <c r="G1070" s="416">
        <f>G1071</f>
        <v>1091</v>
      </c>
      <c r="H1070" s="21">
        <f t="shared" si="535"/>
        <v>1116</v>
      </c>
      <c r="I1070" s="21">
        <f t="shared" si="535"/>
        <v>1116</v>
      </c>
      <c r="L1070" s="111"/>
    </row>
    <row r="1071" spans="1:12" ht="15.75" x14ac:dyDescent="0.25">
      <c r="A1071" s="23" t="s">
        <v>1139</v>
      </c>
      <c r="B1071" s="19">
        <v>910</v>
      </c>
      <c r="C1071" s="24" t="s">
        <v>133</v>
      </c>
      <c r="D1071" s="24" t="s">
        <v>230</v>
      </c>
      <c r="E1071" s="24" t="s">
        <v>1140</v>
      </c>
      <c r="F1071" s="24"/>
      <c r="G1071" s="416">
        <f>G1072+G1077</f>
        <v>1091</v>
      </c>
      <c r="H1071" s="21">
        <f>H1072+H1077</f>
        <v>1116</v>
      </c>
      <c r="I1071" s="21">
        <f>I1072+I1077</f>
        <v>1116</v>
      </c>
      <c r="L1071" s="111"/>
    </row>
    <row r="1072" spans="1:12" ht="15.75" x14ac:dyDescent="0.25">
      <c r="A1072" s="25" t="s">
        <v>1143</v>
      </c>
      <c r="B1072" s="16">
        <v>910</v>
      </c>
      <c r="C1072" s="20" t="s">
        <v>133</v>
      </c>
      <c r="D1072" s="20" t="s">
        <v>230</v>
      </c>
      <c r="E1072" s="20" t="s">
        <v>1144</v>
      </c>
      <c r="F1072" s="20"/>
      <c r="G1072" s="415">
        <f>G1073+G1075</f>
        <v>1091</v>
      </c>
      <c r="H1072" s="26">
        <f t="shared" ref="H1072:I1072" si="536">H1073+H1075</f>
        <v>1116</v>
      </c>
      <c r="I1072" s="26">
        <f t="shared" si="536"/>
        <v>1116</v>
      </c>
      <c r="L1072" s="111"/>
    </row>
    <row r="1073" spans="1:13" ht="47.25" x14ac:dyDescent="0.25">
      <c r="A1073" s="25" t="s">
        <v>142</v>
      </c>
      <c r="B1073" s="16">
        <v>910</v>
      </c>
      <c r="C1073" s="20" t="s">
        <v>133</v>
      </c>
      <c r="D1073" s="20" t="s">
        <v>230</v>
      </c>
      <c r="E1073" s="20" t="s">
        <v>1144</v>
      </c>
      <c r="F1073" s="20" t="s">
        <v>143</v>
      </c>
      <c r="G1073" s="415">
        <f>G1074</f>
        <v>998</v>
      </c>
      <c r="H1073" s="26">
        <f t="shared" ref="H1073:I1073" si="537">H1074</f>
        <v>1023</v>
      </c>
      <c r="I1073" s="26">
        <f t="shared" si="537"/>
        <v>1023</v>
      </c>
      <c r="L1073" s="111"/>
    </row>
    <row r="1074" spans="1:13" ht="15.75" x14ac:dyDescent="0.25">
      <c r="A1074" s="25" t="s">
        <v>144</v>
      </c>
      <c r="B1074" s="16">
        <v>910</v>
      </c>
      <c r="C1074" s="20" t="s">
        <v>133</v>
      </c>
      <c r="D1074" s="20" t="s">
        <v>230</v>
      </c>
      <c r="E1074" s="20" t="s">
        <v>1144</v>
      </c>
      <c r="F1074" s="20" t="s">
        <v>145</v>
      </c>
      <c r="G1074" s="415">
        <f>1025-27</f>
        <v>998</v>
      </c>
      <c r="H1074" s="26">
        <f t="shared" ref="H1074:I1074" si="538">1152.5-141.2+11.7</f>
        <v>1023</v>
      </c>
      <c r="I1074" s="26">
        <f t="shared" si="538"/>
        <v>1023</v>
      </c>
      <c r="J1074" s="240" t="s">
        <v>1326</v>
      </c>
      <c r="L1074" s="332">
        <v>1025</v>
      </c>
      <c r="M1074" s="1" t="s">
        <v>1392</v>
      </c>
    </row>
    <row r="1075" spans="1:13" ht="31.5" x14ac:dyDescent="0.25">
      <c r="A1075" s="25" t="s">
        <v>213</v>
      </c>
      <c r="B1075" s="16">
        <v>910</v>
      </c>
      <c r="C1075" s="20" t="s">
        <v>133</v>
      </c>
      <c r="D1075" s="20" t="s">
        <v>230</v>
      </c>
      <c r="E1075" s="20" t="s">
        <v>1144</v>
      </c>
      <c r="F1075" s="20" t="s">
        <v>147</v>
      </c>
      <c r="G1075" s="415">
        <f>G1076</f>
        <v>93</v>
      </c>
      <c r="H1075" s="26">
        <f t="shared" ref="H1075:I1075" si="539">H1076</f>
        <v>93</v>
      </c>
      <c r="I1075" s="26">
        <f t="shared" si="539"/>
        <v>93</v>
      </c>
      <c r="L1075" s="111"/>
    </row>
    <row r="1076" spans="1:13" ht="31.5" x14ac:dyDescent="0.25">
      <c r="A1076" s="25" t="s">
        <v>148</v>
      </c>
      <c r="B1076" s="16">
        <v>910</v>
      </c>
      <c r="C1076" s="20" t="s">
        <v>133</v>
      </c>
      <c r="D1076" s="20" t="s">
        <v>230</v>
      </c>
      <c r="E1076" s="20" t="s">
        <v>1144</v>
      </c>
      <c r="F1076" s="20" t="s">
        <v>149</v>
      </c>
      <c r="G1076" s="415">
        <v>93</v>
      </c>
      <c r="H1076" s="26">
        <v>93</v>
      </c>
      <c r="I1076" s="26">
        <v>93</v>
      </c>
      <c r="L1076" s="111"/>
    </row>
    <row r="1077" spans="1:13" s="230" customFormat="1" ht="39.75" customHeight="1" x14ac:dyDescent="0.25">
      <c r="A1077" s="25" t="s">
        <v>886</v>
      </c>
      <c r="B1077" s="16">
        <v>910</v>
      </c>
      <c r="C1077" s="20" t="s">
        <v>133</v>
      </c>
      <c r="D1077" s="20" t="s">
        <v>230</v>
      </c>
      <c r="E1077" s="20" t="s">
        <v>1142</v>
      </c>
      <c r="F1077" s="20"/>
      <c r="G1077" s="415">
        <f>G1078</f>
        <v>0</v>
      </c>
      <c r="H1077" s="26">
        <f t="shared" ref="H1077:I1078" si="540">H1078</f>
        <v>0</v>
      </c>
      <c r="I1077" s="26">
        <f t="shared" si="540"/>
        <v>0</v>
      </c>
      <c r="J1077" s="212"/>
      <c r="K1077" s="111"/>
      <c r="L1077" s="111"/>
    </row>
    <row r="1078" spans="1:13" s="230" customFormat="1" ht="69.75" customHeight="1" x14ac:dyDescent="0.25">
      <c r="A1078" s="25" t="s">
        <v>142</v>
      </c>
      <c r="B1078" s="16">
        <v>910</v>
      </c>
      <c r="C1078" s="20" t="s">
        <v>133</v>
      </c>
      <c r="D1078" s="20" t="s">
        <v>230</v>
      </c>
      <c r="E1078" s="20" t="s">
        <v>1142</v>
      </c>
      <c r="F1078" s="20" t="s">
        <v>143</v>
      </c>
      <c r="G1078" s="415">
        <f>G1079</f>
        <v>0</v>
      </c>
      <c r="H1078" s="26">
        <f t="shared" si="540"/>
        <v>0</v>
      </c>
      <c r="I1078" s="26">
        <f t="shared" si="540"/>
        <v>0</v>
      </c>
      <c r="J1078" s="212"/>
      <c r="K1078" s="111"/>
      <c r="L1078" s="111"/>
    </row>
    <row r="1079" spans="1:13" s="230" customFormat="1" ht="35.25" customHeight="1" x14ac:dyDescent="0.25">
      <c r="A1079" s="25" t="s">
        <v>144</v>
      </c>
      <c r="B1079" s="16">
        <v>910</v>
      </c>
      <c r="C1079" s="20" t="s">
        <v>133</v>
      </c>
      <c r="D1079" s="20" t="s">
        <v>230</v>
      </c>
      <c r="E1079" s="20" t="s">
        <v>1142</v>
      </c>
      <c r="F1079" s="20" t="s">
        <v>145</v>
      </c>
      <c r="G1079" s="415">
        <v>0</v>
      </c>
      <c r="H1079" s="26"/>
      <c r="I1079" s="26"/>
      <c r="J1079" s="212" t="s">
        <v>1313</v>
      </c>
      <c r="K1079" s="111"/>
      <c r="L1079" s="111"/>
    </row>
    <row r="1080" spans="1:13" ht="31.5" x14ac:dyDescent="0.25">
      <c r="A1080" s="23" t="s">
        <v>134</v>
      </c>
      <c r="B1080" s="19">
        <v>910</v>
      </c>
      <c r="C1080" s="24" t="s">
        <v>133</v>
      </c>
      <c r="D1080" s="24" t="s">
        <v>135</v>
      </c>
      <c r="E1080" s="24"/>
      <c r="F1080" s="24"/>
      <c r="G1080" s="416">
        <f>G1081</f>
        <v>1646</v>
      </c>
      <c r="H1080" s="21">
        <f t="shared" ref="H1080:I1081" si="541">H1081</f>
        <v>3051.4000000000005</v>
      </c>
      <c r="I1080" s="21">
        <f t="shared" si="541"/>
        <v>3051.4000000000005</v>
      </c>
      <c r="L1080" s="111"/>
    </row>
    <row r="1081" spans="1:13" s="114" customFormat="1" ht="15.75" x14ac:dyDescent="0.25">
      <c r="A1081" s="23" t="s">
        <v>992</v>
      </c>
      <c r="B1081" s="19">
        <v>910</v>
      </c>
      <c r="C1081" s="24" t="s">
        <v>133</v>
      </c>
      <c r="D1081" s="24" t="s">
        <v>135</v>
      </c>
      <c r="E1081" s="24" t="s">
        <v>906</v>
      </c>
      <c r="F1081" s="24"/>
      <c r="G1081" s="416">
        <f>G1082</f>
        <v>1646</v>
      </c>
      <c r="H1081" s="21">
        <f t="shared" si="541"/>
        <v>3051.4000000000005</v>
      </c>
      <c r="I1081" s="21">
        <f t="shared" si="541"/>
        <v>3051.4000000000005</v>
      </c>
      <c r="J1081" s="248"/>
      <c r="K1081" s="130"/>
      <c r="L1081" s="130"/>
    </row>
    <row r="1082" spans="1:13" s="114" customFormat="1" ht="15.75" x14ac:dyDescent="0.25">
      <c r="A1082" s="23" t="s">
        <v>1139</v>
      </c>
      <c r="B1082" s="19">
        <v>910</v>
      </c>
      <c r="C1082" s="24" t="s">
        <v>133</v>
      </c>
      <c r="D1082" s="24" t="s">
        <v>135</v>
      </c>
      <c r="E1082" s="24" t="s">
        <v>1140</v>
      </c>
      <c r="F1082" s="24"/>
      <c r="G1082" s="416">
        <f>G1083+G1088</f>
        <v>1646</v>
      </c>
      <c r="H1082" s="21">
        <f t="shared" ref="H1082:I1082" si="542">H1083+H1088</f>
        <v>3051.4000000000005</v>
      </c>
      <c r="I1082" s="21">
        <f t="shared" si="542"/>
        <v>3051.4000000000005</v>
      </c>
      <c r="J1082" s="248"/>
      <c r="K1082" s="130"/>
      <c r="L1082" s="130"/>
    </row>
    <row r="1083" spans="1:13" s="114" customFormat="1" ht="15.75" x14ac:dyDescent="0.25">
      <c r="A1083" s="25" t="s">
        <v>969</v>
      </c>
      <c r="B1083" s="16">
        <v>910</v>
      </c>
      <c r="C1083" s="20" t="s">
        <v>133</v>
      </c>
      <c r="D1083" s="20" t="s">
        <v>135</v>
      </c>
      <c r="E1083" s="20" t="s">
        <v>1144</v>
      </c>
      <c r="F1083" s="20"/>
      <c r="G1083" s="415">
        <f>G1084+G1086</f>
        <v>1604</v>
      </c>
      <c r="H1083" s="26">
        <f t="shared" ref="H1083:I1083" si="543">H1084+H1086</f>
        <v>3051.4000000000005</v>
      </c>
      <c r="I1083" s="26">
        <f t="shared" si="543"/>
        <v>3051.4000000000005</v>
      </c>
      <c r="J1083" s="248"/>
      <c r="K1083" s="130"/>
      <c r="L1083" s="130"/>
    </row>
    <row r="1084" spans="1:13" ht="47.25" x14ac:dyDescent="0.25">
      <c r="A1084" s="25" t="s">
        <v>142</v>
      </c>
      <c r="B1084" s="16">
        <v>910</v>
      </c>
      <c r="C1084" s="20" t="s">
        <v>133</v>
      </c>
      <c r="D1084" s="20" t="s">
        <v>135</v>
      </c>
      <c r="E1084" s="20" t="s">
        <v>1144</v>
      </c>
      <c r="F1084" s="20" t="s">
        <v>143</v>
      </c>
      <c r="G1084" s="415">
        <f>G1085</f>
        <v>1586</v>
      </c>
      <c r="H1084" s="26">
        <f t="shared" ref="H1084:I1084" si="544">H1085</f>
        <v>3033.1000000000004</v>
      </c>
      <c r="I1084" s="26">
        <f t="shared" si="544"/>
        <v>3033.1000000000004</v>
      </c>
      <c r="L1084" s="111"/>
    </row>
    <row r="1085" spans="1:13" ht="25.5" x14ac:dyDescent="0.25">
      <c r="A1085" s="25" t="s">
        <v>144</v>
      </c>
      <c r="B1085" s="16">
        <v>910</v>
      </c>
      <c r="C1085" s="20" t="s">
        <v>133</v>
      </c>
      <c r="D1085" s="20" t="s">
        <v>135</v>
      </c>
      <c r="E1085" s="20" t="s">
        <v>1144</v>
      </c>
      <c r="F1085" s="20" t="s">
        <v>145</v>
      </c>
      <c r="G1085" s="415">
        <f>1628-42</f>
        <v>1586</v>
      </c>
      <c r="H1085" s="26">
        <f t="shared" ref="H1085:I1085" si="545">1628.4+17.2+1387.5</f>
        <v>3033.1000000000004</v>
      </c>
      <c r="I1085" s="26">
        <f t="shared" si="545"/>
        <v>3033.1000000000004</v>
      </c>
      <c r="J1085" s="313" t="s">
        <v>888</v>
      </c>
      <c r="K1085" s="111">
        <v>1.0429999999999999</v>
      </c>
      <c r="L1085" s="332">
        <v>1628</v>
      </c>
      <c r="M1085" s="1" t="s">
        <v>1392</v>
      </c>
    </row>
    <row r="1086" spans="1:13" ht="31.5" x14ac:dyDescent="0.25">
      <c r="A1086" s="25" t="s">
        <v>213</v>
      </c>
      <c r="B1086" s="16">
        <v>910</v>
      </c>
      <c r="C1086" s="20" t="s">
        <v>133</v>
      </c>
      <c r="D1086" s="20" t="s">
        <v>135</v>
      </c>
      <c r="E1086" s="20" t="s">
        <v>1144</v>
      </c>
      <c r="F1086" s="20" t="s">
        <v>147</v>
      </c>
      <c r="G1086" s="415">
        <f>G1087</f>
        <v>18</v>
      </c>
      <c r="H1086" s="26">
        <f t="shared" ref="H1086:I1086" si="546">H1087</f>
        <v>18.3</v>
      </c>
      <c r="I1086" s="26">
        <f t="shared" si="546"/>
        <v>18.3</v>
      </c>
      <c r="L1086" s="111"/>
    </row>
    <row r="1087" spans="1:13" ht="31.5" x14ac:dyDescent="0.25">
      <c r="A1087" s="25" t="s">
        <v>148</v>
      </c>
      <c r="B1087" s="16">
        <v>910</v>
      </c>
      <c r="C1087" s="20" t="s">
        <v>133</v>
      </c>
      <c r="D1087" s="20" t="s">
        <v>135</v>
      </c>
      <c r="E1087" s="20" t="s">
        <v>1144</v>
      </c>
      <c r="F1087" s="20" t="s">
        <v>149</v>
      </c>
      <c r="G1087" s="415">
        <v>18</v>
      </c>
      <c r="H1087" s="26">
        <v>18.3</v>
      </c>
      <c r="I1087" s="26">
        <v>18.3</v>
      </c>
      <c r="L1087" s="111"/>
    </row>
    <row r="1088" spans="1:13" s="230" customFormat="1" ht="31.5" x14ac:dyDescent="0.25">
      <c r="A1088" s="25" t="s">
        <v>886</v>
      </c>
      <c r="B1088" s="16">
        <v>910</v>
      </c>
      <c r="C1088" s="20" t="s">
        <v>133</v>
      </c>
      <c r="D1088" s="20" t="s">
        <v>135</v>
      </c>
      <c r="E1088" s="20" t="s">
        <v>1142</v>
      </c>
      <c r="F1088" s="20"/>
      <c r="G1088" s="415">
        <f>G1089</f>
        <v>42</v>
      </c>
      <c r="H1088" s="26">
        <f t="shared" ref="H1088:I1089" si="547">H1089</f>
        <v>0</v>
      </c>
      <c r="I1088" s="26">
        <f t="shared" si="547"/>
        <v>0</v>
      </c>
      <c r="J1088" s="212"/>
      <c r="K1088" s="111"/>
      <c r="L1088" s="111"/>
    </row>
    <row r="1089" spans="1:12" s="230" customFormat="1" ht="47.25" x14ac:dyDescent="0.25">
      <c r="A1089" s="25" t="s">
        <v>142</v>
      </c>
      <c r="B1089" s="16">
        <v>910</v>
      </c>
      <c r="C1089" s="20" t="s">
        <v>133</v>
      </c>
      <c r="D1089" s="20" t="s">
        <v>135</v>
      </c>
      <c r="E1089" s="20" t="s">
        <v>1142</v>
      </c>
      <c r="F1089" s="20" t="s">
        <v>143</v>
      </c>
      <c r="G1089" s="415">
        <f>G1090</f>
        <v>42</v>
      </c>
      <c r="H1089" s="26">
        <f t="shared" si="547"/>
        <v>0</v>
      </c>
      <c r="I1089" s="26">
        <f t="shared" si="547"/>
        <v>0</v>
      </c>
      <c r="J1089" s="212"/>
      <c r="K1089" s="111"/>
      <c r="L1089" s="111"/>
    </row>
    <row r="1090" spans="1:12" s="230" customFormat="1" ht="15.75" x14ac:dyDescent="0.25">
      <c r="A1090" s="25" t="s">
        <v>144</v>
      </c>
      <c r="B1090" s="16">
        <v>910</v>
      </c>
      <c r="C1090" s="20" t="s">
        <v>133</v>
      </c>
      <c r="D1090" s="20" t="s">
        <v>135</v>
      </c>
      <c r="E1090" s="20" t="s">
        <v>1142</v>
      </c>
      <c r="F1090" s="20" t="s">
        <v>145</v>
      </c>
      <c r="G1090" s="415">
        <v>42</v>
      </c>
      <c r="H1090" s="26"/>
      <c r="I1090" s="26"/>
      <c r="J1090" s="212"/>
      <c r="K1090" s="111"/>
      <c r="L1090" s="111"/>
    </row>
    <row r="1091" spans="1:12" ht="15.75" x14ac:dyDescent="0.25">
      <c r="A1091" s="48" t="s">
        <v>602</v>
      </c>
      <c r="B1091" s="48"/>
      <c r="C1091" s="24"/>
      <c r="D1091" s="24"/>
      <c r="E1091" s="24"/>
      <c r="F1091" s="24"/>
      <c r="G1091" s="357">
        <f>G1048+G836+G759+G529+G480+G208+G24+G9</f>
        <v>717457</v>
      </c>
      <c r="H1091" s="357" t="e">
        <f>#REF!+H1048+H836+H759+H529+H480+H208+H24+H9</f>
        <v>#REF!</v>
      </c>
      <c r="I1091" s="357" t="e">
        <f>#REF!+I1048+I836+I759+I529+I480+I208+I24+I9</f>
        <v>#REF!</v>
      </c>
      <c r="J1091" s="242"/>
      <c r="K1091" s="116"/>
      <c r="L1091" s="118"/>
    </row>
    <row r="1092" spans="1:12" x14ac:dyDescent="0.25">
      <c r="A1092" s="253"/>
      <c r="B1092" s="253"/>
      <c r="C1092" s="253"/>
      <c r="D1092" s="253"/>
      <c r="E1092" s="253"/>
      <c r="F1092" s="253"/>
      <c r="G1092" s="253"/>
      <c r="H1092" s="272">
        <f>G1092-G1091</f>
        <v>-717457</v>
      </c>
      <c r="I1092" s="253"/>
    </row>
    <row r="1093" spans="1:12" ht="18.75" hidden="1" x14ac:dyDescent="0.3">
      <c r="A1093" s="253"/>
      <c r="B1093" s="253"/>
      <c r="C1093" s="254"/>
      <c r="D1093" s="254"/>
      <c r="E1093" s="254"/>
      <c r="F1093" s="298" t="s">
        <v>603</v>
      </c>
      <c r="G1093" s="256">
        <f>G1091-G1094</f>
        <v>453144.6</v>
      </c>
      <c r="H1093" s="256"/>
      <c r="I1093" s="256"/>
      <c r="J1093" s="257"/>
    </row>
    <row r="1094" spans="1:12" ht="18.75" hidden="1" x14ac:dyDescent="0.3">
      <c r="A1094" s="253"/>
      <c r="B1094" s="253"/>
      <c r="C1094" s="254"/>
      <c r="D1094" s="254"/>
      <c r="E1094" s="254"/>
      <c r="F1094" s="298" t="s">
        <v>604</v>
      </c>
      <c r="G1094" s="256">
        <f>G44+G164+G173+G202+G217+G250+G257+G297+G354+G383+G386+G436+G509+G551+G589+G622+G656+G663+G698+G729+G798+G993+G1000+G905+G883+G264+G184+G81+G1066-500-28.9-239.82+G682+G596+G525+G495+G358</f>
        <v>264312.40000000002</v>
      </c>
      <c r="H1094" s="256">
        <v>276657.45</v>
      </c>
      <c r="I1094" s="256">
        <f>G1094-H1094</f>
        <v>-12345.049999999988</v>
      </c>
      <c r="J1094" s="257">
        <v>264312.40000000002</v>
      </c>
      <c r="K1094" s="120">
        <f>J1094-G1094</f>
        <v>0</v>
      </c>
      <c r="L1094" s="1"/>
    </row>
    <row r="1095" spans="1:12" ht="15.75" hidden="1" x14ac:dyDescent="0.25">
      <c r="A1095" s="253"/>
      <c r="B1095" s="253"/>
      <c r="C1095" s="254"/>
      <c r="D1095" s="258"/>
      <c r="E1095" s="258"/>
      <c r="F1095" s="258"/>
      <c r="G1095" s="259"/>
      <c r="H1095" s="259"/>
      <c r="I1095" s="259"/>
      <c r="L1095" s="1"/>
    </row>
    <row r="1096" spans="1:12" ht="15.75" hidden="1" x14ac:dyDescent="0.25">
      <c r="A1096" s="253"/>
      <c r="B1096" s="253"/>
      <c r="C1096" s="254"/>
      <c r="D1096" s="258"/>
      <c r="E1096" s="258"/>
      <c r="F1096" s="258"/>
      <c r="G1096" s="260"/>
      <c r="H1096" s="260"/>
      <c r="I1096" s="260"/>
      <c r="L1096" s="1"/>
    </row>
    <row r="1097" spans="1:12" ht="15.75" hidden="1" x14ac:dyDescent="0.25">
      <c r="A1097" s="253"/>
      <c r="B1097" s="253"/>
      <c r="C1097" s="254"/>
      <c r="D1097" s="258"/>
      <c r="E1097" s="258"/>
      <c r="F1097" s="258"/>
      <c r="G1097" s="254"/>
      <c r="H1097" s="254"/>
      <c r="I1097" s="254"/>
      <c r="L1097" s="1"/>
    </row>
    <row r="1098" spans="1:12" ht="15.75" hidden="1" x14ac:dyDescent="0.25">
      <c r="A1098" s="253"/>
      <c r="B1098" s="253"/>
      <c r="C1098" s="261">
        <v>1</v>
      </c>
      <c r="D1098" s="258"/>
      <c r="E1098" s="258"/>
      <c r="F1098" s="258"/>
      <c r="G1098" s="262">
        <f>G10+G25+G209+G481+G530+G837+G1049+G760</f>
        <v>132972.79999999999</v>
      </c>
      <c r="H1098" s="262"/>
      <c r="I1098" s="262"/>
      <c r="K1098" s="111">
        <v>901</v>
      </c>
      <c r="L1098" s="118">
        <f>J10</f>
        <v>12874</v>
      </c>
    </row>
    <row r="1099" spans="1:12" ht="15.75" hidden="1" x14ac:dyDescent="0.25">
      <c r="A1099" s="253"/>
      <c r="B1099" s="253"/>
      <c r="C1099" s="261" t="s">
        <v>603</v>
      </c>
      <c r="D1099" s="258"/>
      <c r="E1099" s="258"/>
      <c r="F1099" s="258"/>
      <c r="G1099" s="262">
        <f>G1098-G1100</f>
        <v>129673.19999999998</v>
      </c>
      <c r="H1099" s="262"/>
      <c r="I1099" s="262"/>
      <c r="K1099" s="299">
        <v>902</v>
      </c>
      <c r="L1099" s="118">
        <f>J24</f>
        <v>74506.5</v>
      </c>
    </row>
    <row r="1100" spans="1:12" ht="15.75" hidden="1" x14ac:dyDescent="0.25">
      <c r="A1100" s="253"/>
      <c r="B1100" s="253"/>
      <c r="C1100" s="261" t="s">
        <v>604</v>
      </c>
      <c r="D1100" s="258"/>
      <c r="E1100" s="258"/>
      <c r="F1100" s="258"/>
      <c r="G1100" s="262">
        <f>G1066+G509+G217+G81+G44-239.82+G495</f>
        <v>3299.6</v>
      </c>
      <c r="H1100" s="262"/>
      <c r="I1100" s="262"/>
      <c r="K1100" s="299">
        <v>903</v>
      </c>
      <c r="L1100" s="118">
        <f>J208</f>
        <v>84360.9</v>
      </c>
    </row>
    <row r="1101" spans="1:12" ht="15.75" hidden="1" x14ac:dyDescent="0.25">
      <c r="A1101" s="253"/>
      <c r="B1101" s="253"/>
      <c r="C1101" s="261">
        <v>2</v>
      </c>
      <c r="D1101" s="258"/>
      <c r="E1101" s="258"/>
      <c r="F1101" s="258"/>
      <c r="G1101" s="262">
        <f>G131</f>
        <v>0</v>
      </c>
      <c r="H1101" s="262"/>
      <c r="I1101" s="262"/>
      <c r="K1101" s="299">
        <v>905</v>
      </c>
      <c r="L1101" s="118">
        <f>J480</f>
        <v>15282.82</v>
      </c>
    </row>
    <row r="1102" spans="1:12" ht="15.75" hidden="1" x14ac:dyDescent="0.25">
      <c r="A1102" s="253"/>
      <c r="B1102" s="253"/>
      <c r="C1102" s="261">
        <v>3</v>
      </c>
      <c r="D1102" s="258"/>
      <c r="E1102" s="258"/>
      <c r="F1102" s="258"/>
      <c r="G1102" s="262">
        <f>G851+G138</f>
        <v>8029</v>
      </c>
      <c r="H1102" s="262"/>
      <c r="I1102" s="262"/>
      <c r="K1102" s="299">
        <v>906</v>
      </c>
      <c r="L1102" s="118">
        <f>J529</f>
        <v>114854.7</v>
      </c>
    </row>
    <row r="1103" spans="1:12" ht="15.75" hidden="1" x14ac:dyDescent="0.25">
      <c r="A1103" s="253"/>
      <c r="B1103" s="253"/>
      <c r="C1103" s="261">
        <v>4</v>
      </c>
      <c r="D1103" s="258"/>
      <c r="E1103" s="258"/>
      <c r="F1103" s="258"/>
      <c r="G1103" s="262">
        <f>G157+G858+G242</f>
        <v>7868.8</v>
      </c>
      <c r="H1103" s="262"/>
      <c r="I1103" s="262"/>
      <c r="K1103" s="299">
        <v>907</v>
      </c>
      <c r="L1103" s="118">
        <f>J759</f>
        <v>0</v>
      </c>
    </row>
    <row r="1104" spans="1:12" ht="15.75" hidden="1" x14ac:dyDescent="0.25">
      <c r="A1104" s="253"/>
      <c r="B1104" s="253"/>
      <c r="C1104" s="261" t="s">
        <v>603</v>
      </c>
      <c r="D1104" s="258"/>
      <c r="E1104" s="258"/>
      <c r="F1104" s="258"/>
      <c r="G1104" s="262">
        <f>G1103-G1105</f>
        <v>6825</v>
      </c>
      <c r="H1104" s="262"/>
      <c r="I1104" s="262"/>
      <c r="K1104" s="299">
        <v>908</v>
      </c>
      <c r="L1104" s="118">
        <f>J836</f>
        <v>0</v>
      </c>
    </row>
    <row r="1105" spans="1:12" ht="15.75" hidden="1" x14ac:dyDescent="0.25">
      <c r="A1105" s="253"/>
      <c r="B1105" s="253"/>
      <c r="C1105" s="261" t="s">
        <v>604</v>
      </c>
      <c r="D1105" s="258"/>
      <c r="E1105" s="258"/>
      <c r="F1105" s="258"/>
      <c r="G1105" s="262">
        <f>G173+G250+G257+G264+G184+G164</f>
        <v>1043.8</v>
      </c>
      <c r="H1105" s="262"/>
      <c r="I1105" s="262"/>
      <c r="K1105" s="299">
        <v>910</v>
      </c>
      <c r="L1105" s="118">
        <f>J1048</f>
        <v>6980.5</v>
      </c>
    </row>
    <row r="1106" spans="1:12" ht="15.75" hidden="1" x14ac:dyDescent="0.25">
      <c r="A1106" s="253"/>
      <c r="B1106" s="253"/>
      <c r="C1106" s="261">
        <v>5</v>
      </c>
      <c r="D1106" s="258"/>
      <c r="E1106" s="258"/>
      <c r="F1106" s="258"/>
      <c r="G1106" s="262">
        <f>G877+G513</f>
        <v>37959.5</v>
      </c>
      <c r="H1106" s="262"/>
      <c r="I1106" s="262"/>
      <c r="K1106" s="299"/>
      <c r="L1106" s="118"/>
    </row>
    <row r="1107" spans="1:12" ht="15.75" hidden="1" x14ac:dyDescent="0.25">
      <c r="A1107" s="253"/>
      <c r="B1107" s="253"/>
      <c r="C1107" s="261" t="s">
        <v>603</v>
      </c>
      <c r="D1107" s="258"/>
      <c r="E1107" s="258"/>
      <c r="F1107" s="258"/>
      <c r="G1107" s="262">
        <f>G1106-G1108</f>
        <v>36045</v>
      </c>
      <c r="H1107" s="262"/>
      <c r="I1107" s="262"/>
      <c r="K1107" s="121"/>
      <c r="L1107" s="118"/>
    </row>
    <row r="1108" spans="1:12" ht="15.75" hidden="1" x14ac:dyDescent="0.25">
      <c r="A1108" s="253"/>
      <c r="B1108" s="253"/>
      <c r="C1108" s="261" t="s">
        <v>604</v>
      </c>
      <c r="D1108" s="258"/>
      <c r="E1108" s="258"/>
      <c r="F1108" s="258"/>
      <c r="G1108" s="262">
        <f>G905+G993+G1002+G883-500</f>
        <v>1914.5</v>
      </c>
      <c r="H1108" s="262"/>
      <c r="I1108" s="262"/>
      <c r="J1108" s="242"/>
      <c r="K1108" s="121"/>
      <c r="L1108" s="300"/>
    </row>
    <row r="1109" spans="1:12" ht="15.75" hidden="1" x14ac:dyDescent="0.25">
      <c r="A1109" s="253"/>
      <c r="B1109" s="253"/>
      <c r="C1109" s="261">
        <v>7</v>
      </c>
      <c r="D1109" s="258"/>
      <c r="E1109" s="258"/>
      <c r="F1109" s="258"/>
      <c r="G1109" s="262">
        <f>G540+G271</f>
        <v>379736.79999999993</v>
      </c>
      <c r="H1109" s="262"/>
      <c r="I1109" s="262"/>
      <c r="L1109" s="1"/>
    </row>
    <row r="1110" spans="1:12" ht="15.75" hidden="1" x14ac:dyDescent="0.25">
      <c r="A1110" s="253"/>
      <c r="B1110" s="253"/>
      <c r="C1110" s="261" t="s">
        <v>603</v>
      </c>
      <c r="D1110" s="258"/>
      <c r="E1110" s="258"/>
      <c r="F1110" s="258"/>
      <c r="G1110" s="262">
        <f>G1109-G1111</f>
        <v>131427.69999999995</v>
      </c>
      <c r="H1110" s="262"/>
      <c r="I1110" s="262"/>
      <c r="K1110" s="121"/>
      <c r="L1110" s="1"/>
    </row>
    <row r="1111" spans="1:12" ht="15.75" hidden="1" x14ac:dyDescent="0.25">
      <c r="A1111" s="253"/>
      <c r="B1111" s="253"/>
      <c r="C1111" s="261" t="s">
        <v>604</v>
      </c>
      <c r="D1111" s="258"/>
      <c r="E1111" s="258"/>
      <c r="F1111" s="258"/>
      <c r="G1111" s="262">
        <f>G729+G698+G663+G656+G622+G589+G551+G297+G682+G596</f>
        <v>248309.09999999998</v>
      </c>
      <c r="H1111" s="262"/>
      <c r="I1111" s="262"/>
      <c r="L1111" s="1"/>
    </row>
    <row r="1112" spans="1:12" ht="15.75" hidden="1" x14ac:dyDescent="0.25">
      <c r="A1112" s="253"/>
      <c r="B1112" s="253"/>
      <c r="C1112" s="261">
        <v>8</v>
      </c>
      <c r="D1112" s="258"/>
      <c r="E1112" s="258"/>
      <c r="F1112" s="258"/>
      <c r="G1112" s="262">
        <f>G332</f>
        <v>69347.7</v>
      </c>
      <c r="H1112" s="262"/>
      <c r="I1112" s="262"/>
      <c r="L1112" s="1"/>
    </row>
    <row r="1113" spans="1:12" ht="15.75" hidden="1" x14ac:dyDescent="0.25">
      <c r="A1113" s="253"/>
      <c r="B1113" s="253"/>
      <c r="C1113" s="261" t="s">
        <v>603</v>
      </c>
      <c r="D1113" s="258"/>
      <c r="E1113" s="258"/>
      <c r="F1113" s="258"/>
      <c r="G1113" s="262">
        <f>G1112-G1114</f>
        <v>65608.7</v>
      </c>
      <c r="H1113" s="262"/>
      <c r="I1113" s="262"/>
      <c r="K1113" s="121"/>
      <c r="L1113" s="1"/>
    </row>
    <row r="1114" spans="1:12" ht="15.75" hidden="1" x14ac:dyDescent="0.25">
      <c r="A1114" s="253"/>
      <c r="B1114" s="253"/>
      <c r="C1114" s="261" t="s">
        <v>604</v>
      </c>
      <c r="D1114" s="258"/>
      <c r="E1114" s="258"/>
      <c r="F1114" s="258"/>
      <c r="G1114" s="262">
        <f>G386+G383+G354+G358</f>
        <v>3739</v>
      </c>
      <c r="H1114" s="262"/>
      <c r="I1114" s="262"/>
      <c r="L1114" s="1"/>
    </row>
    <row r="1115" spans="1:12" ht="15.75" hidden="1" x14ac:dyDescent="0.25">
      <c r="A1115" s="253"/>
      <c r="B1115" s="253"/>
      <c r="C1115" s="261">
        <v>10</v>
      </c>
      <c r="D1115" s="258"/>
      <c r="E1115" s="258"/>
      <c r="F1115" s="258"/>
      <c r="G1115" s="262">
        <f>G1040+G432+G187+G523</f>
        <v>16554.8</v>
      </c>
      <c r="H1115" s="262"/>
      <c r="I1115" s="262"/>
      <c r="L1115" s="1"/>
    </row>
    <row r="1116" spans="1:12" ht="15.75" hidden="1" x14ac:dyDescent="0.25">
      <c r="A1116" s="253"/>
      <c r="B1116" s="253"/>
      <c r="C1116" s="261" t="s">
        <v>603</v>
      </c>
      <c r="D1116" s="258"/>
      <c r="E1116" s="258"/>
      <c r="F1116" s="258"/>
      <c r="G1116" s="262">
        <f>G1115-G1117</f>
        <v>11361.9</v>
      </c>
      <c r="H1116" s="262"/>
      <c r="I1116" s="262"/>
      <c r="K1116" s="121"/>
      <c r="L1116" s="1"/>
    </row>
    <row r="1117" spans="1:12" ht="15.75" hidden="1" x14ac:dyDescent="0.25">
      <c r="A1117" s="253"/>
      <c r="B1117" s="253"/>
      <c r="C1117" s="261" t="s">
        <v>604</v>
      </c>
      <c r="D1117" s="258"/>
      <c r="E1117" s="258"/>
      <c r="F1117" s="258"/>
      <c r="G1117" s="262">
        <f>G202+G437-28.9+G523</f>
        <v>5192.8999999999996</v>
      </c>
      <c r="H1117" s="262"/>
      <c r="I1117" s="262"/>
      <c r="L1117" s="1"/>
    </row>
    <row r="1118" spans="1:12" ht="15.75" hidden="1" x14ac:dyDescent="0.25">
      <c r="A1118" s="253"/>
      <c r="B1118" s="253"/>
      <c r="C1118" s="261">
        <v>11</v>
      </c>
      <c r="D1118" s="258"/>
      <c r="E1118" s="258"/>
      <c r="F1118" s="258"/>
      <c r="G1118" s="262">
        <f>G767</f>
        <v>58483.6</v>
      </c>
      <c r="H1118" s="262"/>
      <c r="I1118" s="262"/>
      <c r="K1118" s="121"/>
      <c r="L1118" s="1"/>
    </row>
    <row r="1119" spans="1:12" ht="15.75" hidden="1" x14ac:dyDescent="0.25">
      <c r="A1119" s="253"/>
      <c r="B1119" s="253"/>
      <c r="C1119" s="261" t="s">
        <v>603</v>
      </c>
      <c r="D1119" s="258"/>
      <c r="E1119" s="258"/>
      <c r="F1119" s="258"/>
      <c r="G1119" s="262">
        <f>G1118-G1120</f>
        <v>57670.1</v>
      </c>
      <c r="H1119" s="262"/>
      <c r="I1119" s="262"/>
      <c r="K1119" s="121"/>
      <c r="L1119" s="1"/>
    </row>
    <row r="1120" spans="1:12" ht="15.75" hidden="1" x14ac:dyDescent="0.25">
      <c r="A1120" s="253"/>
      <c r="B1120" s="253"/>
      <c r="C1120" s="261" t="s">
        <v>604</v>
      </c>
      <c r="D1120" s="258"/>
      <c r="E1120" s="258"/>
      <c r="F1120" s="258"/>
      <c r="G1120" s="262">
        <f>G798</f>
        <v>813.5</v>
      </c>
      <c r="H1120" s="262"/>
      <c r="I1120" s="262"/>
      <c r="K1120" s="121"/>
      <c r="L1120" s="1"/>
    </row>
    <row r="1121" spans="1:12" ht="15.75" hidden="1" x14ac:dyDescent="0.25">
      <c r="A1121" s="253"/>
      <c r="B1121" s="253"/>
      <c r="C1121" s="261">
        <v>12</v>
      </c>
      <c r="D1121" s="258"/>
      <c r="E1121" s="258"/>
      <c r="F1121" s="258"/>
      <c r="G1121" s="262">
        <f>G461</f>
        <v>6504</v>
      </c>
      <c r="H1121" s="262"/>
      <c r="I1121" s="262"/>
      <c r="K1121" s="121"/>
      <c r="L1121" s="1"/>
    </row>
    <row r="1122" spans="1:12" ht="15.75" hidden="1" x14ac:dyDescent="0.25">
      <c r="A1122" s="253"/>
      <c r="B1122" s="253"/>
      <c r="C1122" s="262"/>
      <c r="D1122" s="258"/>
      <c r="E1122" s="258"/>
      <c r="F1122" s="258"/>
      <c r="G1122" s="263">
        <f>G1098+G1101+G1102+G1103+G1106+G1109+G1112+G1115+G1118+G1121</f>
        <v>717456.99999999988</v>
      </c>
      <c r="H1122" s="263"/>
      <c r="I1122" s="263"/>
      <c r="J1122" s="264"/>
      <c r="L1122" s="1"/>
    </row>
    <row r="1123" spans="1:12" ht="15.75" hidden="1" x14ac:dyDescent="0.25">
      <c r="A1123" s="253"/>
      <c r="B1123" s="253"/>
      <c r="C1123" s="261" t="s">
        <v>603</v>
      </c>
      <c r="D1123" s="258"/>
      <c r="E1123" s="258"/>
      <c r="F1123" s="258"/>
      <c r="G1123" s="263">
        <f>G1099+G1101+G1102+G1104+G1107+G1110+G1113+G1116+G1119+G1121</f>
        <v>453144.59999999992</v>
      </c>
      <c r="H1123" s="263"/>
      <c r="I1123" s="263"/>
      <c r="J1123" s="264"/>
      <c r="L1123" s="1"/>
    </row>
    <row r="1124" spans="1:12" ht="15.75" hidden="1" x14ac:dyDescent="0.25">
      <c r="A1124" s="253"/>
      <c r="B1124" s="253"/>
      <c r="C1124" s="261" t="s">
        <v>604</v>
      </c>
      <c r="D1124" s="258"/>
      <c r="E1124" s="258"/>
      <c r="F1124" s="258"/>
      <c r="G1124" s="263">
        <f>G1122-G1123</f>
        <v>264312.39999999997</v>
      </c>
      <c r="H1124" s="263">
        <v>276657.45</v>
      </c>
      <c r="I1124" s="263">
        <f>G1124-H1124</f>
        <v>-12345.050000000047</v>
      </c>
      <c r="J1124" s="264"/>
      <c r="L1124" s="1"/>
    </row>
    <row r="1125" spans="1:12" hidden="1" x14ac:dyDescent="0.25">
      <c r="G1125" s="257"/>
      <c r="H1125" s="257"/>
      <c r="I1125" s="257"/>
      <c r="L1125" s="1"/>
    </row>
    <row r="1126" spans="1:12" hidden="1" x14ac:dyDescent="0.25">
      <c r="A1126" s="1"/>
      <c r="B1126" s="1"/>
      <c r="C1126" s="1"/>
      <c r="D1126" s="212" t="s">
        <v>605</v>
      </c>
      <c r="E1126" s="212">
        <v>50</v>
      </c>
      <c r="G1126" s="257">
        <f>G866</f>
        <v>3446</v>
      </c>
      <c r="H1126" s="257"/>
      <c r="I1126" s="257"/>
      <c r="L1126" s="1"/>
    </row>
    <row r="1127" spans="1:12" hidden="1" x14ac:dyDescent="0.25">
      <c r="A1127" s="1"/>
      <c r="B1127" s="1"/>
      <c r="C1127" s="1"/>
      <c r="E1127" s="212">
        <v>51</v>
      </c>
      <c r="G1127" s="257">
        <f>G211+G244+G313+G426+G434</f>
        <v>3599.2</v>
      </c>
      <c r="H1127" s="257"/>
      <c r="I1127" s="257"/>
      <c r="K1127" s="121"/>
      <c r="L1127" s="1"/>
    </row>
    <row r="1128" spans="1:12" hidden="1" x14ac:dyDescent="0.25">
      <c r="A1128" s="1"/>
      <c r="B1128" s="1"/>
      <c r="C1128" s="1"/>
      <c r="E1128" s="212">
        <v>52</v>
      </c>
      <c r="G1128" s="257">
        <f>G542+G610+G692+G723</f>
        <v>340793.87</v>
      </c>
      <c r="H1128" s="257"/>
      <c r="I1128" s="257"/>
      <c r="L1128" s="1"/>
    </row>
    <row r="1129" spans="1:12" hidden="1" x14ac:dyDescent="0.25">
      <c r="A1129" s="1"/>
      <c r="B1129" s="1"/>
      <c r="C1129" s="1"/>
      <c r="E1129" s="212">
        <v>53</v>
      </c>
      <c r="G1129" s="257">
        <f>G179</f>
        <v>0</v>
      </c>
      <c r="H1129" s="257"/>
      <c r="I1129" s="257"/>
      <c r="L1129" s="1"/>
    </row>
    <row r="1130" spans="1:12" hidden="1" x14ac:dyDescent="0.25">
      <c r="A1130" s="1"/>
      <c r="B1130" s="1"/>
      <c r="C1130" s="1"/>
      <c r="E1130" s="212">
        <v>54</v>
      </c>
      <c r="G1130" s="257">
        <f>G1061+G66</f>
        <v>549</v>
      </c>
      <c r="H1130" s="257"/>
      <c r="I1130" s="257"/>
      <c r="L1130" s="1"/>
    </row>
    <row r="1131" spans="1:12" hidden="1" x14ac:dyDescent="0.25">
      <c r="A1131" s="1"/>
      <c r="B1131" s="1"/>
      <c r="C1131" s="1"/>
      <c r="E1131" s="212">
        <v>55</v>
      </c>
      <c r="G1131" s="257">
        <f>G195</f>
        <v>10</v>
      </c>
      <c r="H1131" s="257"/>
      <c r="I1131" s="257"/>
      <c r="L1131" s="1"/>
    </row>
    <row r="1132" spans="1:12" hidden="1" x14ac:dyDescent="0.25">
      <c r="A1132" s="1"/>
      <c r="B1132" s="1"/>
      <c r="C1132" s="1"/>
      <c r="E1132" s="212">
        <v>56</v>
      </c>
      <c r="G1132" s="257"/>
      <c r="H1132" s="257"/>
      <c r="I1132" s="257"/>
      <c r="L1132" s="1"/>
    </row>
    <row r="1133" spans="1:12" hidden="1" x14ac:dyDescent="0.25">
      <c r="A1133" s="1"/>
      <c r="B1133" s="1"/>
      <c r="C1133" s="1"/>
      <c r="E1133" s="212">
        <v>57</v>
      </c>
      <c r="G1133" s="257">
        <f>G769+G828</f>
        <v>48187.5</v>
      </c>
      <c r="H1133" s="257"/>
      <c r="I1133" s="257"/>
      <c r="K1133" s="121"/>
      <c r="L1133" s="1"/>
    </row>
    <row r="1134" spans="1:12" hidden="1" x14ac:dyDescent="0.25">
      <c r="A1134" s="1"/>
      <c r="B1134" s="1"/>
      <c r="C1134" s="1"/>
      <c r="E1134" s="212">
        <v>58</v>
      </c>
      <c r="G1134" s="257">
        <f>G273+G335+G362</f>
        <v>67759.13</v>
      </c>
      <c r="H1134" s="257"/>
      <c r="I1134" s="257"/>
      <c r="L1134" s="1"/>
    </row>
    <row r="1135" spans="1:12" hidden="1" x14ac:dyDescent="0.25">
      <c r="A1135" s="1"/>
      <c r="B1135" s="1"/>
      <c r="C1135" s="1"/>
      <c r="E1135" s="212">
        <v>59</v>
      </c>
      <c r="G1135" s="257">
        <f>G599+G677+G1035+G393</f>
        <v>157</v>
      </c>
      <c r="H1135" s="257"/>
      <c r="I1135" s="257"/>
      <c r="L1135" s="1"/>
    </row>
    <row r="1136" spans="1:12" hidden="1" x14ac:dyDescent="0.25">
      <c r="A1136" s="1"/>
      <c r="B1136" s="1"/>
      <c r="C1136" s="1"/>
      <c r="E1136" s="212">
        <v>60</v>
      </c>
      <c r="G1136" s="257">
        <f>G962</f>
        <v>3244.5</v>
      </c>
      <c r="H1136" s="257"/>
      <c r="I1136" s="257"/>
      <c r="L1136" s="1"/>
    </row>
    <row r="1137" spans="1:12" hidden="1" x14ac:dyDescent="0.25">
      <c r="A1137" s="1"/>
      <c r="B1137" s="1"/>
      <c r="C1137" s="1"/>
      <c r="E1137" s="212">
        <v>61</v>
      </c>
      <c r="G1137" s="257">
        <f>G159</f>
        <v>306</v>
      </c>
      <c r="H1137" s="257"/>
      <c r="I1137" s="257"/>
      <c r="L1137" s="1"/>
    </row>
    <row r="1138" spans="1:12" hidden="1" x14ac:dyDescent="0.25">
      <c r="A1138" s="1"/>
      <c r="B1138" s="1"/>
      <c r="C1138" s="1"/>
      <c r="E1138" s="212">
        <v>62</v>
      </c>
      <c r="G1138" s="257">
        <f>G922</f>
        <v>0</v>
      </c>
      <c r="H1138" s="257"/>
      <c r="I1138" s="257"/>
      <c r="L1138" s="1"/>
    </row>
    <row r="1139" spans="1:12" hidden="1" x14ac:dyDescent="0.25">
      <c r="A1139" s="1"/>
      <c r="B1139" s="1"/>
      <c r="C1139" s="1"/>
      <c r="E1139" s="212">
        <v>63</v>
      </c>
      <c r="G1139" s="257">
        <f>G220+G532+G762</f>
        <v>175</v>
      </c>
      <c r="H1139" s="257"/>
      <c r="I1139" s="257"/>
      <c r="L1139" s="1"/>
    </row>
    <row r="1140" spans="1:12" hidden="1" x14ac:dyDescent="0.25">
      <c r="A1140" s="1"/>
      <c r="B1140" s="1"/>
      <c r="C1140" s="1"/>
      <c r="E1140" s="212">
        <v>64</v>
      </c>
      <c r="G1140" s="257">
        <f>G112+G307+G398+G604+G686+G717+G802+G237+G479</f>
        <v>3150.6</v>
      </c>
      <c r="H1140" s="257"/>
      <c r="I1140" s="257"/>
      <c r="L1140" s="1"/>
    </row>
    <row r="1141" spans="1:12" hidden="1" x14ac:dyDescent="0.25">
      <c r="A1141" s="1"/>
      <c r="B1141" s="1"/>
      <c r="C1141" s="1"/>
      <c r="E1141" s="212">
        <v>65</v>
      </c>
      <c r="G1141" s="257">
        <f>G1000</f>
        <v>500</v>
      </c>
      <c r="H1141" s="257"/>
      <c r="I1141" s="257"/>
      <c r="L1141" s="1"/>
    </row>
    <row r="1142" spans="1:12" hidden="1" x14ac:dyDescent="0.25">
      <c r="A1142" s="1"/>
      <c r="B1142" s="1"/>
      <c r="C1142" s="1"/>
      <c r="D1142" s="1"/>
      <c r="E1142" s="212">
        <v>66</v>
      </c>
      <c r="G1142" s="257">
        <f>G508</f>
        <v>239.82</v>
      </c>
      <c r="H1142" s="257"/>
      <c r="I1142" s="257"/>
      <c r="J1142" s="1"/>
      <c r="K1142" s="1"/>
      <c r="L1142" s="1"/>
    </row>
    <row r="1143" spans="1:12" hidden="1" x14ac:dyDescent="0.25">
      <c r="A1143" s="1"/>
      <c r="B1143" s="1"/>
      <c r="C1143" s="1"/>
      <c r="D1143" s="1"/>
      <c r="E1143" s="212">
        <v>67</v>
      </c>
      <c r="G1143" s="257">
        <f>G121</f>
        <v>30</v>
      </c>
      <c r="H1143" s="257"/>
      <c r="I1143" s="257"/>
      <c r="J1143" s="1"/>
      <c r="K1143" s="1"/>
      <c r="L1143" s="1"/>
    </row>
    <row r="1144" spans="1:12" hidden="1" x14ac:dyDescent="0.25">
      <c r="A1144" s="1"/>
      <c r="B1144" s="1"/>
      <c r="C1144" s="1"/>
      <c r="D1144" s="1"/>
      <c r="E1144" s="212">
        <v>69</v>
      </c>
      <c r="G1144" s="242">
        <f>G126</f>
        <v>80</v>
      </c>
      <c r="H1144" s="242"/>
      <c r="I1144" s="242"/>
      <c r="J1144" s="1"/>
      <c r="K1144" s="1"/>
      <c r="L1144" s="1"/>
    </row>
    <row r="1145" spans="1:12" s="230" customFormat="1" hidden="1" x14ac:dyDescent="0.25">
      <c r="E1145" s="212">
        <v>70</v>
      </c>
      <c r="F1145" s="212"/>
      <c r="G1145" s="242">
        <f>G955</f>
        <v>120</v>
      </c>
      <c r="H1145" s="242"/>
      <c r="I1145" s="242"/>
    </row>
    <row r="1146" spans="1:12" hidden="1" x14ac:dyDescent="0.25">
      <c r="A1146" s="1"/>
      <c r="B1146" s="1"/>
      <c r="C1146" s="1"/>
      <c r="D1146" s="1"/>
      <c r="G1146" s="257">
        <f>SUM(G1126:G1145)</f>
        <v>472347.62</v>
      </c>
      <c r="H1146" s="257"/>
      <c r="I1146" s="257"/>
      <c r="J1146" s="1"/>
      <c r="K1146" s="1"/>
      <c r="L1146" s="1"/>
    </row>
  </sheetData>
  <mergeCells count="6">
    <mergeCell ref="E2:G2"/>
    <mergeCell ref="E1:G1"/>
    <mergeCell ref="N782:O782"/>
    <mergeCell ref="K615:L615"/>
    <mergeCell ref="A5:I5"/>
    <mergeCell ref="E3:G3"/>
  </mergeCells>
  <pageMargins left="0.25" right="0.25" top="0.75" bottom="0.75" header="0.3" footer="0.3"/>
  <pageSetup paperSize="9" scale="75" orientation="portrait" r:id="rId1"/>
  <rowBreaks count="1" manualBreakCount="1">
    <brk id="1091" max="13" man="1"/>
  </rowBreaks>
  <colBreaks count="1" manualBreakCount="1">
    <brk id="9" max="12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11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7" t="s">
        <v>123</v>
      </c>
      <c r="G1" s="63"/>
      <c r="H1" s="179"/>
    </row>
    <row r="2" spans="1:9" ht="18.75" x14ac:dyDescent="0.3">
      <c r="A2" s="63"/>
      <c r="B2" s="63"/>
      <c r="C2" s="63"/>
      <c r="D2" s="63"/>
      <c r="E2" s="62"/>
      <c r="F2" s="157" t="s">
        <v>0</v>
      </c>
      <c r="G2" s="63"/>
      <c r="H2" s="179"/>
    </row>
    <row r="3" spans="1:9" ht="18.75" x14ac:dyDescent="0.3">
      <c r="A3" s="63"/>
      <c r="B3" s="63"/>
      <c r="C3" s="63"/>
      <c r="D3" s="63"/>
      <c r="E3" s="62"/>
      <c r="F3" s="157" t="s">
        <v>759</v>
      </c>
      <c r="G3" s="63"/>
      <c r="H3" s="179"/>
    </row>
    <row r="4" spans="1:9" ht="15.75" x14ac:dyDescent="0.25">
      <c r="A4" s="475"/>
      <c r="B4" s="475"/>
      <c r="C4" s="475"/>
      <c r="D4" s="475"/>
      <c r="E4" s="475"/>
      <c r="F4" s="475"/>
      <c r="G4" s="475"/>
      <c r="H4" s="179"/>
    </row>
    <row r="5" spans="1:9" ht="15.75" x14ac:dyDescent="0.25">
      <c r="A5" s="471" t="s">
        <v>124</v>
      </c>
      <c r="B5" s="471"/>
      <c r="C5" s="471"/>
      <c r="D5" s="471"/>
      <c r="E5" s="471"/>
      <c r="F5" s="471"/>
      <c r="G5" s="471"/>
      <c r="H5" s="179"/>
    </row>
    <row r="6" spans="1:9" ht="15.75" x14ac:dyDescent="0.25">
      <c r="A6" s="176"/>
      <c r="B6" s="176"/>
      <c r="C6" s="176"/>
      <c r="D6" s="176"/>
      <c r="E6" s="176"/>
      <c r="F6" s="176"/>
      <c r="G6" s="176"/>
      <c r="H6" s="179"/>
    </row>
    <row r="7" spans="1:9" ht="15.75" x14ac:dyDescent="0.25">
      <c r="A7" s="13"/>
      <c r="B7" s="13"/>
      <c r="C7" s="13"/>
      <c r="D7" s="13"/>
      <c r="E7" s="13"/>
      <c r="F7" s="13"/>
      <c r="G7" s="103" t="s">
        <v>1</v>
      </c>
      <c r="H7" s="179"/>
    </row>
    <row r="8" spans="1:9" ht="47.25" x14ac:dyDescent="0.25">
      <c r="A8" s="14" t="s">
        <v>125</v>
      </c>
      <c r="B8" s="14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4" t="s">
        <v>4</v>
      </c>
      <c r="H8" s="179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9"/>
    </row>
    <row r="10" spans="1:9" ht="31.5" x14ac:dyDescent="0.25">
      <c r="A10" s="19" t="s">
        <v>131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9"/>
      <c r="I10" s="116"/>
    </row>
    <row r="11" spans="1:9" ht="15.75" x14ac:dyDescent="0.25">
      <c r="A11" s="23" t="s">
        <v>132</v>
      </c>
      <c r="B11" s="19">
        <v>901</v>
      </c>
      <c r="C11" s="24" t="s">
        <v>133</v>
      </c>
      <c r="D11" s="20"/>
      <c r="E11" s="20"/>
      <c r="F11" s="20"/>
      <c r="G11" s="21">
        <f>G12+G22</f>
        <v>14164.460000000001</v>
      </c>
      <c r="H11" s="179"/>
    </row>
    <row r="12" spans="1:9" ht="63" x14ac:dyDescent="0.25">
      <c r="A12" s="23" t="s">
        <v>134</v>
      </c>
      <c r="B12" s="19">
        <v>901</v>
      </c>
      <c r="C12" s="24" t="s">
        <v>133</v>
      </c>
      <c r="D12" s="24" t="s">
        <v>135</v>
      </c>
      <c r="E12" s="24"/>
      <c r="F12" s="24"/>
      <c r="G12" s="21">
        <f>G13</f>
        <v>14114.460000000001</v>
      </c>
      <c r="H12" s="179"/>
    </row>
    <row r="13" spans="1:9" ht="15.75" x14ac:dyDescent="0.25">
      <c r="A13" s="25" t="s">
        <v>136</v>
      </c>
      <c r="B13" s="16">
        <v>901</v>
      </c>
      <c r="C13" s="20" t="s">
        <v>133</v>
      </c>
      <c r="D13" s="20" t="s">
        <v>135</v>
      </c>
      <c r="E13" s="20" t="s">
        <v>137</v>
      </c>
      <c r="F13" s="20"/>
      <c r="G13" s="26">
        <f>G14</f>
        <v>14114.460000000001</v>
      </c>
      <c r="H13" s="179"/>
    </row>
    <row r="14" spans="1:9" ht="31.5" x14ac:dyDescent="0.25">
      <c r="A14" s="25" t="s">
        <v>138</v>
      </c>
      <c r="B14" s="16">
        <v>901</v>
      </c>
      <c r="C14" s="20" t="s">
        <v>133</v>
      </c>
      <c r="D14" s="20" t="s">
        <v>135</v>
      </c>
      <c r="E14" s="20" t="s">
        <v>139</v>
      </c>
      <c r="F14" s="20"/>
      <c r="G14" s="26">
        <f>G15</f>
        <v>14114.460000000001</v>
      </c>
      <c r="H14" s="179"/>
    </row>
    <row r="15" spans="1:9" ht="47.25" x14ac:dyDescent="0.25">
      <c r="A15" s="25" t="s">
        <v>140</v>
      </c>
      <c r="B15" s="16">
        <v>901</v>
      </c>
      <c r="C15" s="20" t="s">
        <v>133</v>
      </c>
      <c r="D15" s="20" t="s">
        <v>135</v>
      </c>
      <c r="E15" s="20" t="s">
        <v>141</v>
      </c>
      <c r="F15" s="20"/>
      <c r="G15" s="26">
        <f>G16+G18+G20</f>
        <v>14114.460000000001</v>
      </c>
      <c r="H15" s="179"/>
    </row>
    <row r="16" spans="1:9" ht="94.5" x14ac:dyDescent="0.25">
      <c r="A16" s="25" t="s">
        <v>142</v>
      </c>
      <c r="B16" s="16">
        <v>901</v>
      </c>
      <c r="C16" s="20" t="s">
        <v>133</v>
      </c>
      <c r="D16" s="20" t="s">
        <v>135</v>
      </c>
      <c r="E16" s="20" t="s">
        <v>141</v>
      </c>
      <c r="F16" s="20" t="s">
        <v>143</v>
      </c>
      <c r="G16" s="26">
        <f>G17</f>
        <v>12784.1</v>
      </c>
      <c r="H16" s="179"/>
    </row>
    <row r="17" spans="1:8" ht="31.5" x14ac:dyDescent="0.25">
      <c r="A17" s="25" t="s">
        <v>144</v>
      </c>
      <c r="B17" s="16">
        <v>901</v>
      </c>
      <c r="C17" s="20" t="s">
        <v>133</v>
      </c>
      <c r="D17" s="20" t="s">
        <v>135</v>
      </c>
      <c r="E17" s="20" t="s">
        <v>141</v>
      </c>
      <c r="F17" s="20" t="s">
        <v>145</v>
      </c>
      <c r="G17" s="27">
        <v>12784.1</v>
      </c>
      <c r="H17" s="179"/>
    </row>
    <row r="18" spans="1:8" ht="31.5" x14ac:dyDescent="0.25">
      <c r="A18" s="25" t="s">
        <v>146</v>
      </c>
      <c r="B18" s="16">
        <v>901</v>
      </c>
      <c r="C18" s="20" t="s">
        <v>133</v>
      </c>
      <c r="D18" s="20" t="s">
        <v>135</v>
      </c>
      <c r="E18" s="20" t="s">
        <v>141</v>
      </c>
      <c r="F18" s="20" t="s">
        <v>147</v>
      </c>
      <c r="G18" s="26">
        <f>G19</f>
        <v>1302.3599999999999</v>
      </c>
      <c r="H18" s="179"/>
    </row>
    <row r="19" spans="1:8" ht="47.25" x14ac:dyDescent="0.25">
      <c r="A19" s="25" t="s">
        <v>148</v>
      </c>
      <c r="B19" s="16">
        <v>901</v>
      </c>
      <c r="C19" s="20" t="s">
        <v>133</v>
      </c>
      <c r="D19" s="20" t="s">
        <v>135</v>
      </c>
      <c r="E19" s="20" t="s">
        <v>141</v>
      </c>
      <c r="F19" s="20" t="s">
        <v>149</v>
      </c>
      <c r="G19" s="27">
        <v>1302.3599999999999</v>
      </c>
      <c r="H19" s="179"/>
    </row>
    <row r="20" spans="1:8" ht="15.75" x14ac:dyDescent="0.25">
      <c r="A20" s="25" t="s">
        <v>150</v>
      </c>
      <c r="B20" s="16">
        <v>901</v>
      </c>
      <c r="C20" s="20" t="s">
        <v>133</v>
      </c>
      <c r="D20" s="20" t="s">
        <v>135</v>
      </c>
      <c r="E20" s="20" t="s">
        <v>141</v>
      </c>
      <c r="F20" s="20" t="s">
        <v>151</v>
      </c>
      <c r="G20" s="26">
        <f>G21</f>
        <v>28</v>
      </c>
      <c r="H20" s="179"/>
    </row>
    <row r="21" spans="1:8" ht="15.75" x14ac:dyDescent="0.25">
      <c r="A21" s="25" t="s">
        <v>583</v>
      </c>
      <c r="B21" s="16">
        <v>901</v>
      </c>
      <c r="C21" s="20" t="s">
        <v>133</v>
      </c>
      <c r="D21" s="20" t="s">
        <v>135</v>
      </c>
      <c r="E21" s="20" t="s">
        <v>141</v>
      </c>
      <c r="F21" s="20" t="s">
        <v>153</v>
      </c>
      <c r="G21" s="26">
        <v>28</v>
      </c>
      <c r="H21" s="179"/>
    </row>
    <row r="22" spans="1:8" ht="31.5" customHeight="1" x14ac:dyDescent="0.25">
      <c r="A22" s="23" t="s">
        <v>154</v>
      </c>
      <c r="B22" s="19">
        <v>901</v>
      </c>
      <c r="C22" s="24" t="s">
        <v>133</v>
      </c>
      <c r="D22" s="24" t="s">
        <v>155</v>
      </c>
      <c r="E22" s="24"/>
      <c r="F22" s="24"/>
      <c r="G22" s="21">
        <f>G23</f>
        <v>50</v>
      </c>
      <c r="H22" s="179"/>
    </row>
    <row r="23" spans="1:8" ht="15.75" x14ac:dyDescent="0.25">
      <c r="A23" s="25" t="s">
        <v>156</v>
      </c>
      <c r="B23" s="16">
        <v>901</v>
      </c>
      <c r="C23" s="20" t="s">
        <v>133</v>
      </c>
      <c r="D23" s="20" t="s">
        <v>155</v>
      </c>
      <c r="E23" s="20" t="s">
        <v>157</v>
      </c>
      <c r="F23" s="20"/>
      <c r="G23" s="26">
        <f>G24</f>
        <v>50</v>
      </c>
      <c r="H23" s="179"/>
    </row>
    <row r="24" spans="1:8" ht="15.75" x14ac:dyDescent="0.25">
      <c r="A24" s="25" t="s">
        <v>158</v>
      </c>
      <c r="B24" s="16">
        <v>901</v>
      </c>
      <c r="C24" s="20" t="s">
        <v>133</v>
      </c>
      <c r="D24" s="20" t="s">
        <v>155</v>
      </c>
      <c r="E24" s="20" t="s">
        <v>159</v>
      </c>
      <c r="F24" s="20"/>
      <c r="G24" s="26">
        <f>G25</f>
        <v>50</v>
      </c>
      <c r="H24" s="179"/>
    </row>
    <row r="25" spans="1:8" ht="15.75" x14ac:dyDescent="0.25">
      <c r="A25" s="25" t="s">
        <v>150</v>
      </c>
      <c r="B25" s="16">
        <v>901</v>
      </c>
      <c r="C25" s="20" t="s">
        <v>133</v>
      </c>
      <c r="D25" s="20" t="s">
        <v>155</v>
      </c>
      <c r="E25" s="20" t="s">
        <v>159</v>
      </c>
      <c r="F25" s="20" t="s">
        <v>160</v>
      </c>
      <c r="G25" s="26">
        <f>G26</f>
        <v>50</v>
      </c>
      <c r="H25" s="179"/>
    </row>
    <row r="26" spans="1:8" ht="15.75" x14ac:dyDescent="0.25">
      <c r="A26" s="25" t="s">
        <v>161</v>
      </c>
      <c r="B26" s="16">
        <v>901</v>
      </c>
      <c r="C26" s="20" t="s">
        <v>133</v>
      </c>
      <c r="D26" s="20" t="s">
        <v>155</v>
      </c>
      <c r="E26" s="20" t="s">
        <v>159</v>
      </c>
      <c r="F26" s="20" t="s">
        <v>162</v>
      </c>
      <c r="G26" s="26">
        <v>50</v>
      </c>
      <c r="H26" s="179"/>
    </row>
    <row r="27" spans="1:8" ht="31.5" x14ac:dyDescent="0.25">
      <c r="A27" s="19" t="s">
        <v>163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9"/>
    </row>
    <row r="28" spans="1:8" ht="15.75" x14ac:dyDescent="0.25">
      <c r="A28" s="23" t="s">
        <v>132</v>
      </c>
      <c r="B28" s="19">
        <v>902</v>
      </c>
      <c r="C28" s="24" t="s">
        <v>133</v>
      </c>
      <c r="D28" s="20"/>
      <c r="E28" s="20"/>
      <c r="F28" s="20"/>
      <c r="G28" s="21">
        <f>G29+G48+G56</f>
        <v>66062.7</v>
      </c>
      <c r="H28" s="179"/>
    </row>
    <row r="29" spans="1:8" ht="78.75" x14ac:dyDescent="0.25">
      <c r="A29" s="23" t="s">
        <v>164</v>
      </c>
      <c r="B29" s="19">
        <v>902</v>
      </c>
      <c r="C29" s="24" t="s">
        <v>133</v>
      </c>
      <c r="D29" s="24" t="s">
        <v>165</v>
      </c>
      <c r="E29" s="24"/>
      <c r="F29" s="24"/>
      <c r="G29" s="21">
        <f>G30</f>
        <v>51508.2</v>
      </c>
      <c r="H29" s="179"/>
    </row>
    <row r="30" spans="1:8" ht="15.75" x14ac:dyDescent="0.25">
      <c r="A30" s="25" t="s">
        <v>136</v>
      </c>
      <c r="B30" s="16">
        <v>902</v>
      </c>
      <c r="C30" s="20" t="s">
        <v>133</v>
      </c>
      <c r="D30" s="20" t="s">
        <v>165</v>
      </c>
      <c r="E30" s="20" t="s">
        <v>137</v>
      </c>
      <c r="F30" s="20"/>
      <c r="G30" s="27">
        <f>G31+G42</f>
        <v>51508.2</v>
      </c>
      <c r="H30" s="179"/>
    </row>
    <row r="31" spans="1:8" ht="31.5" x14ac:dyDescent="0.25">
      <c r="A31" s="25" t="s">
        <v>138</v>
      </c>
      <c r="B31" s="16">
        <v>902</v>
      </c>
      <c r="C31" s="20" t="s">
        <v>133</v>
      </c>
      <c r="D31" s="20" t="s">
        <v>165</v>
      </c>
      <c r="E31" s="20" t="s">
        <v>139</v>
      </c>
      <c r="F31" s="20"/>
      <c r="G31" s="27">
        <f>G32+G39</f>
        <v>43489.2</v>
      </c>
      <c r="H31" s="179"/>
    </row>
    <row r="32" spans="1:8" ht="47.25" x14ac:dyDescent="0.25">
      <c r="A32" s="25" t="s">
        <v>140</v>
      </c>
      <c r="B32" s="16">
        <v>902</v>
      </c>
      <c r="C32" s="20" t="s">
        <v>133</v>
      </c>
      <c r="D32" s="20" t="s">
        <v>165</v>
      </c>
      <c r="E32" s="20" t="s">
        <v>141</v>
      </c>
      <c r="F32" s="20"/>
      <c r="G32" s="26">
        <f>G33+G35+G37</f>
        <v>39943.599999999999</v>
      </c>
      <c r="H32" s="179"/>
    </row>
    <row r="33" spans="1:10" ht="94.5" x14ac:dyDescent="0.25">
      <c r="A33" s="25" t="s">
        <v>142</v>
      </c>
      <c r="B33" s="16">
        <v>902</v>
      </c>
      <c r="C33" s="20" t="s">
        <v>133</v>
      </c>
      <c r="D33" s="20" t="s">
        <v>165</v>
      </c>
      <c r="E33" s="20" t="s">
        <v>141</v>
      </c>
      <c r="F33" s="20" t="s">
        <v>143</v>
      </c>
      <c r="G33" s="26">
        <f>G34</f>
        <v>34230.5</v>
      </c>
      <c r="H33" s="179"/>
    </row>
    <row r="34" spans="1:10" ht="31.5" x14ac:dyDescent="0.25">
      <c r="A34" s="25" t="s">
        <v>144</v>
      </c>
      <c r="B34" s="16">
        <v>902</v>
      </c>
      <c r="C34" s="20" t="s">
        <v>133</v>
      </c>
      <c r="D34" s="20" t="s">
        <v>165</v>
      </c>
      <c r="E34" s="20" t="s">
        <v>141</v>
      </c>
      <c r="F34" s="20" t="s">
        <v>145</v>
      </c>
      <c r="G34" s="158">
        <f>36517.7-553.5-1733.7</f>
        <v>34230.5</v>
      </c>
      <c r="H34" s="159" t="s">
        <v>737</v>
      </c>
      <c r="J34" s="174" t="s">
        <v>779</v>
      </c>
    </row>
    <row r="35" spans="1:10" ht="31.5" x14ac:dyDescent="0.25">
      <c r="A35" s="25" t="s">
        <v>146</v>
      </c>
      <c r="B35" s="16">
        <v>902</v>
      </c>
      <c r="C35" s="20" t="s">
        <v>133</v>
      </c>
      <c r="D35" s="20" t="s">
        <v>165</v>
      </c>
      <c r="E35" s="20" t="s">
        <v>141</v>
      </c>
      <c r="F35" s="20" t="s">
        <v>147</v>
      </c>
      <c r="G35" s="26">
        <f>G36</f>
        <v>5592.4</v>
      </c>
      <c r="H35" s="179"/>
    </row>
    <row r="36" spans="1:10" ht="47.25" x14ac:dyDescent="0.25">
      <c r="A36" s="25" t="s">
        <v>148</v>
      </c>
      <c r="B36" s="16">
        <v>902</v>
      </c>
      <c r="C36" s="20" t="s">
        <v>133</v>
      </c>
      <c r="D36" s="20" t="s">
        <v>165</v>
      </c>
      <c r="E36" s="20" t="s">
        <v>141</v>
      </c>
      <c r="F36" s="20" t="s">
        <v>149</v>
      </c>
      <c r="G36" s="27">
        <f>3962.7+1800-140.3-30</f>
        <v>5592.4</v>
      </c>
      <c r="H36" s="108"/>
      <c r="I36" s="127"/>
    </row>
    <row r="37" spans="1:10" ht="15.75" x14ac:dyDescent="0.25">
      <c r="A37" s="25" t="s">
        <v>150</v>
      </c>
      <c r="B37" s="16">
        <v>902</v>
      </c>
      <c r="C37" s="20" t="s">
        <v>133</v>
      </c>
      <c r="D37" s="20" t="s">
        <v>165</v>
      </c>
      <c r="E37" s="20" t="s">
        <v>141</v>
      </c>
      <c r="F37" s="20" t="s">
        <v>160</v>
      </c>
      <c r="G37" s="26">
        <f>G38</f>
        <v>120.7</v>
      </c>
      <c r="H37" s="179"/>
    </row>
    <row r="38" spans="1:10" ht="15.75" x14ac:dyDescent="0.25">
      <c r="A38" s="25" t="s">
        <v>583</v>
      </c>
      <c r="B38" s="16">
        <v>902</v>
      </c>
      <c r="C38" s="20" t="s">
        <v>133</v>
      </c>
      <c r="D38" s="20" t="s">
        <v>165</v>
      </c>
      <c r="E38" s="20" t="s">
        <v>141</v>
      </c>
      <c r="F38" s="20" t="s">
        <v>153</v>
      </c>
      <c r="G38" s="27">
        <f>90.7+30</f>
        <v>120.7</v>
      </c>
      <c r="H38" s="108"/>
      <c r="I38" s="126"/>
    </row>
    <row r="39" spans="1:10" ht="31.5" x14ac:dyDescent="0.25">
      <c r="A39" s="25" t="s">
        <v>166</v>
      </c>
      <c r="B39" s="16">
        <v>902</v>
      </c>
      <c r="C39" s="20" t="s">
        <v>133</v>
      </c>
      <c r="D39" s="20" t="s">
        <v>165</v>
      </c>
      <c r="E39" s="20" t="s">
        <v>167</v>
      </c>
      <c r="F39" s="20"/>
      <c r="G39" s="26">
        <f>G40</f>
        <v>3545.6</v>
      </c>
      <c r="H39" s="179"/>
    </row>
    <row r="40" spans="1:10" ht="94.5" x14ac:dyDescent="0.25">
      <c r="A40" s="25" t="s">
        <v>142</v>
      </c>
      <c r="B40" s="16">
        <v>902</v>
      </c>
      <c r="C40" s="20" t="s">
        <v>133</v>
      </c>
      <c r="D40" s="20" t="s">
        <v>165</v>
      </c>
      <c r="E40" s="20" t="s">
        <v>167</v>
      </c>
      <c r="F40" s="20" t="s">
        <v>143</v>
      </c>
      <c r="G40" s="26">
        <f>G41</f>
        <v>3545.6</v>
      </c>
      <c r="H40" s="179"/>
    </row>
    <row r="41" spans="1:10" ht="31.5" x14ac:dyDescent="0.25">
      <c r="A41" s="25" t="s">
        <v>144</v>
      </c>
      <c r="B41" s="16">
        <v>902</v>
      </c>
      <c r="C41" s="20" t="s">
        <v>133</v>
      </c>
      <c r="D41" s="20" t="s">
        <v>165</v>
      </c>
      <c r="E41" s="20" t="s">
        <v>167</v>
      </c>
      <c r="F41" s="20" t="s">
        <v>145</v>
      </c>
      <c r="G41" s="27">
        <v>3545.6</v>
      </c>
      <c r="H41" s="179"/>
    </row>
    <row r="42" spans="1:10" ht="15.75" x14ac:dyDescent="0.25">
      <c r="A42" s="25" t="s">
        <v>156</v>
      </c>
      <c r="B42" s="16">
        <v>902</v>
      </c>
      <c r="C42" s="20" t="s">
        <v>133</v>
      </c>
      <c r="D42" s="20" t="s">
        <v>165</v>
      </c>
      <c r="E42" s="20" t="s">
        <v>157</v>
      </c>
      <c r="F42" s="20"/>
      <c r="G42" s="28">
        <f>G43</f>
        <v>8019</v>
      </c>
      <c r="H42" s="179"/>
    </row>
    <row r="43" spans="1:10" ht="31.5" x14ac:dyDescent="0.25">
      <c r="A43" s="25" t="s">
        <v>168</v>
      </c>
      <c r="B43" s="16">
        <v>902</v>
      </c>
      <c r="C43" s="20" t="s">
        <v>133</v>
      </c>
      <c r="D43" s="20" t="s">
        <v>165</v>
      </c>
      <c r="E43" s="20" t="s">
        <v>169</v>
      </c>
      <c r="F43" s="20"/>
      <c r="G43" s="26">
        <f>G44+G46</f>
        <v>8019</v>
      </c>
      <c r="H43" s="179"/>
    </row>
    <row r="44" spans="1:10" ht="94.5" x14ac:dyDescent="0.25">
      <c r="A44" s="25" t="s">
        <v>142</v>
      </c>
      <c r="B44" s="16">
        <v>902</v>
      </c>
      <c r="C44" s="20" t="s">
        <v>133</v>
      </c>
      <c r="D44" s="20" t="s">
        <v>165</v>
      </c>
      <c r="E44" s="20" t="s">
        <v>169</v>
      </c>
      <c r="F44" s="20" t="s">
        <v>143</v>
      </c>
      <c r="G44" s="26">
        <f>G45</f>
        <v>5761.2</v>
      </c>
      <c r="H44" s="179"/>
    </row>
    <row r="45" spans="1:10" ht="31.5" x14ac:dyDescent="0.25">
      <c r="A45" s="25" t="s">
        <v>144</v>
      </c>
      <c r="B45" s="16">
        <v>902</v>
      </c>
      <c r="C45" s="20" t="s">
        <v>133</v>
      </c>
      <c r="D45" s="20" t="s">
        <v>165</v>
      </c>
      <c r="E45" s="20" t="s">
        <v>169</v>
      </c>
      <c r="F45" s="20" t="s">
        <v>145</v>
      </c>
      <c r="G45" s="158">
        <f>6958.6+88.4-2398.3+1112.5</f>
        <v>5761.2</v>
      </c>
      <c r="H45" s="108" t="s">
        <v>738</v>
      </c>
      <c r="I45" s="126"/>
      <c r="J45" s="173" t="s">
        <v>780</v>
      </c>
    </row>
    <row r="46" spans="1:10" ht="31.5" x14ac:dyDescent="0.25">
      <c r="A46" s="25" t="s">
        <v>146</v>
      </c>
      <c r="B46" s="16">
        <v>902</v>
      </c>
      <c r="C46" s="20" t="s">
        <v>133</v>
      </c>
      <c r="D46" s="20" t="s">
        <v>165</v>
      </c>
      <c r="E46" s="20" t="s">
        <v>169</v>
      </c>
      <c r="F46" s="20" t="s">
        <v>147</v>
      </c>
      <c r="G46" s="26">
        <f>G47</f>
        <v>2257.8000000000002</v>
      </c>
      <c r="H46" s="179"/>
    </row>
    <row r="47" spans="1:10" ht="47.25" x14ac:dyDescent="0.25">
      <c r="A47" s="25" t="s">
        <v>148</v>
      </c>
      <c r="B47" s="16">
        <v>902</v>
      </c>
      <c r="C47" s="20" t="s">
        <v>133</v>
      </c>
      <c r="D47" s="20" t="s">
        <v>165</v>
      </c>
      <c r="E47" s="20" t="s">
        <v>169</v>
      </c>
      <c r="F47" s="20" t="s">
        <v>149</v>
      </c>
      <c r="G47" s="158">
        <f>2109.3+129.9+835.5-1438.1+621.2</f>
        <v>2257.8000000000002</v>
      </c>
      <c r="H47" s="108" t="s">
        <v>739</v>
      </c>
      <c r="I47" s="127"/>
    </row>
    <row r="48" spans="1:10" ht="63" x14ac:dyDescent="0.25">
      <c r="A48" s="23" t="s">
        <v>134</v>
      </c>
      <c r="B48" s="19">
        <v>902</v>
      </c>
      <c r="C48" s="24" t="s">
        <v>133</v>
      </c>
      <c r="D48" s="24" t="s">
        <v>135</v>
      </c>
      <c r="E48" s="24"/>
      <c r="F48" s="20"/>
      <c r="G48" s="21">
        <f>G49</f>
        <v>1081.7</v>
      </c>
      <c r="H48" s="179"/>
    </row>
    <row r="49" spans="1:11" ht="21" customHeight="1" x14ac:dyDescent="0.25">
      <c r="A49" s="25" t="s">
        <v>136</v>
      </c>
      <c r="B49" s="16">
        <v>902</v>
      </c>
      <c r="C49" s="20" t="s">
        <v>133</v>
      </c>
      <c r="D49" s="20" t="s">
        <v>135</v>
      </c>
      <c r="E49" s="20" t="s">
        <v>137</v>
      </c>
      <c r="F49" s="20"/>
      <c r="G49" s="26">
        <f>G50</f>
        <v>1081.7</v>
      </c>
      <c r="H49" s="179"/>
    </row>
    <row r="50" spans="1:11" ht="31.5" x14ac:dyDescent="0.25">
      <c r="A50" s="25" t="s">
        <v>138</v>
      </c>
      <c r="B50" s="16">
        <v>902</v>
      </c>
      <c r="C50" s="20" t="s">
        <v>133</v>
      </c>
      <c r="D50" s="20" t="s">
        <v>135</v>
      </c>
      <c r="E50" s="20" t="s">
        <v>139</v>
      </c>
      <c r="F50" s="20"/>
      <c r="G50" s="26">
        <f>G51</f>
        <v>1081.7</v>
      </c>
      <c r="H50" s="179"/>
      <c r="K50" s="26"/>
    </row>
    <row r="51" spans="1:11" ht="47.25" x14ac:dyDescent="0.25">
      <c r="A51" s="25" t="s">
        <v>140</v>
      </c>
      <c r="B51" s="16">
        <v>902</v>
      </c>
      <c r="C51" s="20" t="s">
        <v>133</v>
      </c>
      <c r="D51" s="20" t="s">
        <v>135</v>
      </c>
      <c r="E51" s="20" t="s">
        <v>141</v>
      </c>
      <c r="F51" s="20"/>
      <c r="G51" s="26">
        <f>G52+G54</f>
        <v>1081.7</v>
      </c>
      <c r="H51" s="179"/>
      <c r="K51" s="26"/>
    </row>
    <row r="52" spans="1:11" ht="94.5" x14ac:dyDescent="0.25">
      <c r="A52" s="25" t="s">
        <v>142</v>
      </c>
      <c r="B52" s="16">
        <v>902</v>
      </c>
      <c r="C52" s="20" t="s">
        <v>133</v>
      </c>
      <c r="D52" s="20" t="s">
        <v>135</v>
      </c>
      <c r="E52" s="20" t="s">
        <v>141</v>
      </c>
      <c r="F52" s="20" t="s">
        <v>143</v>
      </c>
      <c r="G52" s="26">
        <f>G53</f>
        <v>1081.7</v>
      </c>
      <c r="H52" s="179"/>
      <c r="K52" s="27"/>
    </row>
    <row r="53" spans="1:11" ht="31.5" x14ac:dyDescent="0.25">
      <c r="A53" s="25" t="s">
        <v>144</v>
      </c>
      <c r="B53" s="16">
        <v>902</v>
      </c>
      <c r="C53" s="20" t="s">
        <v>133</v>
      </c>
      <c r="D53" s="20" t="s">
        <v>135</v>
      </c>
      <c r="E53" s="20" t="s">
        <v>141</v>
      </c>
      <c r="F53" s="20" t="s">
        <v>145</v>
      </c>
      <c r="G53" s="27">
        <f>1081.7</f>
        <v>1081.7</v>
      </c>
      <c r="H53" s="179"/>
      <c r="I53" s="117"/>
      <c r="K53" s="26"/>
    </row>
    <row r="54" spans="1:11" ht="31.5" hidden="1" x14ac:dyDescent="0.25">
      <c r="A54" s="25" t="s">
        <v>146</v>
      </c>
      <c r="B54" s="16">
        <v>902</v>
      </c>
      <c r="C54" s="20" t="s">
        <v>133</v>
      </c>
      <c r="D54" s="20" t="s">
        <v>135</v>
      </c>
      <c r="E54" s="20" t="s">
        <v>141</v>
      </c>
      <c r="F54" s="20" t="s">
        <v>147</v>
      </c>
      <c r="G54" s="27">
        <f>G55</f>
        <v>0</v>
      </c>
      <c r="H54" s="179"/>
      <c r="K54" s="26"/>
    </row>
    <row r="55" spans="1:11" ht="47.25" hidden="1" x14ac:dyDescent="0.25">
      <c r="A55" s="25" t="s">
        <v>148</v>
      </c>
      <c r="B55" s="16">
        <v>902</v>
      </c>
      <c r="C55" s="20" t="s">
        <v>133</v>
      </c>
      <c r="D55" s="20" t="s">
        <v>135</v>
      </c>
      <c r="E55" s="20" t="s">
        <v>141</v>
      </c>
      <c r="F55" s="20" t="s">
        <v>149</v>
      </c>
      <c r="G55" s="27"/>
      <c r="H55" s="179"/>
      <c r="I55" s="117"/>
      <c r="K55" s="26"/>
    </row>
    <row r="56" spans="1:11" ht="15.75" x14ac:dyDescent="0.25">
      <c r="A56" s="23" t="s">
        <v>154</v>
      </c>
      <c r="B56" s="19">
        <v>902</v>
      </c>
      <c r="C56" s="24" t="s">
        <v>133</v>
      </c>
      <c r="D56" s="24" t="s">
        <v>155</v>
      </c>
      <c r="E56" s="24"/>
      <c r="F56" s="24"/>
      <c r="G56" s="21">
        <f>G57+G61+G73+G86+G97+G90</f>
        <v>13472.8</v>
      </c>
      <c r="H56" s="179"/>
      <c r="I56" s="116"/>
      <c r="K56" s="26"/>
    </row>
    <row r="57" spans="1:11" ht="63" x14ac:dyDescent="0.25">
      <c r="A57" s="25" t="s">
        <v>170</v>
      </c>
      <c r="B57" s="16">
        <v>902</v>
      </c>
      <c r="C57" s="20" t="s">
        <v>133</v>
      </c>
      <c r="D57" s="20" t="s">
        <v>155</v>
      </c>
      <c r="E57" s="20" t="s">
        <v>171</v>
      </c>
      <c r="F57" s="20"/>
      <c r="G57" s="26">
        <f>G58</f>
        <v>250</v>
      </c>
      <c r="H57" s="179"/>
    </row>
    <row r="58" spans="1:11" ht="31.5" x14ac:dyDescent="0.25">
      <c r="A58" s="25" t="s">
        <v>172</v>
      </c>
      <c r="B58" s="16">
        <v>902</v>
      </c>
      <c r="C58" s="20" t="s">
        <v>133</v>
      </c>
      <c r="D58" s="20" t="s">
        <v>155</v>
      </c>
      <c r="E58" s="20" t="s">
        <v>173</v>
      </c>
      <c r="F58" s="20"/>
      <c r="G58" s="26">
        <f>G59</f>
        <v>250</v>
      </c>
      <c r="H58" s="179"/>
    </row>
    <row r="59" spans="1:11" ht="15.75" x14ac:dyDescent="0.25">
      <c r="A59" s="25" t="s">
        <v>150</v>
      </c>
      <c r="B59" s="16">
        <v>902</v>
      </c>
      <c r="C59" s="20" t="s">
        <v>133</v>
      </c>
      <c r="D59" s="20" t="s">
        <v>155</v>
      </c>
      <c r="E59" s="20" t="s">
        <v>173</v>
      </c>
      <c r="F59" s="20" t="s">
        <v>160</v>
      </c>
      <c r="G59" s="26">
        <f>G60</f>
        <v>250</v>
      </c>
      <c r="H59" s="179"/>
    </row>
    <row r="60" spans="1:11" ht="78.75" x14ac:dyDescent="0.25">
      <c r="A60" s="25" t="s">
        <v>174</v>
      </c>
      <c r="B60" s="16">
        <v>902</v>
      </c>
      <c r="C60" s="20" t="s">
        <v>133</v>
      </c>
      <c r="D60" s="20" t="s">
        <v>155</v>
      </c>
      <c r="E60" s="20" t="s">
        <v>173</v>
      </c>
      <c r="F60" s="20" t="s">
        <v>175</v>
      </c>
      <c r="G60" s="26">
        <f>100+150</f>
        <v>250</v>
      </c>
      <c r="H60" s="179"/>
      <c r="I60" s="117"/>
    </row>
    <row r="61" spans="1:11" ht="47.25" x14ac:dyDescent="0.25">
      <c r="A61" s="25" t="s">
        <v>176</v>
      </c>
      <c r="B61" s="16">
        <v>902</v>
      </c>
      <c r="C61" s="20" t="s">
        <v>133</v>
      </c>
      <c r="D61" s="20" t="s">
        <v>155</v>
      </c>
      <c r="E61" s="20" t="s">
        <v>177</v>
      </c>
      <c r="F61" s="20"/>
      <c r="G61" s="26">
        <f>G62+G65+G70</f>
        <v>653.5</v>
      </c>
      <c r="H61" s="179"/>
    </row>
    <row r="62" spans="1:11" ht="31.5" x14ac:dyDescent="0.25">
      <c r="A62" s="29" t="s">
        <v>178</v>
      </c>
      <c r="B62" s="16">
        <v>902</v>
      </c>
      <c r="C62" s="20" t="s">
        <v>133</v>
      </c>
      <c r="D62" s="20" t="s">
        <v>155</v>
      </c>
      <c r="E62" s="40" t="s">
        <v>179</v>
      </c>
      <c r="F62" s="20"/>
      <c r="G62" s="26">
        <f>G63</f>
        <v>428.1</v>
      </c>
      <c r="H62" s="179"/>
    </row>
    <row r="63" spans="1:11" ht="31.5" x14ac:dyDescent="0.25">
      <c r="A63" s="25" t="s">
        <v>146</v>
      </c>
      <c r="B63" s="16">
        <v>902</v>
      </c>
      <c r="C63" s="20" t="s">
        <v>133</v>
      </c>
      <c r="D63" s="20" t="s">
        <v>155</v>
      </c>
      <c r="E63" s="40" t="s">
        <v>179</v>
      </c>
      <c r="F63" s="20" t="s">
        <v>147</v>
      </c>
      <c r="G63" s="26">
        <f>G64</f>
        <v>428.1</v>
      </c>
      <c r="H63" s="179"/>
    </row>
    <row r="64" spans="1:11" ht="47.25" x14ac:dyDescent="0.25">
      <c r="A64" s="25" t="s">
        <v>148</v>
      </c>
      <c r="B64" s="16">
        <v>902</v>
      </c>
      <c r="C64" s="20" t="s">
        <v>133</v>
      </c>
      <c r="D64" s="20" t="s">
        <v>155</v>
      </c>
      <c r="E64" s="40" t="s">
        <v>179</v>
      </c>
      <c r="F64" s="20" t="s">
        <v>149</v>
      </c>
      <c r="G64" s="26">
        <f>494.3-66.2</f>
        <v>428.1</v>
      </c>
      <c r="H64" s="179"/>
    </row>
    <row r="65" spans="1:8" ht="63" x14ac:dyDescent="0.25">
      <c r="A65" s="180" t="s">
        <v>180</v>
      </c>
      <c r="B65" s="16">
        <v>902</v>
      </c>
      <c r="C65" s="20" t="s">
        <v>133</v>
      </c>
      <c r="D65" s="20" t="s">
        <v>155</v>
      </c>
      <c r="E65" s="40" t="s">
        <v>181</v>
      </c>
      <c r="F65" s="20"/>
      <c r="G65" s="26">
        <f>G66+G68</f>
        <v>224.89999999999998</v>
      </c>
      <c r="H65" s="179"/>
    </row>
    <row r="66" spans="1:8" ht="94.5" x14ac:dyDescent="0.25">
      <c r="A66" s="25" t="s">
        <v>142</v>
      </c>
      <c r="B66" s="16">
        <v>902</v>
      </c>
      <c r="C66" s="20" t="s">
        <v>133</v>
      </c>
      <c r="D66" s="20" t="s">
        <v>155</v>
      </c>
      <c r="E66" s="40" t="s">
        <v>181</v>
      </c>
      <c r="F66" s="20" t="s">
        <v>143</v>
      </c>
      <c r="G66" s="26">
        <f>G67</f>
        <v>159.69999999999999</v>
      </c>
      <c r="H66" s="179"/>
    </row>
    <row r="67" spans="1:8" ht="31.5" x14ac:dyDescent="0.25">
      <c r="A67" s="25" t="s">
        <v>144</v>
      </c>
      <c r="B67" s="16">
        <v>902</v>
      </c>
      <c r="C67" s="20" t="s">
        <v>133</v>
      </c>
      <c r="D67" s="20" t="s">
        <v>155</v>
      </c>
      <c r="E67" s="40" t="s">
        <v>181</v>
      </c>
      <c r="F67" s="20" t="s">
        <v>145</v>
      </c>
      <c r="G67" s="26">
        <v>159.69999999999999</v>
      </c>
      <c r="H67" s="179"/>
    </row>
    <row r="68" spans="1:8" ht="31.5" x14ac:dyDescent="0.25">
      <c r="A68" s="25" t="s">
        <v>146</v>
      </c>
      <c r="B68" s="16">
        <v>902</v>
      </c>
      <c r="C68" s="20" t="s">
        <v>133</v>
      </c>
      <c r="D68" s="20" t="s">
        <v>155</v>
      </c>
      <c r="E68" s="40" t="s">
        <v>181</v>
      </c>
      <c r="F68" s="20" t="s">
        <v>147</v>
      </c>
      <c r="G68" s="26">
        <f>G69</f>
        <v>65.2</v>
      </c>
      <c r="H68" s="179"/>
    </row>
    <row r="69" spans="1:8" ht="47.25" x14ac:dyDescent="0.25">
      <c r="A69" s="25" t="s">
        <v>148</v>
      </c>
      <c r="B69" s="16">
        <v>902</v>
      </c>
      <c r="C69" s="20" t="s">
        <v>133</v>
      </c>
      <c r="D69" s="20" t="s">
        <v>155</v>
      </c>
      <c r="E69" s="40" t="s">
        <v>181</v>
      </c>
      <c r="F69" s="20" t="s">
        <v>149</v>
      </c>
      <c r="G69" s="26">
        <f>66.2-0.5-0.5</f>
        <v>65.2</v>
      </c>
      <c r="H69" s="108"/>
    </row>
    <row r="70" spans="1:8" ht="47.25" x14ac:dyDescent="0.25">
      <c r="A70" s="33" t="s">
        <v>206</v>
      </c>
      <c r="B70" s="16">
        <v>902</v>
      </c>
      <c r="C70" s="20" t="s">
        <v>133</v>
      </c>
      <c r="D70" s="20" t="s">
        <v>155</v>
      </c>
      <c r="E70" s="40" t="s">
        <v>698</v>
      </c>
      <c r="F70" s="20"/>
      <c r="G70" s="26">
        <f>G71</f>
        <v>0.5</v>
      </c>
      <c r="H70" s="110"/>
    </row>
    <row r="71" spans="1:8" ht="31.5" x14ac:dyDescent="0.25">
      <c r="A71" s="25" t="s">
        <v>146</v>
      </c>
      <c r="B71" s="16">
        <v>902</v>
      </c>
      <c r="C71" s="20" t="s">
        <v>133</v>
      </c>
      <c r="D71" s="20" t="s">
        <v>155</v>
      </c>
      <c r="E71" s="40" t="s">
        <v>698</v>
      </c>
      <c r="F71" s="20" t="s">
        <v>147</v>
      </c>
      <c r="G71" s="26">
        <f>G72</f>
        <v>0.5</v>
      </c>
      <c r="H71" s="179"/>
    </row>
    <row r="72" spans="1:8" ht="47.25" x14ac:dyDescent="0.25">
      <c r="A72" s="25" t="s">
        <v>148</v>
      </c>
      <c r="B72" s="16">
        <v>902</v>
      </c>
      <c r="C72" s="20" t="s">
        <v>133</v>
      </c>
      <c r="D72" s="20" t="s">
        <v>155</v>
      </c>
      <c r="E72" s="40" t="s">
        <v>698</v>
      </c>
      <c r="F72" s="20" t="s">
        <v>149</v>
      </c>
      <c r="G72" s="26">
        <v>0.5</v>
      </c>
      <c r="H72" s="108"/>
    </row>
    <row r="73" spans="1:8" ht="94.5" x14ac:dyDescent="0.25">
      <c r="A73" s="29" t="s">
        <v>182</v>
      </c>
      <c r="B73" s="16">
        <v>902</v>
      </c>
      <c r="C73" s="9" t="s">
        <v>133</v>
      </c>
      <c r="D73" s="9" t="s">
        <v>155</v>
      </c>
      <c r="E73" s="5" t="s">
        <v>183</v>
      </c>
      <c r="F73" s="9"/>
      <c r="G73" s="26">
        <f>G74+G78+G82</f>
        <v>80</v>
      </c>
      <c r="H73" s="179"/>
    </row>
    <row r="74" spans="1:8" ht="78.75" x14ac:dyDescent="0.25">
      <c r="A74" s="29" t="s">
        <v>184</v>
      </c>
      <c r="B74" s="16">
        <v>902</v>
      </c>
      <c r="C74" s="9" t="s">
        <v>133</v>
      </c>
      <c r="D74" s="9" t="s">
        <v>155</v>
      </c>
      <c r="E74" s="30" t="s">
        <v>185</v>
      </c>
      <c r="F74" s="9"/>
      <c r="G74" s="26">
        <f>G75</f>
        <v>15</v>
      </c>
      <c r="H74" s="179"/>
    </row>
    <row r="75" spans="1:8" ht="31.5" x14ac:dyDescent="0.25">
      <c r="A75" s="180" t="s">
        <v>186</v>
      </c>
      <c r="B75" s="16">
        <v>902</v>
      </c>
      <c r="C75" s="9" t="s">
        <v>133</v>
      </c>
      <c r="D75" s="9" t="s">
        <v>155</v>
      </c>
      <c r="E75" s="5" t="s">
        <v>187</v>
      </c>
      <c r="F75" s="9"/>
      <c r="G75" s="26">
        <f>G76</f>
        <v>15</v>
      </c>
      <c r="H75" s="179"/>
    </row>
    <row r="76" spans="1:8" ht="31.5" x14ac:dyDescent="0.25">
      <c r="A76" s="25" t="s">
        <v>146</v>
      </c>
      <c r="B76" s="16">
        <v>902</v>
      </c>
      <c r="C76" s="9" t="s">
        <v>133</v>
      </c>
      <c r="D76" s="9" t="s">
        <v>155</v>
      </c>
      <c r="E76" s="5" t="s">
        <v>187</v>
      </c>
      <c r="F76" s="9" t="s">
        <v>147</v>
      </c>
      <c r="G76" s="26">
        <f>G77</f>
        <v>15</v>
      </c>
      <c r="H76" s="179"/>
    </row>
    <row r="77" spans="1:8" ht="47.25" x14ac:dyDescent="0.25">
      <c r="A77" s="25" t="s">
        <v>148</v>
      </c>
      <c r="B77" s="16">
        <v>902</v>
      </c>
      <c r="C77" s="9" t="s">
        <v>133</v>
      </c>
      <c r="D77" s="9" t="s">
        <v>155</v>
      </c>
      <c r="E77" s="5" t="s">
        <v>187</v>
      </c>
      <c r="F77" s="9" t="s">
        <v>149</v>
      </c>
      <c r="G77" s="26">
        <v>15</v>
      </c>
      <c r="H77" s="179"/>
    </row>
    <row r="78" spans="1:8" ht="63" x14ac:dyDescent="0.25">
      <c r="A78" s="29" t="s">
        <v>188</v>
      </c>
      <c r="B78" s="16">
        <v>902</v>
      </c>
      <c r="C78" s="9" t="s">
        <v>133</v>
      </c>
      <c r="D78" s="9" t="s">
        <v>155</v>
      </c>
      <c r="E78" s="30" t="s">
        <v>189</v>
      </c>
      <c r="F78" s="9"/>
      <c r="G78" s="26">
        <f>G79</f>
        <v>50</v>
      </c>
      <c r="H78" s="179"/>
    </row>
    <row r="79" spans="1:8" ht="31.5" x14ac:dyDescent="0.25">
      <c r="A79" s="45" t="s">
        <v>190</v>
      </c>
      <c r="B79" s="16">
        <v>902</v>
      </c>
      <c r="C79" s="9" t="s">
        <v>133</v>
      </c>
      <c r="D79" s="9" t="s">
        <v>155</v>
      </c>
      <c r="E79" s="5" t="s">
        <v>191</v>
      </c>
      <c r="F79" s="9"/>
      <c r="G79" s="26">
        <f>G80</f>
        <v>50</v>
      </c>
      <c r="H79" s="179"/>
    </row>
    <row r="80" spans="1:8" ht="31.5" x14ac:dyDescent="0.25">
      <c r="A80" s="25" t="s">
        <v>146</v>
      </c>
      <c r="B80" s="16">
        <v>902</v>
      </c>
      <c r="C80" s="9" t="s">
        <v>133</v>
      </c>
      <c r="D80" s="9" t="s">
        <v>155</v>
      </c>
      <c r="E80" s="5" t="s">
        <v>191</v>
      </c>
      <c r="F80" s="9" t="s">
        <v>147</v>
      </c>
      <c r="G80" s="26">
        <f>G81</f>
        <v>50</v>
      </c>
      <c r="H80" s="179"/>
    </row>
    <row r="81" spans="1:9" ht="47.25" x14ac:dyDescent="0.25">
      <c r="A81" s="25" t="s">
        <v>148</v>
      </c>
      <c r="B81" s="16">
        <v>902</v>
      </c>
      <c r="C81" s="9" t="s">
        <v>133</v>
      </c>
      <c r="D81" s="9" t="s">
        <v>155</v>
      </c>
      <c r="E81" s="5" t="s">
        <v>191</v>
      </c>
      <c r="F81" s="9" t="s">
        <v>149</v>
      </c>
      <c r="G81" s="26">
        <v>50</v>
      </c>
      <c r="H81" s="179"/>
    </row>
    <row r="82" spans="1:9" ht="47.25" x14ac:dyDescent="0.25">
      <c r="A82" s="25" t="s">
        <v>192</v>
      </c>
      <c r="B82" s="16">
        <v>902</v>
      </c>
      <c r="C82" s="9" t="s">
        <v>133</v>
      </c>
      <c r="D82" s="9" t="s">
        <v>155</v>
      </c>
      <c r="E82" s="5" t="s">
        <v>193</v>
      </c>
      <c r="F82" s="9"/>
      <c r="G82" s="26">
        <f>G83</f>
        <v>15</v>
      </c>
      <c r="H82" s="179"/>
    </row>
    <row r="83" spans="1:9" ht="15.75" x14ac:dyDescent="0.25">
      <c r="A83" s="45" t="s">
        <v>194</v>
      </c>
      <c r="B83" s="16">
        <v>902</v>
      </c>
      <c r="C83" s="9" t="s">
        <v>133</v>
      </c>
      <c r="D83" s="9" t="s">
        <v>155</v>
      </c>
      <c r="E83" s="5" t="s">
        <v>195</v>
      </c>
      <c r="F83" s="9"/>
      <c r="G83" s="26">
        <f>G84</f>
        <v>15</v>
      </c>
      <c r="H83" s="179"/>
    </row>
    <row r="84" spans="1:9" ht="31.5" x14ac:dyDescent="0.25">
      <c r="A84" s="25" t="s">
        <v>146</v>
      </c>
      <c r="B84" s="16">
        <v>902</v>
      </c>
      <c r="C84" s="9" t="s">
        <v>133</v>
      </c>
      <c r="D84" s="9" t="s">
        <v>155</v>
      </c>
      <c r="E84" s="5" t="s">
        <v>195</v>
      </c>
      <c r="F84" s="9" t="s">
        <v>147</v>
      </c>
      <c r="G84" s="26">
        <f>G85</f>
        <v>15</v>
      </c>
      <c r="H84" s="179"/>
    </row>
    <row r="85" spans="1:9" ht="47.25" x14ac:dyDescent="0.25">
      <c r="A85" s="25" t="s">
        <v>148</v>
      </c>
      <c r="B85" s="16">
        <v>902</v>
      </c>
      <c r="C85" s="9" t="s">
        <v>133</v>
      </c>
      <c r="D85" s="9" t="s">
        <v>155</v>
      </c>
      <c r="E85" s="5" t="s">
        <v>195</v>
      </c>
      <c r="F85" s="9" t="s">
        <v>149</v>
      </c>
      <c r="G85" s="26">
        <v>15</v>
      </c>
      <c r="H85" s="179"/>
    </row>
    <row r="86" spans="1:9" ht="47.25" x14ac:dyDescent="0.25">
      <c r="A86" s="31" t="s">
        <v>196</v>
      </c>
      <c r="B86" s="16">
        <v>902</v>
      </c>
      <c r="C86" s="20" t="s">
        <v>133</v>
      </c>
      <c r="D86" s="20" t="s">
        <v>155</v>
      </c>
      <c r="E86" s="30" t="s">
        <v>197</v>
      </c>
      <c r="F86" s="32"/>
      <c r="G86" s="26">
        <f>G87</f>
        <v>120</v>
      </c>
      <c r="H86" s="179"/>
    </row>
    <row r="87" spans="1:9" ht="31.5" x14ac:dyDescent="0.25">
      <c r="A87" s="25" t="s">
        <v>172</v>
      </c>
      <c r="B87" s="16">
        <v>902</v>
      </c>
      <c r="C87" s="20" t="s">
        <v>133</v>
      </c>
      <c r="D87" s="20" t="s">
        <v>155</v>
      </c>
      <c r="E87" s="20" t="s">
        <v>198</v>
      </c>
      <c r="F87" s="32"/>
      <c r="G87" s="26">
        <f>G88</f>
        <v>120</v>
      </c>
      <c r="H87" s="179"/>
    </row>
    <row r="88" spans="1:9" ht="15.75" x14ac:dyDescent="0.25">
      <c r="A88" s="29" t="s">
        <v>150</v>
      </c>
      <c r="B88" s="16">
        <v>902</v>
      </c>
      <c r="C88" s="20" t="s">
        <v>133</v>
      </c>
      <c r="D88" s="20" t="s">
        <v>155</v>
      </c>
      <c r="E88" s="20" t="s">
        <v>198</v>
      </c>
      <c r="F88" s="32" t="s">
        <v>160</v>
      </c>
      <c r="G88" s="26">
        <f>G89</f>
        <v>120</v>
      </c>
      <c r="H88" s="179"/>
    </row>
    <row r="89" spans="1:9" ht="63" x14ac:dyDescent="0.25">
      <c r="A89" s="29" t="s">
        <v>199</v>
      </c>
      <c r="B89" s="16">
        <v>902</v>
      </c>
      <c r="C89" s="20" t="s">
        <v>133</v>
      </c>
      <c r="D89" s="20" t="s">
        <v>155</v>
      </c>
      <c r="E89" s="20" t="s">
        <v>198</v>
      </c>
      <c r="F89" s="32" t="s">
        <v>175</v>
      </c>
      <c r="G89" s="26">
        <f>100+20</f>
        <v>120</v>
      </c>
      <c r="H89" s="108"/>
      <c r="I89" s="128"/>
    </row>
    <row r="90" spans="1:9" ht="63" x14ac:dyDescent="0.25">
      <c r="A90" s="29" t="s">
        <v>729</v>
      </c>
      <c r="B90" s="16">
        <v>902</v>
      </c>
      <c r="C90" s="20" t="s">
        <v>133</v>
      </c>
      <c r="D90" s="20" t="s">
        <v>155</v>
      </c>
      <c r="E90" s="20" t="s">
        <v>727</v>
      </c>
      <c r="F90" s="32"/>
      <c r="G90" s="26">
        <f>G91</f>
        <v>29</v>
      </c>
      <c r="H90" s="110"/>
    </row>
    <row r="91" spans="1:9" ht="31.5" x14ac:dyDescent="0.25">
      <c r="A91" s="31" t="s">
        <v>172</v>
      </c>
      <c r="B91" s="16">
        <v>902</v>
      </c>
      <c r="C91" s="20" t="s">
        <v>133</v>
      </c>
      <c r="D91" s="20" t="s">
        <v>155</v>
      </c>
      <c r="E91" s="20" t="s">
        <v>735</v>
      </c>
      <c r="F91" s="32"/>
      <c r="G91" s="26">
        <f>G92</f>
        <v>29</v>
      </c>
      <c r="H91" s="110"/>
    </row>
    <row r="92" spans="1:9" ht="31.5" x14ac:dyDescent="0.25">
      <c r="A92" s="25" t="s">
        <v>146</v>
      </c>
      <c r="B92" s="16">
        <v>902</v>
      </c>
      <c r="C92" s="20" t="s">
        <v>133</v>
      </c>
      <c r="D92" s="20" t="s">
        <v>155</v>
      </c>
      <c r="E92" s="20" t="s">
        <v>735</v>
      </c>
      <c r="F92" s="32" t="s">
        <v>147</v>
      </c>
      <c r="G92" s="26">
        <f>G93</f>
        <v>29</v>
      </c>
      <c r="H92" s="110"/>
    </row>
    <row r="93" spans="1:9" ht="47.25" x14ac:dyDescent="0.25">
      <c r="A93" s="25" t="s">
        <v>148</v>
      </c>
      <c r="B93" s="16">
        <v>902</v>
      </c>
      <c r="C93" s="20" t="s">
        <v>133</v>
      </c>
      <c r="D93" s="20" t="s">
        <v>155</v>
      </c>
      <c r="E93" s="20" t="s">
        <v>735</v>
      </c>
      <c r="F93" s="32" t="s">
        <v>149</v>
      </c>
      <c r="G93" s="26">
        <v>29</v>
      </c>
      <c r="H93" s="110"/>
      <c r="I93" s="126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10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10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10"/>
      <c r="I96" s="126"/>
    </row>
    <row r="97" spans="1:9" ht="15.75" x14ac:dyDescent="0.25">
      <c r="A97" s="25" t="s">
        <v>136</v>
      </c>
      <c r="B97" s="16">
        <v>902</v>
      </c>
      <c r="C97" s="20" t="s">
        <v>133</v>
      </c>
      <c r="D97" s="20" t="s">
        <v>155</v>
      </c>
      <c r="E97" s="20" t="s">
        <v>137</v>
      </c>
      <c r="F97" s="20"/>
      <c r="G97" s="26">
        <f>G98+G121</f>
        <v>12340.3</v>
      </c>
      <c r="H97" s="179"/>
    </row>
    <row r="98" spans="1:9" ht="31.5" x14ac:dyDescent="0.25">
      <c r="A98" s="25" t="s">
        <v>200</v>
      </c>
      <c r="B98" s="16">
        <v>902</v>
      </c>
      <c r="C98" s="20" t="s">
        <v>133</v>
      </c>
      <c r="D98" s="20" t="s">
        <v>155</v>
      </c>
      <c r="E98" s="20" t="s">
        <v>201</v>
      </c>
      <c r="F98" s="20"/>
      <c r="G98" s="26">
        <f>G104+G107+G113+G116</f>
        <v>3600.8999999999996</v>
      </c>
      <c r="H98" s="179"/>
    </row>
    <row r="99" spans="1:9" ht="47.25" hidden="1" x14ac:dyDescent="0.25">
      <c r="A99" s="25" t="s">
        <v>202</v>
      </c>
      <c r="B99" s="16">
        <v>902</v>
      </c>
      <c r="C99" s="20" t="s">
        <v>133</v>
      </c>
      <c r="D99" s="20" t="s">
        <v>155</v>
      </c>
      <c r="E99" s="20" t="s">
        <v>203</v>
      </c>
      <c r="F99" s="24"/>
      <c r="G99" s="26">
        <f>G100+G102</f>
        <v>0</v>
      </c>
      <c r="H99" s="179"/>
    </row>
    <row r="100" spans="1:9" ht="94.5" hidden="1" x14ac:dyDescent="0.25">
      <c r="A100" s="25" t="s">
        <v>142</v>
      </c>
      <c r="B100" s="16">
        <v>902</v>
      </c>
      <c r="C100" s="20" t="s">
        <v>133</v>
      </c>
      <c r="D100" s="20" t="s">
        <v>155</v>
      </c>
      <c r="E100" s="20" t="s">
        <v>203</v>
      </c>
      <c r="F100" s="20" t="s">
        <v>143</v>
      </c>
      <c r="G100" s="26">
        <f>G101</f>
        <v>0</v>
      </c>
      <c r="H100" s="179"/>
    </row>
    <row r="101" spans="1:9" ht="31.5" hidden="1" x14ac:dyDescent="0.25">
      <c r="A101" s="25" t="s">
        <v>144</v>
      </c>
      <c r="B101" s="16">
        <v>902</v>
      </c>
      <c r="C101" s="20" t="s">
        <v>133</v>
      </c>
      <c r="D101" s="20" t="s">
        <v>155</v>
      </c>
      <c r="E101" s="20" t="s">
        <v>203</v>
      </c>
      <c r="F101" s="20" t="s">
        <v>145</v>
      </c>
      <c r="G101" s="26">
        <v>0</v>
      </c>
      <c r="H101" s="179"/>
    </row>
    <row r="102" spans="1:9" ht="31.5" hidden="1" x14ac:dyDescent="0.25">
      <c r="A102" s="25" t="s">
        <v>146</v>
      </c>
      <c r="B102" s="16">
        <v>902</v>
      </c>
      <c r="C102" s="20" t="s">
        <v>133</v>
      </c>
      <c r="D102" s="20" t="s">
        <v>155</v>
      </c>
      <c r="E102" s="20" t="s">
        <v>203</v>
      </c>
      <c r="F102" s="20" t="s">
        <v>147</v>
      </c>
      <c r="G102" s="26">
        <f>G103</f>
        <v>0</v>
      </c>
      <c r="H102" s="179"/>
    </row>
    <row r="103" spans="1:9" ht="47.25" hidden="1" x14ac:dyDescent="0.25">
      <c r="A103" s="25" t="s">
        <v>148</v>
      </c>
      <c r="B103" s="16">
        <v>902</v>
      </c>
      <c r="C103" s="20" t="s">
        <v>133</v>
      </c>
      <c r="D103" s="20" t="s">
        <v>155</v>
      </c>
      <c r="E103" s="20" t="s">
        <v>203</v>
      </c>
      <c r="F103" s="20" t="s">
        <v>149</v>
      </c>
      <c r="G103" s="26">
        <v>0</v>
      </c>
      <c r="H103" s="179"/>
    </row>
    <row r="104" spans="1:9" ht="47.25" x14ac:dyDescent="0.25">
      <c r="A104" s="31" t="s">
        <v>204</v>
      </c>
      <c r="B104" s="16">
        <v>902</v>
      </c>
      <c r="C104" s="20" t="s">
        <v>133</v>
      </c>
      <c r="D104" s="20" t="s">
        <v>155</v>
      </c>
      <c r="E104" s="20" t="s">
        <v>205</v>
      </c>
      <c r="F104" s="20"/>
      <c r="G104" s="26">
        <f>G105</f>
        <v>701.8</v>
      </c>
      <c r="H104" s="179"/>
    </row>
    <row r="105" spans="1:9" ht="94.5" x14ac:dyDescent="0.25">
      <c r="A105" s="25" t="s">
        <v>142</v>
      </c>
      <c r="B105" s="16">
        <v>902</v>
      </c>
      <c r="C105" s="20" t="s">
        <v>133</v>
      </c>
      <c r="D105" s="20" t="s">
        <v>155</v>
      </c>
      <c r="E105" s="20" t="s">
        <v>205</v>
      </c>
      <c r="F105" s="20" t="s">
        <v>143</v>
      </c>
      <c r="G105" s="26">
        <f>G106</f>
        <v>701.8</v>
      </c>
      <c r="H105" s="179"/>
    </row>
    <row r="106" spans="1:9" ht="31.5" x14ac:dyDescent="0.25">
      <c r="A106" s="25" t="s">
        <v>144</v>
      </c>
      <c r="B106" s="16">
        <v>902</v>
      </c>
      <c r="C106" s="20" t="s">
        <v>133</v>
      </c>
      <c r="D106" s="20" t="s">
        <v>155</v>
      </c>
      <c r="E106" s="20" t="s">
        <v>205</v>
      </c>
      <c r="F106" s="20" t="s">
        <v>145</v>
      </c>
      <c r="G106" s="26">
        <v>701.8</v>
      </c>
      <c r="H106" s="179"/>
      <c r="I106" s="117"/>
    </row>
    <row r="107" spans="1:9" ht="47.25" x14ac:dyDescent="0.25">
      <c r="A107" s="33" t="s">
        <v>206</v>
      </c>
      <c r="B107" s="16">
        <v>902</v>
      </c>
      <c r="C107" s="20" t="s">
        <v>133</v>
      </c>
      <c r="D107" s="20" t="s">
        <v>155</v>
      </c>
      <c r="E107" s="20" t="s">
        <v>207</v>
      </c>
      <c r="F107" s="20"/>
      <c r="G107" s="26">
        <f>G108</f>
        <v>40</v>
      </c>
      <c r="H107" s="179"/>
    </row>
    <row r="108" spans="1:9" ht="31.5" x14ac:dyDescent="0.25">
      <c r="A108" s="25" t="s">
        <v>146</v>
      </c>
      <c r="B108" s="16">
        <v>902</v>
      </c>
      <c r="C108" s="20" t="s">
        <v>133</v>
      </c>
      <c r="D108" s="20" t="s">
        <v>155</v>
      </c>
      <c r="E108" s="20" t="s">
        <v>207</v>
      </c>
      <c r="F108" s="20" t="s">
        <v>147</v>
      </c>
      <c r="G108" s="26">
        <f>G109</f>
        <v>40</v>
      </c>
      <c r="H108" s="179"/>
    </row>
    <row r="109" spans="1:9" ht="47.25" x14ac:dyDescent="0.25">
      <c r="A109" s="25" t="s">
        <v>148</v>
      </c>
      <c r="B109" s="16">
        <v>902</v>
      </c>
      <c r="C109" s="20" t="s">
        <v>133</v>
      </c>
      <c r="D109" s="20" t="s">
        <v>155</v>
      </c>
      <c r="E109" s="20" t="s">
        <v>207</v>
      </c>
      <c r="F109" s="20" t="s">
        <v>149</v>
      </c>
      <c r="G109" s="26">
        <f>36+4</f>
        <v>40</v>
      </c>
      <c r="H109" s="179"/>
      <c r="I109" s="117"/>
    </row>
    <row r="110" spans="1:9" ht="31.5" hidden="1" x14ac:dyDescent="0.25">
      <c r="A110" s="31" t="s">
        <v>208</v>
      </c>
      <c r="B110" s="16">
        <v>902</v>
      </c>
      <c r="C110" s="20" t="s">
        <v>133</v>
      </c>
      <c r="D110" s="20" t="s">
        <v>155</v>
      </c>
      <c r="E110" s="20" t="s">
        <v>207</v>
      </c>
      <c r="F110" s="20"/>
      <c r="G110" s="26">
        <f>G111</f>
        <v>0</v>
      </c>
      <c r="H110" s="179"/>
    </row>
    <row r="111" spans="1:9" ht="31.5" hidden="1" x14ac:dyDescent="0.25">
      <c r="A111" s="25" t="s">
        <v>146</v>
      </c>
      <c r="B111" s="16">
        <v>902</v>
      </c>
      <c r="C111" s="20" t="s">
        <v>133</v>
      </c>
      <c r="D111" s="20" t="s">
        <v>155</v>
      </c>
      <c r="E111" s="20" t="s">
        <v>207</v>
      </c>
      <c r="F111" s="20" t="s">
        <v>147</v>
      </c>
      <c r="G111" s="26">
        <f>G112</f>
        <v>0</v>
      </c>
      <c r="H111" s="179"/>
    </row>
    <row r="112" spans="1:9" ht="47.25" hidden="1" x14ac:dyDescent="0.25">
      <c r="A112" s="25" t="s">
        <v>148</v>
      </c>
      <c r="B112" s="16">
        <v>902</v>
      </c>
      <c r="C112" s="20" t="s">
        <v>133</v>
      </c>
      <c r="D112" s="20" t="s">
        <v>155</v>
      </c>
      <c r="E112" s="20" t="s">
        <v>207</v>
      </c>
      <c r="F112" s="20" t="s">
        <v>149</v>
      </c>
      <c r="G112" s="26"/>
      <c r="H112" s="179"/>
    </row>
    <row r="113" spans="1:9" ht="63" x14ac:dyDescent="0.25">
      <c r="A113" s="31" t="s">
        <v>209</v>
      </c>
      <c r="B113" s="16">
        <v>902</v>
      </c>
      <c r="C113" s="20" t="s">
        <v>133</v>
      </c>
      <c r="D113" s="20" t="s">
        <v>155</v>
      </c>
      <c r="E113" s="20" t="s">
        <v>210</v>
      </c>
      <c r="F113" s="20"/>
      <c r="G113" s="26">
        <f>G114</f>
        <v>1752.9</v>
      </c>
      <c r="H113" s="179"/>
    </row>
    <row r="114" spans="1:9" ht="94.5" x14ac:dyDescent="0.25">
      <c r="A114" s="25" t="s">
        <v>142</v>
      </c>
      <c r="B114" s="16">
        <v>902</v>
      </c>
      <c r="C114" s="20" t="s">
        <v>133</v>
      </c>
      <c r="D114" s="20" t="s">
        <v>155</v>
      </c>
      <c r="E114" s="20" t="s">
        <v>210</v>
      </c>
      <c r="F114" s="20" t="s">
        <v>143</v>
      </c>
      <c r="G114" s="26">
        <f>G115</f>
        <v>1752.9</v>
      </c>
      <c r="H114" s="179"/>
    </row>
    <row r="115" spans="1:9" ht="31.5" x14ac:dyDescent="0.25">
      <c r="A115" s="25" t="s">
        <v>144</v>
      </c>
      <c r="B115" s="16">
        <v>902</v>
      </c>
      <c r="C115" s="20" t="s">
        <v>133</v>
      </c>
      <c r="D115" s="20" t="s">
        <v>155</v>
      </c>
      <c r="E115" s="20" t="s">
        <v>210</v>
      </c>
      <c r="F115" s="20" t="s">
        <v>145</v>
      </c>
      <c r="G115" s="26">
        <v>1752.9</v>
      </c>
      <c r="H115" s="179"/>
    </row>
    <row r="116" spans="1:9" ht="47.25" x14ac:dyDescent="0.25">
      <c r="A116" s="31" t="s">
        <v>211</v>
      </c>
      <c r="B116" s="16">
        <v>902</v>
      </c>
      <c r="C116" s="20" t="s">
        <v>133</v>
      </c>
      <c r="D116" s="20" t="s">
        <v>155</v>
      </c>
      <c r="E116" s="20" t="s">
        <v>212</v>
      </c>
      <c r="F116" s="20"/>
      <c r="G116" s="26">
        <f>G117+G119</f>
        <v>1106.1999999999998</v>
      </c>
      <c r="H116" s="179"/>
    </row>
    <row r="117" spans="1:9" ht="94.5" x14ac:dyDescent="0.25">
      <c r="A117" s="25" t="s">
        <v>142</v>
      </c>
      <c r="B117" s="16">
        <v>902</v>
      </c>
      <c r="C117" s="20" t="s">
        <v>133</v>
      </c>
      <c r="D117" s="20" t="s">
        <v>155</v>
      </c>
      <c r="E117" s="20" t="s">
        <v>212</v>
      </c>
      <c r="F117" s="20" t="s">
        <v>143</v>
      </c>
      <c r="G117" s="26">
        <f>G118</f>
        <v>1073.0999999999999</v>
      </c>
      <c r="H117" s="179"/>
    </row>
    <row r="118" spans="1:9" ht="31.5" x14ac:dyDescent="0.25">
      <c r="A118" s="25" t="s">
        <v>144</v>
      </c>
      <c r="B118" s="16">
        <v>902</v>
      </c>
      <c r="C118" s="20" t="s">
        <v>133</v>
      </c>
      <c r="D118" s="20" t="s">
        <v>155</v>
      </c>
      <c r="E118" s="20" t="s">
        <v>212</v>
      </c>
      <c r="F118" s="20" t="s">
        <v>145</v>
      </c>
      <c r="G118" s="26">
        <f>1537-463.9</f>
        <v>1073.0999999999999</v>
      </c>
      <c r="H118" s="179"/>
      <c r="I118" s="117"/>
    </row>
    <row r="119" spans="1:9" ht="47.25" x14ac:dyDescent="0.25">
      <c r="A119" s="25" t="s">
        <v>213</v>
      </c>
      <c r="B119" s="16">
        <v>902</v>
      </c>
      <c r="C119" s="20" t="s">
        <v>133</v>
      </c>
      <c r="D119" s="20" t="s">
        <v>155</v>
      </c>
      <c r="E119" s="20" t="s">
        <v>212</v>
      </c>
      <c r="F119" s="20" t="s">
        <v>147</v>
      </c>
      <c r="G119" s="26">
        <f>G120</f>
        <v>33.1</v>
      </c>
      <c r="H119" s="179"/>
    </row>
    <row r="120" spans="1:9" ht="47.25" x14ac:dyDescent="0.25">
      <c r="A120" s="25" t="s">
        <v>148</v>
      </c>
      <c r="B120" s="16">
        <v>902</v>
      </c>
      <c r="C120" s="20" t="s">
        <v>133</v>
      </c>
      <c r="D120" s="20" t="s">
        <v>155</v>
      </c>
      <c r="E120" s="20" t="s">
        <v>212</v>
      </c>
      <c r="F120" s="20" t="s">
        <v>149</v>
      </c>
      <c r="G120" s="26">
        <v>33.1</v>
      </c>
      <c r="H120" s="179"/>
    </row>
    <row r="121" spans="1:9" ht="15.75" x14ac:dyDescent="0.25">
      <c r="A121" s="25" t="s">
        <v>156</v>
      </c>
      <c r="B121" s="16">
        <v>902</v>
      </c>
      <c r="C121" s="20" t="s">
        <v>133</v>
      </c>
      <c r="D121" s="20" t="s">
        <v>155</v>
      </c>
      <c r="E121" s="20" t="s">
        <v>157</v>
      </c>
      <c r="F121" s="20"/>
      <c r="G121" s="26">
        <f>G134+G139+G144</f>
        <v>8739.4</v>
      </c>
      <c r="H121" s="179"/>
    </row>
    <row r="122" spans="1:9" ht="15.75" hidden="1" x14ac:dyDescent="0.25">
      <c r="A122" s="25" t="s">
        <v>214</v>
      </c>
      <c r="B122" s="16">
        <v>902</v>
      </c>
      <c r="C122" s="20" t="s">
        <v>133</v>
      </c>
      <c r="D122" s="20" t="s">
        <v>155</v>
      </c>
      <c r="E122" s="20" t="s">
        <v>215</v>
      </c>
      <c r="F122" s="20"/>
      <c r="G122" s="26">
        <f>G123</f>
        <v>0</v>
      </c>
      <c r="H122" s="179"/>
    </row>
    <row r="123" spans="1:9" ht="33" hidden="1" customHeight="1" x14ac:dyDescent="0.25">
      <c r="A123" s="25" t="s">
        <v>213</v>
      </c>
      <c r="B123" s="16">
        <v>902</v>
      </c>
      <c r="C123" s="20" t="s">
        <v>133</v>
      </c>
      <c r="D123" s="20" t="s">
        <v>155</v>
      </c>
      <c r="E123" s="20" t="s">
        <v>215</v>
      </c>
      <c r="F123" s="20" t="s">
        <v>147</v>
      </c>
      <c r="G123" s="26">
        <f>G124</f>
        <v>0</v>
      </c>
      <c r="H123" s="179"/>
    </row>
    <row r="124" spans="1:9" ht="47.25" hidden="1" x14ac:dyDescent="0.25">
      <c r="A124" s="25" t="s">
        <v>148</v>
      </c>
      <c r="B124" s="16">
        <v>902</v>
      </c>
      <c r="C124" s="20" t="s">
        <v>133</v>
      </c>
      <c r="D124" s="20" t="s">
        <v>155</v>
      </c>
      <c r="E124" s="20" t="s">
        <v>215</v>
      </c>
      <c r="F124" s="20" t="s">
        <v>149</v>
      </c>
      <c r="G124" s="26">
        <v>0</v>
      </c>
      <c r="H124" s="179"/>
    </row>
    <row r="125" spans="1:9" ht="15.75" hidden="1" x14ac:dyDescent="0.25">
      <c r="A125" s="25" t="s">
        <v>216</v>
      </c>
      <c r="B125" s="16">
        <v>902</v>
      </c>
      <c r="C125" s="20" t="s">
        <v>133</v>
      </c>
      <c r="D125" s="20" t="s">
        <v>155</v>
      </c>
      <c r="E125" s="20" t="s">
        <v>217</v>
      </c>
      <c r="F125" s="24"/>
      <c r="G125" s="26">
        <f>G126</f>
        <v>0</v>
      </c>
      <c r="H125" s="179"/>
    </row>
    <row r="126" spans="1:9" ht="47.25" hidden="1" x14ac:dyDescent="0.25">
      <c r="A126" s="25" t="s">
        <v>213</v>
      </c>
      <c r="B126" s="16">
        <v>902</v>
      </c>
      <c r="C126" s="20" t="s">
        <v>133</v>
      </c>
      <c r="D126" s="20" t="s">
        <v>155</v>
      </c>
      <c r="E126" s="20" t="s">
        <v>217</v>
      </c>
      <c r="F126" s="20" t="s">
        <v>147</v>
      </c>
      <c r="G126" s="26">
        <f>G127</f>
        <v>0</v>
      </c>
      <c r="H126" s="179"/>
    </row>
    <row r="127" spans="1:9" ht="47.25" hidden="1" x14ac:dyDescent="0.25">
      <c r="A127" s="25" t="s">
        <v>148</v>
      </c>
      <c r="B127" s="16">
        <v>902</v>
      </c>
      <c r="C127" s="20" t="s">
        <v>133</v>
      </c>
      <c r="D127" s="20" t="s">
        <v>155</v>
      </c>
      <c r="E127" s="20" t="s">
        <v>217</v>
      </c>
      <c r="F127" s="20" t="s">
        <v>149</v>
      </c>
      <c r="G127" s="26">
        <v>0</v>
      </c>
      <c r="H127" s="179"/>
    </row>
    <row r="128" spans="1:9" ht="31.5" hidden="1" x14ac:dyDescent="0.25">
      <c r="A128" s="25" t="s">
        <v>218</v>
      </c>
      <c r="B128" s="16">
        <v>902</v>
      </c>
      <c r="C128" s="20" t="s">
        <v>133</v>
      </c>
      <c r="D128" s="20" t="s">
        <v>155</v>
      </c>
      <c r="E128" s="20" t="s">
        <v>219</v>
      </c>
      <c r="F128" s="20"/>
      <c r="G128" s="26">
        <f>G129</f>
        <v>0</v>
      </c>
      <c r="H128" s="179"/>
    </row>
    <row r="129" spans="1:9" ht="47.25" hidden="1" x14ac:dyDescent="0.25">
      <c r="A129" s="25" t="s">
        <v>213</v>
      </c>
      <c r="B129" s="16">
        <v>902</v>
      </c>
      <c r="C129" s="20" t="s">
        <v>133</v>
      </c>
      <c r="D129" s="20" t="s">
        <v>155</v>
      </c>
      <c r="E129" s="20" t="s">
        <v>219</v>
      </c>
      <c r="F129" s="20" t="s">
        <v>147</v>
      </c>
      <c r="G129" s="26">
        <f>G130</f>
        <v>0</v>
      </c>
      <c r="H129" s="179"/>
    </row>
    <row r="130" spans="1:9" ht="47.25" hidden="1" x14ac:dyDescent="0.25">
      <c r="A130" s="25" t="s">
        <v>148</v>
      </c>
      <c r="B130" s="16">
        <v>902</v>
      </c>
      <c r="C130" s="20" t="s">
        <v>133</v>
      </c>
      <c r="D130" s="20" t="s">
        <v>155</v>
      </c>
      <c r="E130" s="20" t="s">
        <v>219</v>
      </c>
      <c r="F130" s="20" t="s">
        <v>149</v>
      </c>
      <c r="G130" s="26">
        <v>0</v>
      </c>
      <c r="H130" s="179"/>
    </row>
    <row r="131" spans="1:9" ht="15.75" hidden="1" x14ac:dyDescent="0.25">
      <c r="A131" s="25" t="s">
        <v>194</v>
      </c>
      <c r="B131" s="16">
        <v>902</v>
      </c>
      <c r="C131" s="20" t="s">
        <v>133</v>
      </c>
      <c r="D131" s="20" t="s">
        <v>155</v>
      </c>
      <c r="E131" s="20" t="s">
        <v>220</v>
      </c>
      <c r="F131" s="20"/>
      <c r="G131" s="26">
        <f>G132</f>
        <v>0</v>
      </c>
      <c r="H131" s="179"/>
    </row>
    <row r="132" spans="1:9" ht="47.25" hidden="1" x14ac:dyDescent="0.25">
      <c r="A132" s="25" t="s">
        <v>213</v>
      </c>
      <c r="B132" s="16">
        <v>902</v>
      </c>
      <c r="C132" s="20" t="s">
        <v>133</v>
      </c>
      <c r="D132" s="20" t="s">
        <v>155</v>
      </c>
      <c r="E132" s="20" t="s">
        <v>220</v>
      </c>
      <c r="F132" s="20" t="s">
        <v>147</v>
      </c>
      <c r="G132" s="26">
        <f>G133</f>
        <v>0</v>
      </c>
      <c r="H132" s="179"/>
    </row>
    <row r="133" spans="1:9" ht="47.25" hidden="1" x14ac:dyDescent="0.25">
      <c r="A133" s="25" t="s">
        <v>148</v>
      </c>
      <c r="B133" s="16">
        <v>902</v>
      </c>
      <c r="C133" s="20" t="s">
        <v>133</v>
      </c>
      <c r="D133" s="20" t="s">
        <v>155</v>
      </c>
      <c r="E133" s="20" t="s">
        <v>220</v>
      </c>
      <c r="F133" s="20" t="s">
        <v>149</v>
      </c>
      <c r="G133" s="26">
        <v>0</v>
      </c>
      <c r="H133" s="179"/>
    </row>
    <row r="134" spans="1:9" ht="31.5" x14ac:dyDescent="0.25">
      <c r="A134" s="25" t="s">
        <v>221</v>
      </c>
      <c r="B134" s="16">
        <v>902</v>
      </c>
      <c r="C134" s="20" t="s">
        <v>133</v>
      </c>
      <c r="D134" s="20" t="s">
        <v>155</v>
      </c>
      <c r="E134" s="20" t="s">
        <v>222</v>
      </c>
      <c r="F134" s="20"/>
      <c r="G134" s="26">
        <f>G135+G137</f>
        <v>6126.7</v>
      </c>
      <c r="H134" s="179"/>
    </row>
    <row r="135" spans="1:9" ht="94.5" x14ac:dyDescent="0.25">
      <c r="A135" s="25" t="s">
        <v>142</v>
      </c>
      <c r="B135" s="16">
        <v>902</v>
      </c>
      <c r="C135" s="20" t="s">
        <v>133</v>
      </c>
      <c r="D135" s="20" t="s">
        <v>155</v>
      </c>
      <c r="E135" s="20" t="s">
        <v>222</v>
      </c>
      <c r="F135" s="20" t="s">
        <v>143</v>
      </c>
      <c r="G135" s="26">
        <f>G136</f>
        <v>4952</v>
      </c>
      <c r="H135" s="179"/>
    </row>
    <row r="136" spans="1:9" ht="31.5" x14ac:dyDescent="0.25">
      <c r="A136" s="25" t="s">
        <v>223</v>
      </c>
      <c r="B136" s="16">
        <v>902</v>
      </c>
      <c r="C136" s="20" t="s">
        <v>133</v>
      </c>
      <c r="D136" s="20" t="s">
        <v>155</v>
      </c>
      <c r="E136" s="20" t="s">
        <v>222</v>
      </c>
      <c r="F136" s="20" t="s">
        <v>224</v>
      </c>
      <c r="G136" s="27">
        <f>5174.7-222.7</f>
        <v>4952</v>
      </c>
      <c r="H136" s="179"/>
    </row>
    <row r="137" spans="1:9" ht="47.25" x14ac:dyDescent="0.25">
      <c r="A137" s="25" t="s">
        <v>213</v>
      </c>
      <c r="B137" s="16">
        <v>902</v>
      </c>
      <c r="C137" s="20" t="s">
        <v>133</v>
      </c>
      <c r="D137" s="20" t="s">
        <v>155</v>
      </c>
      <c r="E137" s="20" t="s">
        <v>222</v>
      </c>
      <c r="F137" s="20" t="s">
        <v>147</v>
      </c>
      <c r="G137" s="26">
        <f>G138</f>
        <v>1174.7</v>
      </c>
      <c r="H137" s="179"/>
    </row>
    <row r="138" spans="1:9" ht="47.25" x14ac:dyDescent="0.25">
      <c r="A138" s="25" t="s">
        <v>148</v>
      </c>
      <c r="B138" s="16">
        <v>902</v>
      </c>
      <c r="C138" s="20" t="s">
        <v>133</v>
      </c>
      <c r="D138" s="20" t="s">
        <v>155</v>
      </c>
      <c r="E138" s="20" t="s">
        <v>222</v>
      </c>
      <c r="F138" s="20" t="s">
        <v>149</v>
      </c>
      <c r="G138" s="27">
        <f>724.7+450</f>
        <v>1174.7</v>
      </c>
      <c r="H138" s="179"/>
      <c r="I138" s="117"/>
    </row>
    <row r="139" spans="1:9" ht="47.25" x14ac:dyDescent="0.25">
      <c r="A139" s="25" t="s">
        <v>225</v>
      </c>
      <c r="B139" s="16">
        <v>902</v>
      </c>
      <c r="C139" s="20" t="s">
        <v>133</v>
      </c>
      <c r="D139" s="20" t="s">
        <v>155</v>
      </c>
      <c r="E139" s="20" t="s">
        <v>226</v>
      </c>
      <c r="F139" s="20"/>
      <c r="G139" s="26">
        <f>G140+G142</f>
        <v>2520.4</v>
      </c>
      <c r="H139" s="179"/>
    </row>
    <row r="140" spans="1:9" ht="94.5" x14ac:dyDescent="0.25">
      <c r="A140" s="25" t="s">
        <v>142</v>
      </c>
      <c r="B140" s="16">
        <v>902</v>
      </c>
      <c r="C140" s="20" t="s">
        <v>133</v>
      </c>
      <c r="D140" s="20" t="s">
        <v>155</v>
      </c>
      <c r="E140" s="20" t="s">
        <v>226</v>
      </c>
      <c r="F140" s="20" t="s">
        <v>143</v>
      </c>
      <c r="G140" s="26">
        <f>G141</f>
        <v>1895</v>
      </c>
      <c r="H140" s="179"/>
    </row>
    <row r="141" spans="1:9" ht="31.5" x14ac:dyDescent="0.25">
      <c r="A141" s="25" t="s">
        <v>144</v>
      </c>
      <c r="B141" s="16">
        <v>902</v>
      </c>
      <c r="C141" s="20" t="s">
        <v>133</v>
      </c>
      <c r="D141" s="20" t="s">
        <v>155</v>
      </c>
      <c r="E141" s="20" t="s">
        <v>226</v>
      </c>
      <c r="F141" s="20" t="s">
        <v>145</v>
      </c>
      <c r="G141" s="27">
        <f>1952.2-57.2</f>
        <v>1895</v>
      </c>
      <c r="H141" s="179"/>
      <c r="I141" s="117"/>
    </row>
    <row r="142" spans="1:9" ht="47.25" x14ac:dyDescent="0.25">
      <c r="A142" s="25" t="s">
        <v>213</v>
      </c>
      <c r="B142" s="16">
        <v>902</v>
      </c>
      <c r="C142" s="20" t="s">
        <v>133</v>
      </c>
      <c r="D142" s="20" t="s">
        <v>155</v>
      </c>
      <c r="E142" s="20" t="s">
        <v>226</v>
      </c>
      <c r="F142" s="20" t="s">
        <v>147</v>
      </c>
      <c r="G142" s="26">
        <f>G143</f>
        <v>625.4</v>
      </c>
      <c r="H142" s="179"/>
    </row>
    <row r="143" spans="1:9" ht="47.25" x14ac:dyDescent="0.25">
      <c r="A143" s="25" t="s">
        <v>148</v>
      </c>
      <c r="B143" s="16">
        <v>902</v>
      </c>
      <c r="C143" s="20" t="s">
        <v>133</v>
      </c>
      <c r="D143" s="20" t="s">
        <v>155</v>
      </c>
      <c r="E143" s="20" t="s">
        <v>226</v>
      </c>
      <c r="F143" s="20" t="s">
        <v>149</v>
      </c>
      <c r="G143" s="26">
        <f>821.9-196.5</f>
        <v>625.4</v>
      </c>
      <c r="H143" s="179"/>
    </row>
    <row r="144" spans="1:9" ht="15.75" x14ac:dyDescent="0.25">
      <c r="A144" s="45" t="s">
        <v>158</v>
      </c>
      <c r="B144" s="16">
        <v>902</v>
      </c>
      <c r="C144" s="20" t="s">
        <v>133</v>
      </c>
      <c r="D144" s="20" t="s">
        <v>155</v>
      </c>
      <c r="E144" s="20" t="s">
        <v>159</v>
      </c>
      <c r="F144" s="20"/>
      <c r="G144" s="26">
        <f>G145</f>
        <v>92.3</v>
      </c>
      <c r="H144" s="179"/>
    </row>
    <row r="145" spans="1:8" ht="15.75" x14ac:dyDescent="0.25">
      <c r="A145" s="25" t="s">
        <v>150</v>
      </c>
      <c r="B145" s="16">
        <v>902</v>
      </c>
      <c r="C145" s="20" t="s">
        <v>133</v>
      </c>
      <c r="D145" s="20" t="s">
        <v>155</v>
      </c>
      <c r="E145" s="20" t="s">
        <v>159</v>
      </c>
      <c r="F145" s="20" t="s">
        <v>160</v>
      </c>
      <c r="G145" s="26">
        <f>G146</f>
        <v>92.3</v>
      </c>
      <c r="H145" s="179"/>
    </row>
    <row r="146" spans="1:8" ht="15.75" x14ac:dyDescent="0.25">
      <c r="A146" s="25" t="s">
        <v>161</v>
      </c>
      <c r="B146" s="16">
        <v>902</v>
      </c>
      <c r="C146" s="20" t="s">
        <v>133</v>
      </c>
      <c r="D146" s="20" t="s">
        <v>155</v>
      </c>
      <c r="E146" s="20" t="s">
        <v>159</v>
      </c>
      <c r="F146" s="20" t="s">
        <v>162</v>
      </c>
      <c r="G146" s="26">
        <v>92.3</v>
      </c>
      <c r="H146" s="108"/>
    </row>
    <row r="147" spans="1:8" ht="15.75" hidden="1" x14ac:dyDescent="0.25">
      <c r="A147" s="23" t="s">
        <v>227</v>
      </c>
      <c r="B147" s="19">
        <v>902</v>
      </c>
      <c r="C147" s="24" t="s">
        <v>228</v>
      </c>
      <c r="D147" s="24"/>
      <c r="E147" s="24"/>
      <c r="F147" s="24"/>
      <c r="G147" s="21">
        <f>G148+G154</f>
        <v>0</v>
      </c>
      <c r="H147" s="179"/>
    </row>
    <row r="148" spans="1:8" ht="31.5" hidden="1" x14ac:dyDescent="0.25">
      <c r="A148" s="23" t="s">
        <v>229</v>
      </c>
      <c r="B148" s="19">
        <v>902</v>
      </c>
      <c r="C148" s="24" t="s">
        <v>228</v>
      </c>
      <c r="D148" s="24" t="s">
        <v>230</v>
      </c>
      <c r="E148" s="24"/>
      <c r="F148" s="24"/>
      <c r="G148" s="21">
        <f>G149</f>
        <v>0</v>
      </c>
      <c r="H148" s="179"/>
    </row>
    <row r="149" spans="1:8" ht="15.75" hidden="1" x14ac:dyDescent="0.25">
      <c r="A149" s="25" t="s">
        <v>136</v>
      </c>
      <c r="B149" s="16">
        <v>902</v>
      </c>
      <c r="C149" s="20" t="s">
        <v>228</v>
      </c>
      <c r="D149" s="20" t="s">
        <v>230</v>
      </c>
      <c r="E149" s="20" t="s">
        <v>137</v>
      </c>
      <c r="F149" s="20"/>
      <c r="G149" s="26">
        <f>G150</f>
        <v>0</v>
      </c>
      <c r="H149" s="179"/>
    </row>
    <row r="150" spans="1:8" ht="31.5" hidden="1" x14ac:dyDescent="0.25">
      <c r="A150" s="25" t="s">
        <v>200</v>
      </c>
      <c r="B150" s="16">
        <v>902</v>
      </c>
      <c r="C150" s="20" t="s">
        <v>228</v>
      </c>
      <c r="D150" s="20" t="s">
        <v>230</v>
      </c>
      <c r="E150" s="20" t="s">
        <v>201</v>
      </c>
      <c r="F150" s="20"/>
      <c r="G150" s="26">
        <f>G151</f>
        <v>0</v>
      </c>
      <c r="H150" s="179"/>
    </row>
    <row r="151" spans="1:8" ht="47.25" hidden="1" x14ac:dyDescent="0.25">
      <c r="A151" s="25" t="s">
        <v>231</v>
      </c>
      <c r="B151" s="16">
        <v>902</v>
      </c>
      <c r="C151" s="20" t="s">
        <v>228</v>
      </c>
      <c r="D151" s="20" t="s">
        <v>230</v>
      </c>
      <c r="E151" s="20" t="s">
        <v>232</v>
      </c>
      <c r="F151" s="20"/>
      <c r="G151" s="26">
        <f>G152</f>
        <v>0</v>
      </c>
      <c r="H151" s="179"/>
    </row>
    <row r="152" spans="1:8" ht="94.5" hidden="1" x14ac:dyDescent="0.25">
      <c r="A152" s="25" t="s">
        <v>142</v>
      </c>
      <c r="B152" s="16">
        <v>902</v>
      </c>
      <c r="C152" s="20" t="s">
        <v>228</v>
      </c>
      <c r="D152" s="20" t="s">
        <v>230</v>
      </c>
      <c r="E152" s="20" t="s">
        <v>232</v>
      </c>
      <c r="F152" s="20" t="s">
        <v>143</v>
      </c>
      <c r="G152" s="26">
        <f>G153</f>
        <v>0</v>
      </c>
      <c r="H152" s="179"/>
    </row>
    <row r="153" spans="1:8" ht="31.5" hidden="1" x14ac:dyDescent="0.25">
      <c r="A153" s="25" t="s">
        <v>144</v>
      </c>
      <c r="B153" s="16">
        <v>902</v>
      </c>
      <c r="C153" s="20" t="s">
        <v>228</v>
      </c>
      <c r="D153" s="20" t="s">
        <v>230</v>
      </c>
      <c r="E153" s="20" t="s">
        <v>232</v>
      </c>
      <c r="F153" s="20" t="s">
        <v>145</v>
      </c>
      <c r="G153" s="27"/>
      <c r="H153" s="179"/>
    </row>
    <row r="154" spans="1:8" ht="31.5" hidden="1" x14ac:dyDescent="0.25">
      <c r="A154" s="23" t="s">
        <v>233</v>
      </c>
      <c r="B154" s="19">
        <v>902</v>
      </c>
      <c r="C154" s="24" t="s">
        <v>228</v>
      </c>
      <c r="D154" s="24" t="s">
        <v>234</v>
      </c>
      <c r="E154" s="24"/>
      <c r="F154" s="24"/>
      <c r="G154" s="26">
        <f>G155</f>
        <v>0</v>
      </c>
      <c r="H154" s="179"/>
    </row>
    <row r="155" spans="1:8" ht="15.75" hidden="1" x14ac:dyDescent="0.25">
      <c r="A155" s="25" t="s">
        <v>136</v>
      </c>
      <c r="B155" s="16">
        <v>902</v>
      </c>
      <c r="C155" s="20" t="s">
        <v>228</v>
      </c>
      <c r="D155" s="20" t="s">
        <v>234</v>
      </c>
      <c r="E155" s="20" t="s">
        <v>137</v>
      </c>
      <c r="F155" s="20"/>
      <c r="G155" s="26">
        <f>G156</f>
        <v>0</v>
      </c>
      <c r="H155" s="179"/>
    </row>
    <row r="156" spans="1:8" ht="31.5" hidden="1" x14ac:dyDescent="0.25">
      <c r="A156" s="25" t="s">
        <v>235</v>
      </c>
      <c r="B156" s="16">
        <v>902</v>
      </c>
      <c r="C156" s="20" t="s">
        <v>228</v>
      </c>
      <c r="D156" s="20" t="s">
        <v>234</v>
      </c>
      <c r="E156" s="20" t="s">
        <v>236</v>
      </c>
      <c r="F156" s="20"/>
      <c r="G156" s="26">
        <f>G157</f>
        <v>0</v>
      </c>
      <c r="H156" s="179"/>
    </row>
    <row r="157" spans="1:8" ht="47.25" hidden="1" x14ac:dyDescent="0.25">
      <c r="A157" s="25" t="s">
        <v>213</v>
      </c>
      <c r="B157" s="16">
        <v>902</v>
      </c>
      <c r="C157" s="20" t="s">
        <v>228</v>
      </c>
      <c r="D157" s="20" t="s">
        <v>234</v>
      </c>
      <c r="E157" s="20" t="s">
        <v>236</v>
      </c>
      <c r="F157" s="20" t="s">
        <v>147</v>
      </c>
      <c r="G157" s="26">
        <f>G158</f>
        <v>0</v>
      </c>
      <c r="H157" s="179"/>
    </row>
    <row r="158" spans="1:8" ht="47.25" hidden="1" x14ac:dyDescent="0.25">
      <c r="A158" s="25" t="s">
        <v>148</v>
      </c>
      <c r="B158" s="16">
        <v>902</v>
      </c>
      <c r="C158" s="20" t="s">
        <v>228</v>
      </c>
      <c r="D158" s="20" t="s">
        <v>234</v>
      </c>
      <c r="E158" s="20" t="s">
        <v>236</v>
      </c>
      <c r="F158" s="20" t="s">
        <v>149</v>
      </c>
      <c r="G158" s="26">
        <v>0</v>
      </c>
      <c r="H158" s="179"/>
    </row>
    <row r="159" spans="1:8" ht="31.5" x14ac:dyDescent="0.25">
      <c r="A159" s="23" t="s">
        <v>237</v>
      </c>
      <c r="B159" s="19">
        <v>902</v>
      </c>
      <c r="C159" s="24" t="s">
        <v>230</v>
      </c>
      <c r="D159" s="24"/>
      <c r="E159" s="24"/>
      <c r="F159" s="24"/>
      <c r="G159" s="21">
        <f>G160</f>
        <v>7159.4000000000005</v>
      </c>
      <c r="H159" s="179"/>
    </row>
    <row r="160" spans="1:8" ht="63" x14ac:dyDescent="0.25">
      <c r="A160" s="23" t="s">
        <v>238</v>
      </c>
      <c r="B160" s="19">
        <v>902</v>
      </c>
      <c r="C160" s="24" t="s">
        <v>230</v>
      </c>
      <c r="D160" s="24" t="s">
        <v>234</v>
      </c>
      <c r="E160" s="20"/>
      <c r="F160" s="20"/>
      <c r="G160" s="21">
        <f>G161</f>
        <v>7159.4000000000005</v>
      </c>
      <c r="H160" s="179"/>
    </row>
    <row r="161" spans="1:9" ht="15.75" x14ac:dyDescent="0.25">
      <c r="A161" s="25" t="s">
        <v>136</v>
      </c>
      <c r="B161" s="16">
        <v>902</v>
      </c>
      <c r="C161" s="20" t="s">
        <v>230</v>
      </c>
      <c r="D161" s="20" t="s">
        <v>234</v>
      </c>
      <c r="E161" s="20" t="s">
        <v>137</v>
      </c>
      <c r="F161" s="20"/>
      <c r="G161" s="26">
        <f>G162</f>
        <v>7159.4000000000005</v>
      </c>
      <c r="H161" s="179"/>
    </row>
    <row r="162" spans="1:9" ht="15.75" x14ac:dyDescent="0.25">
      <c r="A162" s="25" t="s">
        <v>156</v>
      </c>
      <c r="B162" s="16">
        <v>902</v>
      </c>
      <c r="C162" s="20" t="s">
        <v>230</v>
      </c>
      <c r="D162" s="20" t="s">
        <v>234</v>
      </c>
      <c r="E162" s="20" t="s">
        <v>157</v>
      </c>
      <c r="F162" s="20"/>
      <c r="G162" s="26">
        <f>G163+G169+G174</f>
        <v>7159.4000000000005</v>
      </c>
      <c r="H162" s="179"/>
    </row>
    <row r="163" spans="1:9" ht="47.25" x14ac:dyDescent="0.25">
      <c r="A163" s="25" t="s">
        <v>239</v>
      </c>
      <c r="B163" s="16">
        <v>902</v>
      </c>
      <c r="C163" s="20" t="s">
        <v>230</v>
      </c>
      <c r="D163" s="20" t="s">
        <v>234</v>
      </c>
      <c r="E163" s="20" t="s">
        <v>240</v>
      </c>
      <c r="F163" s="20"/>
      <c r="G163" s="26">
        <f>G164</f>
        <v>2064.1</v>
      </c>
      <c r="H163" s="179"/>
    </row>
    <row r="164" spans="1:9" ht="47.25" x14ac:dyDescent="0.25">
      <c r="A164" s="25" t="s">
        <v>213</v>
      </c>
      <c r="B164" s="16">
        <v>902</v>
      </c>
      <c r="C164" s="20" t="s">
        <v>230</v>
      </c>
      <c r="D164" s="20" t="s">
        <v>234</v>
      </c>
      <c r="E164" s="20" t="s">
        <v>240</v>
      </c>
      <c r="F164" s="20" t="s">
        <v>147</v>
      </c>
      <c r="G164" s="26">
        <f>G165</f>
        <v>2064.1</v>
      </c>
      <c r="H164" s="179"/>
    </row>
    <row r="165" spans="1:9" ht="47.25" x14ac:dyDescent="0.25">
      <c r="A165" s="25" t="s">
        <v>148</v>
      </c>
      <c r="B165" s="16">
        <v>902</v>
      </c>
      <c r="C165" s="20" t="s">
        <v>230</v>
      </c>
      <c r="D165" s="20" t="s">
        <v>234</v>
      </c>
      <c r="E165" s="20" t="s">
        <v>240</v>
      </c>
      <c r="F165" s="20" t="s">
        <v>149</v>
      </c>
      <c r="G165" s="161">
        <f>1908.4+354-98.3-100</f>
        <v>2064.1</v>
      </c>
      <c r="H165" s="108" t="s">
        <v>741</v>
      </c>
      <c r="I165" s="127"/>
    </row>
    <row r="166" spans="1:9" ht="15.75" hidden="1" x14ac:dyDescent="0.25">
      <c r="A166" s="25" t="s">
        <v>241</v>
      </c>
      <c r="B166" s="16">
        <v>902</v>
      </c>
      <c r="C166" s="20" t="s">
        <v>230</v>
      </c>
      <c r="D166" s="20" t="s">
        <v>234</v>
      </c>
      <c r="E166" s="20" t="s">
        <v>242</v>
      </c>
      <c r="F166" s="20"/>
      <c r="G166" s="26">
        <f>G167</f>
        <v>0</v>
      </c>
      <c r="H166" s="179"/>
    </row>
    <row r="167" spans="1:9" ht="47.25" hidden="1" x14ac:dyDescent="0.25">
      <c r="A167" s="25" t="s">
        <v>213</v>
      </c>
      <c r="B167" s="16">
        <v>902</v>
      </c>
      <c r="C167" s="20" t="s">
        <v>230</v>
      </c>
      <c r="D167" s="20" t="s">
        <v>234</v>
      </c>
      <c r="E167" s="20" t="s">
        <v>242</v>
      </c>
      <c r="F167" s="20" t="s">
        <v>147</v>
      </c>
      <c r="G167" s="26">
        <f>G168</f>
        <v>0</v>
      </c>
      <c r="H167" s="179"/>
    </row>
    <row r="168" spans="1:9" ht="47.25" hidden="1" x14ac:dyDescent="0.25">
      <c r="A168" s="25" t="s">
        <v>148</v>
      </c>
      <c r="B168" s="16">
        <v>902</v>
      </c>
      <c r="C168" s="20" t="s">
        <v>230</v>
      </c>
      <c r="D168" s="20" t="s">
        <v>234</v>
      </c>
      <c r="E168" s="20" t="s">
        <v>242</v>
      </c>
      <c r="F168" s="20" t="s">
        <v>149</v>
      </c>
      <c r="G168" s="26">
        <v>0</v>
      </c>
      <c r="H168" s="179"/>
    </row>
    <row r="169" spans="1:9" ht="31.5" x14ac:dyDescent="0.25">
      <c r="A169" s="25" t="s">
        <v>243</v>
      </c>
      <c r="B169" s="16">
        <v>902</v>
      </c>
      <c r="C169" s="20" t="s">
        <v>230</v>
      </c>
      <c r="D169" s="20" t="s">
        <v>234</v>
      </c>
      <c r="E169" s="20" t="s">
        <v>244</v>
      </c>
      <c r="F169" s="20"/>
      <c r="G169" s="26">
        <f>G170+G172</f>
        <v>4997</v>
      </c>
      <c r="H169" s="179"/>
    </row>
    <row r="170" spans="1:9" ht="94.5" x14ac:dyDescent="0.25">
      <c r="A170" s="25" t="s">
        <v>142</v>
      </c>
      <c r="B170" s="16">
        <v>902</v>
      </c>
      <c r="C170" s="20" t="s">
        <v>230</v>
      </c>
      <c r="D170" s="20" t="s">
        <v>234</v>
      </c>
      <c r="E170" s="20" t="s">
        <v>244</v>
      </c>
      <c r="F170" s="20" t="s">
        <v>143</v>
      </c>
      <c r="G170" s="26">
        <f>G171</f>
        <v>4692.3</v>
      </c>
      <c r="H170" s="179"/>
    </row>
    <row r="171" spans="1:9" ht="31.5" x14ac:dyDescent="0.25">
      <c r="A171" s="25" t="s">
        <v>223</v>
      </c>
      <c r="B171" s="16">
        <v>902</v>
      </c>
      <c r="C171" s="20" t="s">
        <v>230</v>
      </c>
      <c r="D171" s="20" t="s">
        <v>234</v>
      </c>
      <c r="E171" s="20" t="s">
        <v>244</v>
      </c>
      <c r="F171" s="20" t="s">
        <v>224</v>
      </c>
      <c r="G171" s="27">
        <f>4586.3+106</f>
        <v>4692.3</v>
      </c>
      <c r="H171" s="179"/>
    </row>
    <row r="172" spans="1:9" ht="47.25" x14ac:dyDescent="0.25">
      <c r="A172" s="25" t="s">
        <v>213</v>
      </c>
      <c r="B172" s="16">
        <v>902</v>
      </c>
      <c r="C172" s="20" t="s">
        <v>230</v>
      </c>
      <c r="D172" s="20" t="s">
        <v>234</v>
      </c>
      <c r="E172" s="20" t="s">
        <v>244</v>
      </c>
      <c r="F172" s="20" t="s">
        <v>147</v>
      </c>
      <c r="G172" s="26">
        <f>G173</f>
        <v>304.7</v>
      </c>
      <c r="H172" s="179"/>
    </row>
    <row r="173" spans="1:9" ht="47.25" x14ac:dyDescent="0.25">
      <c r="A173" s="25" t="s">
        <v>148</v>
      </c>
      <c r="B173" s="16">
        <v>902</v>
      </c>
      <c r="C173" s="20" t="s">
        <v>230</v>
      </c>
      <c r="D173" s="20" t="s">
        <v>234</v>
      </c>
      <c r="E173" s="20" t="s">
        <v>244</v>
      </c>
      <c r="F173" s="20" t="s">
        <v>149</v>
      </c>
      <c r="G173" s="158">
        <f>204.7+100</f>
        <v>304.7</v>
      </c>
      <c r="H173" s="159" t="s">
        <v>742</v>
      </c>
    </row>
    <row r="174" spans="1:9" ht="15.75" x14ac:dyDescent="0.25">
      <c r="A174" s="25" t="s">
        <v>245</v>
      </c>
      <c r="B174" s="16">
        <v>902</v>
      </c>
      <c r="C174" s="20" t="s">
        <v>230</v>
      </c>
      <c r="D174" s="20" t="s">
        <v>234</v>
      </c>
      <c r="E174" s="20" t="s">
        <v>246</v>
      </c>
      <c r="F174" s="20"/>
      <c r="G174" s="27">
        <f>G175</f>
        <v>98.3</v>
      </c>
      <c r="H174" s="179"/>
    </row>
    <row r="175" spans="1:9" ht="47.25" x14ac:dyDescent="0.25">
      <c r="A175" s="25" t="s">
        <v>213</v>
      </c>
      <c r="B175" s="16">
        <v>902</v>
      </c>
      <c r="C175" s="20" t="s">
        <v>230</v>
      </c>
      <c r="D175" s="20" t="s">
        <v>234</v>
      </c>
      <c r="E175" s="20" t="s">
        <v>246</v>
      </c>
      <c r="F175" s="20" t="s">
        <v>147</v>
      </c>
      <c r="G175" s="27">
        <f>G176</f>
        <v>98.3</v>
      </c>
      <c r="H175" s="179"/>
    </row>
    <row r="176" spans="1:9" ht="47.25" x14ac:dyDescent="0.25">
      <c r="A176" s="25" t="s">
        <v>148</v>
      </c>
      <c r="B176" s="16">
        <v>902</v>
      </c>
      <c r="C176" s="20" t="s">
        <v>230</v>
      </c>
      <c r="D176" s="20" t="s">
        <v>234</v>
      </c>
      <c r="E176" s="20" t="s">
        <v>246</v>
      </c>
      <c r="F176" s="20" t="s">
        <v>149</v>
      </c>
      <c r="G176" s="27">
        <v>98.3</v>
      </c>
      <c r="H176" s="108"/>
      <c r="I176" s="126"/>
    </row>
    <row r="177" spans="1:9" ht="15.75" x14ac:dyDescent="0.25">
      <c r="A177" s="23" t="s">
        <v>247</v>
      </c>
      <c r="B177" s="19">
        <v>902</v>
      </c>
      <c r="C177" s="24" t="s">
        <v>165</v>
      </c>
      <c r="D177" s="24"/>
      <c r="E177" s="24"/>
      <c r="F177" s="20"/>
      <c r="G177" s="21">
        <f>G184+G178</f>
        <v>1821.3999999999999</v>
      </c>
      <c r="H177" s="179"/>
    </row>
    <row r="178" spans="1:9" ht="15.75" x14ac:dyDescent="0.25">
      <c r="A178" s="23" t="s">
        <v>248</v>
      </c>
      <c r="B178" s="19">
        <v>902</v>
      </c>
      <c r="C178" s="24" t="s">
        <v>165</v>
      </c>
      <c r="D178" s="24" t="s">
        <v>249</v>
      </c>
      <c r="E178" s="24"/>
      <c r="F178" s="20"/>
      <c r="G178" s="21">
        <f>G179</f>
        <v>450</v>
      </c>
      <c r="H178" s="179"/>
    </row>
    <row r="179" spans="1:9" ht="15.75" x14ac:dyDescent="0.25">
      <c r="A179" s="25" t="s">
        <v>136</v>
      </c>
      <c r="B179" s="16">
        <v>902</v>
      </c>
      <c r="C179" s="20" t="s">
        <v>165</v>
      </c>
      <c r="D179" s="20" t="s">
        <v>249</v>
      </c>
      <c r="E179" s="20" t="s">
        <v>137</v>
      </c>
      <c r="F179" s="20"/>
      <c r="G179" s="26">
        <f>G180</f>
        <v>450</v>
      </c>
      <c r="H179" s="179"/>
    </row>
    <row r="180" spans="1:9" ht="31.5" x14ac:dyDescent="0.25">
      <c r="A180" s="25" t="s">
        <v>200</v>
      </c>
      <c r="B180" s="16">
        <v>902</v>
      </c>
      <c r="C180" s="20" t="s">
        <v>165</v>
      </c>
      <c r="D180" s="20" t="s">
        <v>249</v>
      </c>
      <c r="E180" s="20" t="s">
        <v>201</v>
      </c>
      <c r="F180" s="20"/>
      <c r="G180" s="26">
        <f>G181</f>
        <v>450</v>
      </c>
      <c r="H180" s="179"/>
    </row>
    <row r="181" spans="1:9" ht="31.5" x14ac:dyDescent="0.25">
      <c r="A181" s="25" t="s">
        <v>250</v>
      </c>
      <c r="B181" s="16">
        <v>902</v>
      </c>
      <c r="C181" s="20" t="s">
        <v>165</v>
      </c>
      <c r="D181" s="20" t="s">
        <v>249</v>
      </c>
      <c r="E181" s="20" t="s">
        <v>251</v>
      </c>
      <c r="F181" s="20"/>
      <c r="G181" s="26">
        <f>G182</f>
        <v>450</v>
      </c>
      <c r="H181" s="179"/>
    </row>
    <row r="182" spans="1:9" ht="15.75" x14ac:dyDescent="0.25">
      <c r="A182" s="25" t="s">
        <v>150</v>
      </c>
      <c r="B182" s="16">
        <v>902</v>
      </c>
      <c r="C182" s="20" t="s">
        <v>165</v>
      </c>
      <c r="D182" s="20" t="s">
        <v>249</v>
      </c>
      <c r="E182" s="20" t="s">
        <v>251</v>
      </c>
      <c r="F182" s="20" t="s">
        <v>160</v>
      </c>
      <c r="G182" s="26">
        <f>G183</f>
        <v>450</v>
      </c>
      <c r="H182" s="179"/>
    </row>
    <row r="183" spans="1:9" ht="63" x14ac:dyDescent="0.25">
      <c r="A183" s="25" t="s">
        <v>199</v>
      </c>
      <c r="B183" s="16">
        <v>902</v>
      </c>
      <c r="C183" s="20" t="s">
        <v>165</v>
      </c>
      <c r="D183" s="20" t="s">
        <v>249</v>
      </c>
      <c r="E183" s="20" t="s">
        <v>251</v>
      </c>
      <c r="F183" s="20" t="s">
        <v>175</v>
      </c>
      <c r="G183" s="160">
        <f>310+140</f>
        <v>450</v>
      </c>
      <c r="H183" s="159" t="s">
        <v>740</v>
      </c>
      <c r="I183" s="117"/>
    </row>
    <row r="184" spans="1:9" ht="31.5" x14ac:dyDescent="0.25">
      <c r="A184" s="23" t="s">
        <v>252</v>
      </c>
      <c r="B184" s="19">
        <v>902</v>
      </c>
      <c r="C184" s="24" t="s">
        <v>165</v>
      </c>
      <c r="D184" s="24" t="s">
        <v>253</v>
      </c>
      <c r="E184" s="24"/>
      <c r="F184" s="24"/>
      <c r="G184" s="21">
        <f>G185</f>
        <v>1371.3999999999999</v>
      </c>
      <c r="H184" s="179"/>
    </row>
    <row r="185" spans="1:9" ht="15.75" x14ac:dyDescent="0.25">
      <c r="A185" s="25" t="s">
        <v>136</v>
      </c>
      <c r="B185" s="16">
        <v>902</v>
      </c>
      <c r="C185" s="20" t="s">
        <v>165</v>
      </c>
      <c r="D185" s="20" t="s">
        <v>253</v>
      </c>
      <c r="E185" s="20" t="s">
        <v>137</v>
      </c>
      <c r="F185" s="24"/>
      <c r="G185" s="26">
        <f>G186</f>
        <v>1371.3999999999999</v>
      </c>
      <c r="H185" s="179"/>
    </row>
    <row r="186" spans="1:9" ht="31.5" x14ac:dyDescent="0.25">
      <c r="A186" s="25" t="s">
        <v>200</v>
      </c>
      <c r="B186" s="16">
        <v>902</v>
      </c>
      <c r="C186" s="20" t="s">
        <v>165</v>
      </c>
      <c r="D186" s="20" t="s">
        <v>253</v>
      </c>
      <c r="E186" s="20" t="s">
        <v>201</v>
      </c>
      <c r="F186" s="24"/>
      <c r="G186" s="26">
        <f>G190+G187</f>
        <v>1371.3999999999999</v>
      </c>
      <c r="H186" s="179"/>
    </row>
    <row r="187" spans="1:9" ht="31.5" x14ac:dyDescent="0.25">
      <c r="A187" s="25" t="s">
        <v>254</v>
      </c>
      <c r="B187" s="16">
        <v>902</v>
      </c>
      <c r="C187" s="20" t="s">
        <v>165</v>
      </c>
      <c r="D187" s="20" t="s">
        <v>253</v>
      </c>
      <c r="E187" s="20" t="s">
        <v>255</v>
      </c>
      <c r="F187" s="24"/>
      <c r="G187" s="26">
        <f>G188</f>
        <v>90</v>
      </c>
      <c r="H187" s="179"/>
    </row>
    <row r="188" spans="1:9" ht="15.75" x14ac:dyDescent="0.25">
      <c r="A188" s="25" t="s">
        <v>150</v>
      </c>
      <c r="B188" s="16">
        <v>902</v>
      </c>
      <c r="C188" s="20" t="s">
        <v>165</v>
      </c>
      <c r="D188" s="20" t="s">
        <v>253</v>
      </c>
      <c r="E188" s="20" t="s">
        <v>255</v>
      </c>
      <c r="F188" s="20" t="s">
        <v>160</v>
      </c>
      <c r="G188" s="26">
        <f>G189</f>
        <v>90</v>
      </c>
      <c r="H188" s="179"/>
    </row>
    <row r="189" spans="1:9" ht="63" x14ac:dyDescent="0.25">
      <c r="A189" s="25" t="s">
        <v>199</v>
      </c>
      <c r="B189" s="16">
        <v>902</v>
      </c>
      <c r="C189" s="20" t="s">
        <v>165</v>
      </c>
      <c r="D189" s="20" t="s">
        <v>253</v>
      </c>
      <c r="E189" s="20" t="s">
        <v>255</v>
      </c>
      <c r="F189" s="20" t="s">
        <v>175</v>
      </c>
      <c r="G189" s="164">
        <v>90</v>
      </c>
      <c r="H189" s="159" t="s">
        <v>749</v>
      </c>
    </row>
    <row r="190" spans="1:9" ht="63" x14ac:dyDescent="0.25">
      <c r="A190" s="31" t="s">
        <v>256</v>
      </c>
      <c r="B190" s="16">
        <v>902</v>
      </c>
      <c r="C190" s="20" t="s">
        <v>165</v>
      </c>
      <c r="D190" s="20" t="s">
        <v>253</v>
      </c>
      <c r="E190" s="20" t="s">
        <v>257</v>
      </c>
      <c r="F190" s="20"/>
      <c r="G190" s="26">
        <f>G191+G193</f>
        <v>1281.3999999999999</v>
      </c>
      <c r="H190" s="179"/>
    </row>
    <row r="191" spans="1:9" ht="94.5" x14ac:dyDescent="0.25">
      <c r="A191" s="25" t="s">
        <v>142</v>
      </c>
      <c r="B191" s="16">
        <v>902</v>
      </c>
      <c r="C191" s="20" t="s">
        <v>165</v>
      </c>
      <c r="D191" s="20" t="s">
        <v>253</v>
      </c>
      <c r="E191" s="20" t="s">
        <v>257</v>
      </c>
      <c r="F191" s="20" t="s">
        <v>143</v>
      </c>
      <c r="G191" s="26">
        <f>G192</f>
        <v>1116.3999999999999</v>
      </c>
      <c r="H191" s="179"/>
    </row>
    <row r="192" spans="1:9" ht="31.5" x14ac:dyDescent="0.25">
      <c r="A192" s="25" t="s">
        <v>144</v>
      </c>
      <c r="B192" s="16">
        <v>902</v>
      </c>
      <c r="C192" s="20" t="s">
        <v>165</v>
      </c>
      <c r="D192" s="20" t="s">
        <v>253</v>
      </c>
      <c r="E192" s="20" t="s">
        <v>257</v>
      </c>
      <c r="F192" s="20" t="s">
        <v>145</v>
      </c>
      <c r="G192" s="26">
        <f>1302-123.4-62.2</f>
        <v>1116.3999999999999</v>
      </c>
      <c r="H192" s="179"/>
      <c r="I192" s="117"/>
    </row>
    <row r="193" spans="1:8" ht="31.5" x14ac:dyDescent="0.25">
      <c r="A193" s="25" t="s">
        <v>146</v>
      </c>
      <c r="B193" s="16">
        <v>902</v>
      </c>
      <c r="C193" s="20" t="s">
        <v>165</v>
      </c>
      <c r="D193" s="20" t="s">
        <v>253</v>
      </c>
      <c r="E193" s="20" t="s">
        <v>257</v>
      </c>
      <c r="F193" s="20" t="s">
        <v>147</v>
      </c>
      <c r="G193" s="26">
        <f>G194</f>
        <v>165</v>
      </c>
      <c r="H193" s="179"/>
    </row>
    <row r="194" spans="1:8" ht="47.25" x14ac:dyDescent="0.25">
      <c r="A194" s="25" t="s">
        <v>148</v>
      </c>
      <c r="B194" s="16">
        <v>902</v>
      </c>
      <c r="C194" s="20" t="s">
        <v>165</v>
      </c>
      <c r="D194" s="20" t="s">
        <v>253</v>
      </c>
      <c r="E194" s="20" t="s">
        <v>257</v>
      </c>
      <c r="F194" s="20" t="s">
        <v>149</v>
      </c>
      <c r="G194" s="26">
        <f>102.8+62.2</f>
        <v>165</v>
      </c>
      <c r="H194" s="179"/>
    </row>
    <row r="195" spans="1:8" ht="16.5" customHeight="1" x14ac:dyDescent="0.25">
      <c r="A195" s="23" t="s">
        <v>258</v>
      </c>
      <c r="B195" s="19">
        <v>902</v>
      </c>
      <c r="C195" s="24" t="s">
        <v>259</v>
      </c>
      <c r="D195" s="24"/>
      <c r="E195" s="24"/>
      <c r="F195" s="24"/>
      <c r="G195" s="21">
        <f>G196+G202+G212</f>
        <v>12224.9</v>
      </c>
      <c r="H195" s="179"/>
    </row>
    <row r="196" spans="1:8" ht="15.75" x14ac:dyDescent="0.25">
      <c r="A196" s="23" t="s">
        <v>260</v>
      </c>
      <c r="B196" s="19">
        <v>902</v>
      </c>
      <c r="C196" s="24" t="s">
        <v>259</v>
      </c>
      <c r="D196" s="24" t="s">
        <v>133</v>
      </c>
      <c r="E196" s="24"/>
      <c r="F196" s="24"/>
      <c r="G196" s="21">
        <f>G197</f>
        <v>9066.4</v>
      </c>
      <c r="H196" s="179"/>
    </row>
    <row r="197" spans="1:8" ht="15.75" x14ac:dyDescent="0.25">
      <c r="A197" s="25" t="s">
        <v>136</v>
      </c>
      <c r="B197" s="16">
        <v>902</v>
      </c>
      <c r="C197" s="20" t="s">
        <v>259</v>
      </c>
      <c r="D197" s="20" t="s">
        <v>133</v>
      </c>
      <c r="E197" s="20" t="s">
        <v>137</v>
      </c>
      <c r="F197" s="20"/>
      <c r="G197" s="26">
        <f>G198</f>
        <v>9066.4</v>
      </c>
      <c r="H197" s="179"/>
    </row>
    <row r="198" spans="1:8" ht="15.75" x14ac:dyDescent="0.25">
      <c r="A198" s="25" t="s">
        <v>156</v>
      </c>
      <c r="B198" s="16">
        <v>902</v>
      </c>
      <c r="C198" s="20" t="s">
        <v>259</v>
      </c>
      <c r="D198" s="20" t="s">
        <v>133</v>
      </c>
      <c r="E198" s="20" t="s">
        <v>157</v>
      </c>
      <c r="F198" s="20"/>
      <c r="G198" s="26">
        <f>G199</f>
        <v>9066.4</v>
      </c>
      <c r="H198" s="179"/>
    </row>
    <row r="199" spans="1:8" ht="15.75" x14ac:dyDescent="0.25">
      <c r="A199" s="25" t="s">
        <v>261</v>
      </c>
      <c r="B199" s="16">
        <v>902</v>
      </c>
      <c r="C199" s="20" t="s">
        <v>259</v>
      </c>
      <c r="D199" s="20" t="s">
        <v>133</v>
      </c>
      <c r="E199" s="20" t="s">
        <v>262</v>
      </c>
      <c r="F199" s="20"/>
      <c r="G199" s="26">
        <f>G200</f>
        <v>9066.4</v>
      </c>
      <c r="H199" s="179"/>
    </row>
    <row r="200" spans="1:8" ht="31.5" x14ac:dyDescent="0.25">
      <c r="A200" s="25" t="s">
        <v>263</v>
      </c>
      <c r="B200" s="16">
        <v>902</v>
      </c>
      <c r="C200" s="20" t="s">
        <v>259</v>
      </c>
      <c r="D200" s="20" t="s">
        <v>133</v>
      </c>
      <c r="E200" s="20" t="s">
        <v>262</v>
      </c>
      <c r="F200" s="20" t="s">
        <v>264</v>
      </c>
      <c r="G200" s="26">
        <f>G201</f>
        <v>9066.4</v>
      </c>
      <c r="H200" s="179"/>
    </row>
    <row r="201" spans="1:8" ht="31.5" x14ac:dyDescent="0.25">
      <c r="A201" s="25" t="s">
        <v>265</v>
      </c>
      <c r="B201" s="16">
        <v>902</v>
      </c>
      <c r="C201" s="20" t="s">
        <v>259</v>
      </c>
      <c r="D201" s="20" t="s">
        <v>133</v>
      </c>
      <c r="E201" s="20" t="s">
        <v>262</v>
      </c>
      <c r="F201" s="20" t="s">
        <v>266</v>
      </c>
      <c r="G201" s="27">
        <v>9066.4</v>
      </c>
      <c r="H201" s="179"/>
    </row>
    <row r="202" spans="1:8" ht="15.75" x14ac:dyDescent="0.25">
      <c r="A202" s="23" t="s">
        <v>267</v>
      </c>
      <c r="B202" s="19">
        <v>902</v>
      </c>
      <c r="C202" s="24" t="s">
        <v>259</v>
      </c>
      <c r="D202" s="24" t="s">
        <v>230</v>
      </c>
      <c r="E202" s="20"/>
      <c r="F202" s="20"/>
      <c r="G202" s="21">
        <f>G203+G207</f>
        <v>10</v>
      </c>
      <c r="H202" s="179"/>
    </row>
    <row r="203" spans="1:8" ht="78.75" x14ac:dyDescent="0.25">
      <c r="A203" s="25" t="s">
        <v>268</v>
      </c>
      <c r="B203" s="16">
        <v>902</v>
      </c>
      <c r="C203" s="20" t="s">
        <v>259</v>
      </c>
      <c r="D203" s="20" t="s">
        <v>230</v>
      </c>
      <c r="E203" s="20" t="s">
        <v>269</v>
      </c>
      <c r="F203" s="20"/>
      <c r="G203" s="26">
        <f>G204</f>
        <v>10</v>
      </c>
      <c r="H203" s="179"/>
    </row>
    <row r="204" spans="1:8" ht="31.5" x14ac:dyDescent="0.25">
      <c r="A204" s="25" t="s">
        <v>172</v>
      </c>
      <c r="B204" s="16">
        <v>902</v>
      </c>
      <c r="C204" s="20" t="s">
        <v>259</v>
      </c>
      <c r="D204" s="20" t="s">
        <v>230</v>
      </c>
      <c r="E204" s="20" t="s">
        <v>270</v>
      </c>
      <c r="F204" s="20"/>
      <c r="G204" s="26">
        <f>G205</f>
        <v>10</v>
      </c>
      <c r="H204" s="179"/>
    </row>
    <row r="205" spans="1:8" ht="31.5" x14ac:dyDescent="0.25">
      <c r="A205" s="25" t="s">
        <v>263</v>
      </c>
      <c r="B205" s="16">
        <v>902</v>
      </c>
      <c r="C205" s="20" t="s">
        <v>259</v>
      </c>
      <c r="D205" s="20" t="s">
        <v>230</v>
      </c>
      <c r="E205" s="20" t="s">
        <v>270</v>
      </c>
      <c r="F205" s="20" t="s">
        <v>264</v>
      </c>
      <c r="G205" s="26">
        <f>G206</f>
        <v>10</v>
      </c>
      <c r="H205" s="179"/>
    </row>
    <row r="206" spans="1:8" ht="31.5" x14ac:dyDescent="0.25">
      <c r="A206" s="25" t="s">
        <v>265</v>
      </c>
      <c r="B206" s="16">
        <v>902</v>
      </c>
      <c r="C206" s="20" t="s">
        <v>259</v>
      </c>
      <c r="D206" s="20" t="s">
        <v>230</v>
      </c>
      <c r="E206" s="20" t="s">
        <v>270</v>
      </c>
      <c r="F206" s="20" t="s">
        <v>266</v>
      </c>
      <c r="G206" s="26">
        <v>10</v>
      </c>
      <c r="H206" s="179"/>
    </row>
    <row r="207" spans="1:8" ht="15.75" hidden="1" x14ac:dyDescent="0.25">
      <c r="A207" s="25" t="s">
        <v>136</v>
      </c>
      <c r="B207" s="16">
        <v>902</v>
      </c>
      <c r="C207" s="20" t="s">
        <v>259</v>
      </c>
      <c r="D207" s="20" t="s">
        <v>230</v>
      </c>
      <c r="E207" s="20" t="s">
        <v>137</v>
      </c>
      <c r="F207" s="20"/>
      <c r="G207" s="26">
        <f>G208</f>
        <v>0</v>
      </c>
      <c r="H207" s="179"/>
    </row>
    <row r="208" spans="1:8" ht="31.5" hidden="1" x14ac:dyDescent="0.25">
      <c r="A208" s="25" t="s">
        <v>200</v>
      </c>
      <c r="B208" s="16">
        <v>902</v>
      </c>
      <c r="C208" s="20" t="s">
        <v>259</v>
      </c>
      <c r="D208" s="20" t="s">
        <v>230</v>
      </c>
      <c r="E208" s="20" t="s">
        <v>201</v>
      </c>
      <c r="F208" s="20"/>
      <c r="G208" s="26">
        <f>G209</f>
        <v>0</v>
      </c>
      <c r="H208" s="179"/>
    </row>
    <row r="209" spans="1:12" ht="47.25" hidden="1" x14ac:dyDescent="0.25">
      <c r="A209" s="31" t="s">
        <v>271</v>
      </c>
      <c r="B209" s="16">
        <v>902</v>
      </c>
      <c r="C209" s="20" t="s">
        <v>259</v>
      </c>
      <c r="D209" s="20" t="s">
        <v>230</v>
      </c>
      <c r="E209" s="20" t="s">
        <v>272</v>
      </c>
      <c r="F209" s="20"/>
      <c r="G209" s="26">
        <f>G210</f>
        <v>0</v>
      </c>
      <c r="H209" s="179"/>
    </row>
    <row r="210" spans="1:12" ht="31.5" hidden="1" x14ac:dyDescent="0.25">
      <c r="A210" s="25" t="s">
        <v>263</v>
      </c>
      <c r="B210" s="16">
        <v>902</v>
      </c>
      <c r="C210" s="20" t="s">
        <v>259</v>
      </c>
      <c r="D210" s="20" t="s">
        <v>230</v>
      </c>
      <c r="E210" s="20" t="s">
        <v>272</v>
      </c>
      <c r="F210" s="20" t="s">
        <v>264</v>
      </c>
      <c r="G210" s="26">
        <f>G211</f>
        <v>0</v>
      </c>
      <c r="H210" s="179"/>
    </row>
    <row r="211" spans="1:12" ht="31.5" hidden="1" x14ac:dyDescent="0.25">
      <c r="A211" s="25" t="s">
        <v>265</v>
      </c>
      <c r="B211" s="16">
        <v>902</v>
      </c>
      <c r="C211" s="20" t="s">
        <v>259</v>
      </c>
      <c r="D211" s="20" t="s">
        <v>230</v>
      </c>
      <c r="E211" s="20" t="s">
        <v>272</v>
      </c>
      <c r="F211" s="20" t="s">
        <v>266</v>
      </c>
      <c r="G211" s="26">
        <f>6250-6250</f>
        <v>0</v>
      </c>
      <c r="H211" s="108"/>
      <c r="I211" s="117"/>
    </row>
    <row r="212" spans="1:12" ht="31.5" x14ac:dyDescent="0.25">
      <c r="A212" s="23" t="s">
        <v>273</v>
      </c>
      <c r="B212" s="19">
        <v>902</v>
      </c>
      <c r="C212" s="24" t="s">
        <v>259</v>
      </c>
      <c r="D212" s="24" t="s">
        <v>135</v>
      </c>
      <c r="E212" s="24"/>
      <c r="F212" s="24"/>
      <c r="G212" s="21">
        <f>G213</f>
        <v>3148.5000000000005</v>
      </c>
      <c r="H212" s="179"/>
    </row>
    <row r="213" spans="1:12" ht="15.75" x14ac:dyDescent="0.25">
      <c r="A213" s="25" t="s">
        <v>136</v>
      </c>
      <c r="B213" s="16">
        <v>902</v>
      </c>
      <c r="C213" s="20" t="s">
        <v>259</v>
      </c>
      <c r="D213" s="20" t="s">
        <v>135</v>
      </c>
      <c r="E213" s="20" t="s">
        <v>137</v>
      </c>
      <c r="F213" s="24"/>
      <c r="G213" s="26">
        <f>G214</f>
        <v>3148.5000000000005</v>
      </c>
      <c r="H213" s="179"/>
    </row>
    <row r="214" spans="1:12" ht="31.5" x14ac:dyDescent="0.25">
      <c r="A214" s="25" t="s">
        <v>200</v>
      </c>
      <c r="B214" s="16">
        <v>902</v>
      </c>
      <c r="C214" s="20" t="s">
        <v>259</v>
      </c>
      <c r="D214" s="20" t="s">
        <v>135</v>
      </c>
      <c r="E214" s="20" t="s">
        <v>201</v>
      </c>
      <c r="F214" s="20"/>
      <c r="G214" s="26">
        <f>G215</f>
        <v>3148.5000000000005</v>
      </c>
      <c r="H214" s="179"/>
    </row>
    <row r="215" spans="1:12" ht="47.25" x14ac:dyDescent="0.25">
      <c r="A215" s="31" t="s">
        <v>274</v>
      </c>
      <c r="B215" s="16">
        <v>902</v>
      </c>
      <c r="C215" s="20" t="s">
        <v>259</v>
      </c>
      <c r="D215" s="20" t="s">
        <v>135</v>
      </c>
      <c r="E215" s="20" t="s">
        <v>275</v>
      </c>
      <c r="F215" s="20"/>
      <c r="G215" s="26">
        <f>G216+G218</f>
        <v>3148.5000000000005</v>
      </c>
      <c r="H215" s="179"/>
    </row>
    <row r="216" spans="1:12" ht="94.5" x14ac:dyDescent="0.25">
      <c r="A216" s="25" t="s">
        <v>142</v>
      </c>
      <c r="B216" s="16">
        <v>902</v>
      </c>
      <c r="C216" s="20" t="s">
        <v>259</v>
      </c>
      <c r="D216" s="20" t="s">
        <v>135</v>
      </c>
      <c r="E216" s="20" t="s">
        <v>275</v>
      </c>
      <c r="F216" s="20" t="s">
        <v>143</v>
      </c>
      <c r="G216" s="26">
        <f>G217</f>
        <v>2884.1000000000004</v>
      </c>
      <c r="H216" s="179"/>
    </row>
    <row r="217" spans="1:12" ht="31.5" x14ac:dyDescent="0.25">
      <c r="A217" s="25" t="s">
        <v>144</v>
      </c>
      <c r="B217" s="16">
        <v>902</v>
      </c>
      <c r="C217" s="20" t="s">
        <v>259</v>
      </c>
      <c r="D217" s="20" t="s">
        <v>135</v>
      </c>
      <c r="E217" s="20" t="s">
        <v>275</v>
      </c>
      <c r="F217" s="20" t="s">
        <v>145</v>
      </c>
      <c r="G217" s="27">
        <f>2826.8+14.8+42.5</f>
        <v>2884.1000000000004</v>
      </c>
      <c r="H217" s="108"/>
    </row>
    <row r="218" spans="1:12" ht="31.5" x14ac:dyDescent="0.25">
      <c r="A218" s="25" t="s">
        <v>146</v>
      </c>
      <c r="B218" s="16">
        <v>902</v>
      </c>
      <c r="C218" s="20" t="s">
        <v>259</v>
      </c>
      <c r="D218" s="20" t="s">
        <v>135</v>
      </c>
      <c r="E218" s="20" t="s">
        <v>275</v>
      </c>
      <c r="F218" s="20" t="s">
        <v>147</v>
      </c>
      <c r="G218" s="26">
        <f>G219</f>
        <v>264.39999999999998</v>
      </c>
      <c r="H218" s="179"/>
    </row>
    <row r="219" spans="1:12" ht="47.25" x14ac:dyDescent="0.25">
      <c r="A219" s="25" t="s">
        <v>148</v>
      </c>
      <c r="B219" s="16">
        <v>902</v>
      </c>
      <c r="C219" s="20" t="s">
        <v>259</v>
      </c>
      <c r="D219" s="20" t="s">
        <v>135</v>
      </c>
      <c r="E219" s="20" t="s">
        <v>275</v>
      </c>
      <c r="F219" s="20" t="s">
        <v>149</v>
      </c>
      <c r="G219" s="27">
        <f>433.9-112.2-14.8-42.5</f>
        <v>264.39999999999998</v>
      </c>
      <c r="H219" s="108"/>
      <c r="I219" s="117"/>
    </row>
    <row r="220" spans="1:12" ht="47.25" x14ac:dyDescent="0.25">
      <c r="A220" s="19" t="s">
        <v>276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9"/>
      <c r="L220" s="118"/>
    </row>
    <row r="221" spans="1:12" ht="15.75" hidden="1" x14ac:dyDescent="0.25">
      <c r="A221" s="23" t="s">
        <v>132</v>
      </c>
      <c r="B221" s="19">
        <v>903</v>
      </c>
      <c r="C221" s="24" t="s">
        <v>133</v>
      </c>
      <c r="D221" s="24"/>
      <c r="E221" s="24"/>
      <c r="F221" s="24"/>
      <c r="G221" s="21">
        <f t="shared" ref="G221:G226" si="0">G222</f>
        <v>0</v>
      </c>
      <c r="H221" s="179"/>
    </row>
    <row r="222" spans="1:12" ht="15.75" hidden="1" x14ac:dyDescent="0.25">
      <c r="A222" s="34" t="s">
        <v>154</v>
      </c>
      <c r="B222" s="19">
        <v>903</v>
      </c>
      <c r="C222" s="24" t="s">
        <v>133</v>
      </c>
      <c r="D222" s="24" t="s">
        <v>155</v>
      </c>
      <c r="E222" s="24"/>
      <c r="F222" s="24"/>
      <c r="G222" s="21">
        <f t="shared" si="0"/>
        <v>0</v>
      </c>
      <c r="H222" s="179"/>
    </row>
    <row r="223" spans="1:12" ht="15.75" hidden="1" x14ac:dyDescent="0.25">
      <c r="A223" s="31" t="s">
        <v>136</v>
      </c>
      <c r="B223" s="16">
        <v>903</v>
      </c>
      <c r="C223" s="20" t="s">
        <v>133</v>
      </c>
      <c r="D223" s="20" t="s">
        <v>155</v>
      </c>
      <c r="E223" s="20" t="s">
        <v>137</v>
      </c>
      <c r="F223" s="20"/>
      <c r="G223" s="26">
        <f t="shared" si="0"/>
        <v>0</v>
      </c>
      <c r="H223" s="179"/>
    </row>
    <row r="224" spans="1:12" ht="15.75" hidden="1" x14ac:dyDescent="0.25">
      <c r="A224" s="31" t="s">
        <v>156</v>
      </c>
      <c r="B224" s="16">
        <v>903</v>
      </c>
      <c r="C224" s="20" t="s">
        <v>133</v>
      </c>
      <c r="D224" s="20" t="s">
        <v>155</v>
      </c>
      <c r="E224" s="20" t="s">
        <v>157</v>
      </c>
      <c r="F224" s="20"/>
      <c r="G224" s="26">
        <f t="shared" si="0"/>
        <v>0</v>
      </c>
      <c r="H224" s="179"/>
    </row>
    <row r="225" spans="1:8" ht="15.75" hidden="1" x14ac:dyDescent="0.25">
      <c r="A225" s="25" t="s">
        <v>194</v>
      </c>
      <c r="B225" s="16">
        <v>903</v>
      </c>
      <c r="C225" s="20" t="s">
        <v>133</v>
      </c>
      <c r="D225" s="20" t="s">
        <v>155</v>
      </c>
      <c r="E225" s="20" t="s">
        <v>277</v>
      </c>
      <c r="F225" s="20"/>
      <c r="G225" s="26">
        <f t="shared" si="0"/>
        <v>0</v>
      </c>
      <c r="H225" s="179"/>
    </row>
    <row r="226" spans="1:8" ht="31.5" hidden="1" x14ac:dyDescent="0.25">
      <c r="A226" s="25" t="s">
        <v>146</v>
      </c>
      <c r="B226" s="16">
        <v>903</v>
      </c>
      <c r="C226" s="20" t="s">
        <v>133</v>
      </c>
      <c r="D226" s="20" t="s">
        <v>155</v>
      </c>
      <c r="E226" s="20" t="s">
        <v>277</v>
      </c>
      <c r="F226" s="20" t="s">
        <v>147</v>
      </c>
      <c r="G226" s="26">
        <f t="shared" si="0"/>
        <v>0</v>
      </c>
      <c r="H226" s="179"/>
    </row>
    <row r="227" spans="1:8" ht="47.25" hidden="1" x14ac:dyDescent="0.25">
      <c r="A227" s="25" t="s">
        <v>148</v>
      </c>
      <c r="B227" s="16">
        <v>903</v>
      </c>
      <c r="C227" s="20" t="s">
        <v>133</v>
      </c>
      <c r="D227" s="20" t="s">
        <v>155</v>
      </c>
      <c r="E227" s="20" t="s">
        <v>277</v>
      </c>
      <c r="F227" s="20" t="s">
        <v>149</v>
      </c>
      <c r="G227" s="26"/>
      <c r="H227" s="179"/>
    </row>
    <row r="228" spans="1:8" ht="15.75" x14ac:dyDescent="0.25">
      <c r="A228" s="23" t="s">
        <v>132</v>
      </c>
      <c r="B228" s="19">
        <v>903</v>
      </c>
      <c r="C228" s="24" t="s">
        <v>133</v>
      </c>
      <c r="D228" s="20"/>
      <c r="E228" s="20"/>
      <c r="F228" s="20"/>
      <c r="G228" s="26">
        <f t="shared" ref="G228:G233" si="1">G229</f>
        <v>88.7</v>
      </c>
      <c r="H228" s="179"/>
    </row>
    <row r="229" spans="1:8" ht="15.75" x14ac:dyDescent="0.25">
      <c r="A229" s="23" t="s">
        <v>154</v>
      </c>
      <c r="B229" s="19">
        <v>903</v>
      </c>
      <c r="C229" s="24" t="s">
        <v>133</v>
      </c>
      <c r="D229" s="24" t="s">
        <v>155</v>
      </c>
      <c r="E229" s="20"/>
      <c r="F229" s="20"/>
      <c r="G229" s="26">
        <f t="shared" si="1"/>
        <v>88.7</v>
      </c>
      <c r="H229" s="179"/>
    </row>
    <row r="230" spans="1:8" ht="15.75" x14ac:dyDescent="0.25">
      <c r="A230" s="25" t="s">
        <v>136</v>
      </c>
      <c r="B230" s="16">
        <v>903</v>
      </c>
      <c r="C230" s="20" t="s">
        <v>133</v>
      </c>
      <c r="D230" s="20" t="s">
        <v>155</v>
      </c>
      <c r="E230" s="20" t="s">
        <v>137</v>
      </c>
      <c r="F230" s="20"/>
      <c r="G230" s="26">
        <f t="shared" si="1"/>
        <v>88.7</v>
      </c>
      <c r="H230" s="179"/>
    </row>
    <row r="231" spans="1:8" ht="31.5" x14ac:dyDescent="0.25">
      <c r="A231" s="25" t="s">
        <v>200</v>
      </c>
      <c r="B231" s="16">
        <v>903</v>
      </c>
      <c r="C231" s="20" t="s">
        <v>133</v>
      </c>
      <c r="D231" s="20" t="s">
        <v>155</v>
      </c>
      <c r="E231" s="20" t="s">
        <v>201</v>
      </c>
      <c r="F231" s="20"/>
      <c r="G231" s="26">
        <f t="shared" si="1"/>
        <v>88.7</v>
      </c>
      <c r="H231" s="179"/>
    </row>
    <row r="232" spans="1:8" ht="47.25" x14ac:dyDescent="0.25">
      <c r="A232" s="35" t="s">
        <v>757</v>
      </c>
      <c r="B232" s="16">
        <v>903</v>
      </c>
      <c r="C232" s="20" t="s">
        <v>133</v>
      </c>
      <c r="D232" s="20" t="s">
        <v>155</v>
      </c>
      <c r="E232" s="20" t="s">
        <v>756</v>
      </c>
      <c r="F232" s="24"/>
      <c r="G232" s="26">
        <f t="shared" si="1"/>
        <v>88.7</v>
      </c>
      <c r="H232" s="179"/>
    </row>
    <row r="233" spans="1:8" ht="31.5" x14ac:dyDescent="0.25">
      <c r="A233" s="25" t="s">
        <v>146</v>
      </c>
      <c r="B233" s="16">
        <v>903</v>
      </c>
      <c r="C233" s="20" t="s">
        <v>133</v>
      </c>
      <c r="D233" s="20" t="s">
        <v>155</v>
      </c>
      <c r="E233" s="20" t="s">
        <v>756</v>
      </c>
      <c r="F233" s="20" t="s">
        <v>147</v>
      </c>
      <c r="G233" s="26">
        <f t="shared" si="1"/>
        <v>88.7</v>
      </c>
      <c r="H233" s="179"/>
    </row>
    <row r="234" spans="1:8" ht="53.25" customHeight="1" x14ac:dyDescent="0.25">
      <c r="A234" s="25" t="s">
        <v>148</v>
      </c>
      <c r="B234" s="16">
        <v>903</v>
      </c>
      <c r="C234" s="20" t="s">
        <v>133</v>
      </c>
      <c r="D234" s="20" t="s">
        <v>155</v>
      </c>
      <c r="E234" s="20" t="s">
        <v>756</v>
      </c>
      <c r="F234" s="20" t="s">
        <v>149</v>
      </c>
      <c r="G234" s="164">
        <v>88.7</v>
      </c>
      <c r="H234" s="159" t="s">
        <v>751</v>
      </c>
    </row>
    <row r="235" spans="1:8" ht="15.75" x14ac:dyDescent="0.25">
      <c r="A235" s="23" t="s">
        <v>278</v>
      </c>
      <c r="B235" s="19">
        <v>903</v>
      </c>
      <c r="C235" s="24" t="s">
        <v>279</v>
      </c>
      <c r="D235" s="20"/>
      <c r="E235" s="20"/>
      <c r="F235" s="20"/>
      <c r="G235" s="21">
        <f>G236+G271</f>
        <v>17482.699999999997</v>
      </c>
      <c r="H235" s="179"/>
    </row>
    <row r="236" spans="1:8" ht="15.75" x14ac:dyDescent="0.25">
      <c r="A236" s="23" t="s">
        <v>280</v>
      </c>
      <c r="B236" s="19">
        <v>903</v>
      </c>
      <c r="C236" s="24" t="s">
        <v>279</v>
      </c>
      <c r="D236" s="24" t="s">
        <v>230</v>
      </c>
      <c r="E236" s="24"/>
      <c r="F236" s="24"/>
      <c r="G236" s="21">
        <f>G237+G260</f>
        <v>17482.699999999997</v>
      </c>
      <c r="H236" s="179"/>
    </row>
    <row r="237" spans="1:8" ht="47.25" x14ac:dyDescent="0.25">
      <c r="A237" s="25" t="s">
        <v>281</v>
      </c>
      <c r="B237" s="16">
        <v>903</v>
      </c>
      <c r="C237" s="20" t="s">
        <v>279</v>
      </c>
      <c r="D237" s="20" t="s">
        <v>230</v>
      </c>
      <c r="E237" s="20" t="s">
        <v>282</v>
      </c>
      <c r="F237" s="20"/>
      <c r="G237" s="26">
        <f>G238</f>
        <v>16445.599999999999</v>
      </c>
      <c r="H237" s="179"/>
    </row>
    <row r="238" spans="1:8" ht="63" x14ac:dyDescent="0.25">
      <c r="A238" s="25" t="s">
        <v>283</v>
      </c>
      <c r="B238" s="16">
        <v>903</v>
      </c>
      <c r="C238" s="20" t="s">
        <v>279</v>
      </c>
      <c r="D238" s="20" t="s">
        <v>230</v>
      </c>
      <c r="E238" s="20" t="s">
        <v>284</v>
      </c>
      <c r="F238" s="20"/>
      <c r="G238" s="26">
        <f>G239+G251</f>
        <v>16445.599999999999</v>
      </c>
      <c r="H238" s="179"/>
    </row>
    <row r="239" spans="1:8" ht="47.25" x14ac:dyDescent="0.25">
      <c r="A239" s="25" t="s">
        <v>285</v>
      </c>
      <c r="B239" s="16">
        <v>903</v>
      </c>
      <c r="C239" s="20" t="s">
        <v>279</v>
      </c>
      <c r="D239" s="20" t="s">
        <v>230</v>
      </c>
      <c r="E239" s="20" t="s">
        <v>286</v>
      </c>
      <c r="F239" s="20"/>
      <c r="G239" s="26">
        <f>G240</f>
        <v>16395.599999999999</v>
      </c>
      <c r="H239" s="179"/>
    </row>
    <row r="240" spans="1:8" ht="47.25" x14ac:dyDescent="0.25">
      <c r="A240" s="25" t="s">
        <v>287</v>
      </c>
      <c r="B240" s="16">
        <v>903</v>
      </c>
      <c r="C240" s="20" t="s">
        <v>279</v>
      </c>
      <c r="D240" s="20" t="s">
        <v>230</v>
      </c>
      <c r="E240" s="20" t="s">
        <v>286</v>
      </c>
      <c r="F240" s="20" t="s">
        <v>288</v>
      </c>
      <c r="G240" s="26">
        <f>G241</f>
        <v>16395.599999999999</v>
      </c>
      <c r="H240" s="179"/>
    </row>
    <row r="241" spans="1:9" ht="15.75" x14ac:dyDescent="0.25">
      <c r="A241" s="25" t="s">
        <v>289</v>
      </c>
      <c r="B241" s="16">
        <v>903</v>
      </c>
      <c r="C241" s="20" t="s">
        <v>279</v>
      </c>
      <c r="D241" s="20" t="s">
        <v>230</v>
      </c>
      <c r="E241" s="20" t="s">
        <v>286</v>
      </c>
      <c r="F241" s="20" t="s">
        <v>290</v>
      </c>
      <c r="G241" s="27">
        <f>15572+756.3+67.3</f>
        <v>16395.599999999999</v>
      </c>
      <c r="H241" s="108"/>
      <c r="I241" s="127"/>
    </row>
    <row r="242" spans="1:9" ht="47.25" hidden="1" x14ac:dyDescent="0.25">
      <c r="A242" s="25" t="s">
        <v>291</v>
      </c>
      <c r="B242" s="16">
        <v>903</v>
      </c>
      <c r="C242" s="20" t="s">
        <v>279</v>
      </c>
      <c r="D242" s="20" t="s">
        <v>230</v>
      </c>
      <c r="E242" s="20" t="s">
        <v>292</v>
      </c>
      <c r="F242" s="20"/>
      <c r="G242" s="26">
        <f>G243</f>
        <v>0</v>
      </c>
      <c r="H242" s="179"/>
    </row>
    <row r="243" spans="1:9" ht="47.25" hidden="1" x14ac:dyDescent="0.25">
      <c r="A243" s="25" t="s">
        <v>287</v>
      </c>
      <c r="B243" s="16">
        <v>903</v>
      </c>
      <c r="C243" s="20" t="s">
        <v>279</v>
      </c>
      <c r="D243" s="20" t="s">
        <v>230</v>
      </c>
      <c r="E243" s="20" t="s">
        <v>292</v>
      </c>
      <c r="F243" s="20" t="s">
        <v>288</v>
      </c>
      <c r="G243" s="26">
        <f>G244</f>
        <v>0</v>
      </c>
      <c r="H243" s="179"/>
    </row>
    <row r="244" spans="1:9" ht="15.75" hidden="1" x14ac:dyDescent="0.25">
      <c r="A244" s="25" t="s">
        <v>289</v>
      </c>
      <c r="B244" s="16">
        <v>903</v>
      </c>
      <c r="C244" s="20" t="s">
        <v>279</v>
      </c>
      <c r="D244" s="20" t="s">
        <v>230</v>
      </c>
      <c r="E244" s="20" t="s">
        <v>292</v>
      </c>
      <c r="F244" s="20" t="s">
        <v>290</v>
      </c>
      <c r="G244" s="26">
        <v>0</v>
      </c>
      <c r="H244" s="179"/>
    </row>
    <row r="245" spans="1:9" ht="47.25" hidden="1" x14ac:dyDescent="0.25">
      <c r="A245" s="25" t="s">
        <v>293</v>
      </c>
      <c r="B245" s="16">
        <v>903</v>
      </c>
      <c r="C245" s="20" t="s">
        <v>279</v>
      </c>
      <c r="D245" s="20" t="s">
        <v>230</v>
      </c>
      <c r="E245" s="20" t="s">
        <v>294</v>
      </c>
      <c r="F245" s="20"/>
      <c r="G245" s="26">
        <f>G246</f>
        <v>0</v>
      </c>
      <c r="H245" s="179"/>
    </row>
    <row r="246" spans="1:9" ht="47.25" hidden="1" x14ac:dyDescent="0.25">
      <c r="A246" s="25" t="s">
        <v>287</v>
      </c>
      <c r="B246" s="16">
        <v>903</v>
      </c>
      <c r="C246" s="20" t="s">
        <v>279</v>
      </c>
      <c r="D246" s="20" t="s">
        <v>230</v>
      </c>
      <c r="E246" s="20" t="s">
        <v>294</v>
      </c>
      <c r="F246" s="20" t="s">
        <v>288</v>
      </c>
      <c r="G246" s="26">
        <f>G247</f>
        <v>0</v>
      </c>
      <c r="H246" s="179"/>
    </row>
    <row r="247" spans="1:9" ht="15.75" hidden="1" x14ac:dyDescent="0.25">
      <c r="A247" s="25" t="s">
        <v>289</v>
      </c>
      <c r="B247" s="16">
        <v>903</v>
      </c>
      <c r="C247" s="20" t="s">
        <v>279</v>
      </c>
      <c r="D247" s="20" t="s">
        <v>230</v>
      </c>
      <c r="E247" s="20" t="s">
        <v>294</v>
      </c>
      <c r="F247" s="20" t="s">
        <v>290</v>
      </c>
      <c r="G247" s="26">
        <v>0</v>
      </c>
      <c r="H247" s="179"/>
    </row>
    <row r="248" spans="1:9" ht="31.5" hidden="1" x14ac:dyDescent="0.25">
      <c r="A248" s="25" t="s">
        <v>295</v>
      </c>
      <c r="B248" s="16">
        <v>903</v>
      </c>
      <c r="C248" s="20" t="s">
        <v>279</v>
      </c>
      <c r="D248" s="20" t="s">
        <v>230</v>
      </c>
      <c r="E248" s="20" t="s">
        <v>296</v>
      </c>
      <c r="F248" s="20"/>
      <c r="G248" s="26">
        <f>G249</f>
        <v>0</v>
      </c>
      <c r="H248" s="179"/>
    </row>
    <row r="249" spans="1:9" ht="47.25" hidden="1" x14ac:dyDescent="0.25">
      <c r="A249" s="25" t="s">
        <v>287</v>
      </c>
      <c r="B249" s="16">
        <v>903</v>
      </c>
      <c r="C249" s="20" t="s">
        <v>279</v>
      </c>
      <c r="D249" s="20" t="s">
        <v>230</v>
      </c>
      <c r="E249" s="20" t="s">
        <v>296</v>
      </c>
      <c r="F249" s="20" t="s">
        <v>288</v>
      </c>
      <c r="G249" s="26">
        <f>G250</f>
        <v>0</v>
      </c>
      <c r="H249" s="179"/>
    </row>
    <row r="250" spans="1:9" ht="15.75" hidden="1" x14ac:dyDescent="0.25">
      <c r="A250" s="25" t="s">
        <v>289</v>
      </c>
      <c r="B250" s="16">
        <v>903</v>
      </c>
      <c r="C250" s="20" t="s">
        <v>279</v>
      </c>
      <c r="D250" s="20" t="s">
        <v>230</v>
      </c>
      <c r="E250" s="20" t="s">
        <v>296</v>
      </c>
      <c r="F250" s="20" t="s">
        <v>290</v>
      </c>
      <c r="G250" s="26">
        <v>0</v>
      </c>
      <c r="H250" s="179"/>
    </row>
    <row r="251" spans="1:9" ht="47.25" x14ac:dyDescent="0.25">
      <c r="A251" s="25" t="s">
        <v>297</v>
      </c>
      <c r="B251" s="16">
        <v>903</v>
      </c>
      <c r="C251" s="20" t="s">
        <v>279</v>
      </c>
      <c r="D251" s="20" t="s">
        <v>230</v>
      </c>
      <c r="E251" s="20" t="s">
        <v>298</v>
      </c>
      <c r="F251" s="20"/>
      <c r="G251" s="26">
        <f>G252</f>
        <v>50</v>
      </c>
      <c r="H251" s="179"/>
    </row>
    <row r="252" spans="1:9" ht="47.25" x14ac:dyDescent="0.25">
      <c r="A252" s="25" t="s">
        <v>287</v>
      </c>
      <c r="B252" s="16">
        <v>903</v>
      </c>
      <c r="C252" s="20" t="s">
        <v>279</v>
      </c>
      <c r="D252" s="20" t="s">
        <v>230</v>
      </c>
      <c r="E252" s="20" t="s">
        <v>298</v>
      </c>
      <c r="F252" s="20" t="s">
        <v>288</v>
      </c>
      <c r="G252" s="26">
        <f>G253</f>
        <v>50</v>
      </c>
      <c r="H252" s="179"/>
    </row>
    <row r="253" spans="1:9" ht="15.75" x14ac:dyDescent="0.25">
      <c r="A253" s="25" t="s">
        <v>289</v>
      </c>
      <c r="B253" s="16">
        <v>903</v>
      </c>
      <c r="C253" s="20" t="s">
        <v>279</v>
      </c>
      <c r="D253" s="20" t="s">
        <v>230</v>
      </c>
      <c r="E253" s="20" t="s">
        <v>298</v>
      </c>
      <c r="F253" s="20" t="s">
        <v>290</v>
      </c>
      <c r="G253" s="26">
        <v>50</v>
      </c>
      <c r="H253" s="179"/>
    </row>
    <row r="254" spans="1:9" ht="31.5" hidden="1" x14ac:dyDescent="0.25">
      <c r="A254" s="25" t="s">
        <v>299</v>
      </c>
      <c r="B254" s="16">
        <v>903</v>
      </c>
      <c r="C254" s="20" t="s">
        <v>279</v>
      </c>
      <c r="D254" s="20" t="s">
        <v>230</v>
      </c>
      <c r="E254" s="20" t="s">
        <v>300</v>
      </c>
      <c r="F254" s="20"/>
      <c r="G254" s="26">
        <f>G255</f>
        <v>0</v>
      </c>
      <c r="H254" s="179"/>
    </row>
    <row r="255" spans="1:9" ht="47.25" hidden="1" x14ac:dyDescent="0.25">
      <c r="A255" s="25" t="s">
        <v>287</v>
      </c>
      <c r="B255" s="16">
        <v>903</v>
      </c>
      <c r="C255" s="20" t="s">
        <v>279</v>
      </c>
      <c r="D255" s="20" t="s">
        <v>230</v>
      </c>
      <c r="E255" s="20" t="s">
        <v>301</v>
      </c>
      <c r="F255" s="20" t="s">
        <v>288</v>
      </c>
      <c r="G255" s="26">
        <f>G256</f>
        <v>0</v>
      </c>
      <c r="H255" s="179"/>
    </row>
    <row r="256" spans="1:9" ht="15.75" hidden="1" x14ac:dyDescent="0.25">
      <c r="A256" s="25" t="s">
        <v>289</v>
      </c>
      <c r="B256" s="16">
        <v>903</v>
      </c>
      <c r="C256" s="20" t="s">
        <v>279</v>
      </c>
      <c r="D256" s="20" t="s">
        <v>230</v>
      </c>
      <c r="E256" s="20" t="s">
        <v>301</v>
      </c>
      <c r="F256" s="20" t="s">
        <v>290</v>
      </c>
      <c r="G256" s="26">
        <v>0</v>
      </c>
      <c r="H256" s="179"/>
    </row>
    <row r="257" spans="1:9" ht="47.25" hidden="1" x14ac:dyDescent="0.25">
      <c r="A257" s="35" t="s">
        <v>302</v>
      </c>
      <c r="B257" s="16">
        <v>903</v>
      </c>
      <c r="C257" s="20" t="s">
        <v>279</v>
      </c>
      <c r="D257" s="20" t="s">
        <v>230</v>
      </c>
      <c r="E257" s="20" t="s">
        <v>303</v>
      </c>
      <c r="F257" s="20"/>
      <c r="G257" s="26">
        <f>G258</f>
        <v>0</v>
      </c>
      <c r="H257" s="179"/>
    </row>
    <row r="258" spans="1:9" ht="47.25" hidden="1" x14ac:dyDescent="0.25">
      <c r="A258" s="25" t="s">
        <v>287</v>
      </c>
      <c r="B258" s="16">
        <v>903</v>
      </c>
      <c r="C258" s="20" t="s">
        <v>279</v>
      </c>
      <c r="D258" s="20" t="s">
        <v>230</v>
      </c>
      <c r="E258" s="20" t="s">
        <v>303</v>
      </c>
      <c r="F258" s="20" t="s">
        <v>288</v>
      </c>
      <c r="G258" s="26">
        <f>G259</f>
        <v>0</v>
      </c>
      <c r="H258" s="179"/>
    </row>
    <row r="259" spans="1:9" ht="15.75" hidden="1" x14ac:dyDescent="0.25">
      <c r="A259" s="25" t="s">
        <v>289</v>
      </c>
      <c r="B259" s="16">
        <v>903</v>
      </c>
      <c r="C259" s="20" t="s">
        <v>279</v>
      </c>
      <c r="D259" s="20" t="s">
        <v>230</v>
      </c>
      <c r="E259" s="20" t="s">
        <v>303</v>
      </c>
      <c r="F259" s="20" t="s">
        <v>290</v>
      </c>
      <c r="G259" s="26">
        <v>0</v>
      </c>
      <c r="H259" s="179"/>
    </row>
    <row r="260" spans="1:9" ht="15.75" x14ac:dyDescent="0.25">
      <c r="A260" s="25" t="s">
        <v>136</v>
      </c>
      <c r="B260" s="16">
        <v>903</v>
      </c>
      <c r="C260" s="20" t="s">
        <v>279</v>
      </c>
      <c r="D260" s="20" t="s">
        <v>230</v>
      </c>
      <c r="E260" s="20" t="s">
        <v>137</v>
      </c>
      <c r="F260" s="20"/>
      <c r="G260" s="26">
        <f>G261</f>
        <v>1037.1000000000001</v>
      </c>
      <c r="H260" s="179"/>
    </row>
    <row r="261" spans="1:9" ht="31.5" x14ac:dyDescent="0.25">
      <c r="A261" s="25" t="s">
        <v>200</v>
      </c>
      <c r="B261" s="16">
        <v>903</v>
      </c>
      <c r="C261" s="20" t="s">
        <v>279</v>
      </c>
      <c r="D261" s="20" t="s">
        <v>230</v>
      </c>
      <c r="E261" s="20" t="s">
        <v>201</v>
      </c>
      <c r="F261" s="20"/>
      <c r="G261" s="26">
        <f>G262+G265+G268</f>
        <v>1037.1000000000001</v>
      </c>
      <c r="H261" s="179"/>
    </row>
    <row r="262" spans="1:9" ht="63" x14ac:dyDescent="0.25">
      <c r="A262" s="31" t="s">
        <v>304</v>
      </c>
      <c r="B262" s="16">
        <v>903</v>
      </c>
      <c r="C262" s="20" t="s">
        <v>279</v>
      </c>
      <c r="D262" s="20" t="s">
        <v>230</v>
      </c>
      <c r="E262" s="20" t="s">
        <v>305</v>
      </c>
      <c r="F262" s="20"/>
      <c r="G262" s="26">
        <f>G263</f>
        <v>126.69999999999999</v>
      </c>
      <c r="H262" s="179"/>
    </row>
    <row r="263" spans="1:9" ht="47.25" x14ac:dyDescent="0.25">
      <c r="A263" s="25" t="s">
        <v>287</v>
      </c>
      <c r="B263" s="16">
        <v>903</v>
      </c>
      <c r="C263" s="20" t="s">
        <v>279</v>
      </c>
      <c r="D263" s="20" t="s">
        <v>230</v>
      </c>
      <c r="E263" s="20" t="s">
        <v>305</v>
      </c>
      <c r="F263" s="20" t="s">
        <v>288</v>
      </c>
      <c r="G263" s="26">
        <f>G264</f>
        <v>126.69999999999999</v>
      </c>
      <c r="H263" s="179"/>
    </row>
    <row r="264" spans="1:9" ht="15.75" x14ac:dyDescent="0.25">
      <c r="A264" s="25" t="s">
        <v>289</v>
      </c>
      <c r="B264" s="16">
        <v>903</v>
      </c>
      <c r="C264" s="20" t="s">
        <v>279</v>
      </c>
      <c r="D264" s="20" t="s">
        <v>230</v>
      </c>
      <c r="E264" s="20" t="s">
        <v>305</v>
      </c>
      <c r="F264" s="20" t="s">
        <v>290</v>
      </c>
      <c r="G264" s="26">
        <f>162.6-35.9</f>
        <v>126.69999999999999</v>
      </c>
      <c r="H264" s="179"/>
      <c r="I264" s="117"/>
    </row>
    <row r="265" spans="1:9" ht="78.75" x14ac:dyDescent="0.25">
      <c r="A265" s="31" t="s">
        <v>306</v>
      </c>
      <c r="B265" s="16">
        <v>903</v>
      </c>
      <c r="C265" s="20" t="s">
        <v>279</v>
      </c>
      <c r="D265" s="20" t="s">
        <v>230</v>
      </c>
      <c r="E265" s="20" t="s">
        <v>307</v>
      </c>
      <c r="F265" s="20"/>
      <c r="G265" s="26">
        <f>G266</f>
        <v>310.70000000000005</v>
      </c>
      <c r="H265" s="179"/>
    </row>
    <row r="266" spans="1:9" ht="47.25" x14ac:dyDescent="0.25">
      <c r="A266" s="25" t="s">
        <v>287</v>
      </c>
      <c r="B266" s="16">
        <v>903</v>
      </c>
      <c r="C266" s="20" t="s">
        <v>279</v>
      </c>
      <c r="D266" s="20" t="s">
        <v>230</v>
      </c>
      <c r="E266" s="20" t="s">
        <v>307</v>
      </c>
      <c r="F266" s="20" t="s">
        <v>288</v>
      </c>
      <c r="G266" s="26">
        <f>G267</f>
        <v>310.70000000000005</v>
      </c>
      <c r="H266" s="179"/>
    </row>
    <row r="267" spans="1:9" ht="15.75" x14ac:dyDescent="0.25">
      <c r="A267" s="25" t="s">
        <v>289</v>
      </c>
      <c r="B267" s="16">
        <v>903</v>
      </c>
      <c r="C267" s="20" t="s">
        <v>279</v>
      </c>
      <c r="D267" s="20" t="s">
        <v>230</v>
      </c>
      <c r="E267" s="20" t="s">
        <v>307</v>
      </c>
      <c r="F267" s="20" t="s">
        <v>290</v>
      </c>
      <c r="G267" s="26">
        <f>393.3-82.6</f>
        <v>310.70000000000005</v>
      </c>
      <c r="H267" s="179"/>
      <c r="I267" s="117"/>
    </row>
    <row r="268" spans="1:9" ht="110.25" x14ac:dyDescent="0.25">
      <c r="A268" s="31" t="s">
        <v>308</v>
      </c>
      <c r="B268" s="16">
        <v>903</v>
      </c>
      <c r="C268" s="20" t="s">
        <v>279</v>
      </c>
      <c r="D268" s="20" t="s">
        <v>230</v>
      </c>
      <c r="E268" s="20" t="s">
        <v>309</v>
      </c>
      <c r="F268" s="20"/>
      <c r="G268" s="26">
        <f>G269</f>
        <v>599.70000000000005</v>
      </c>
      <c r="H268" s="179"/>
    </row>
    <row r="269" spans="1:9" ht="47.25" x14ac:dyDescent="0.25">
      <c r="A269" s="25" t="s">
        <v>287</v>
      </c>
      <c r="B269" s="16">
        <v>903</v>
      </c>
      <c r="C269" s="20" t="s">
        <v>279</v>
      </c>
      <c r="D269" s="20" t="s">
        <v>230</v>
      </c>
      <c r="E269" s="20" t="s">
        <v>309</v>
      </c>
      <c r="F269" s="20" t="s">
        <v>288</v>
      </c>
      <c r="G269" s="26">
        <f>G270</f>
        <v>599.70000000000005</v>
      </c>
      <c r="H269" s="179"/>
    </row>
    <row r="270" spans="1:9" ht="15.75" x14ac:dyDescent="0.25">
      <c r="A270" s="25" t="s">
        <v>289</v>
      </c>
      <c r="B270" s="16">
        <v>903</v>
      </c>
      <c r="C270" s="20" t="s">
        <v>279</v>
      </c>
      <c r="D270" s="20" t="s">
        <v>230</v>
      </c>
      <c r="E270" s="20" t="s">
        <v>309</v>
      </c>
      <c r="F270" s="20" t="s">
        <v>290</v>
      </c>
      <c r="G270" s="26">
        <f>600-0.3</f>
        <v>599.70000000000005</v>
      </c>
      <c r="H270" s="179"/>
      <c r="I270" s="117"/>
    </row>
    <row r="271" spans="1:9" ht="15.75" hidden="1" x14ac:dyDescent="0.25">
      <c r="A271" s="23" t="s">
        <v>310</v>
      </c>
      <c r="B271" s="19">
        <v>903</v>
      </c>
      <c r="C271" s="24" t="s">
        <v>279</v>
      </c>
      <c r="D271" s="24" t="s">
        <v>234</v>
      </c>
      <c r="E271" s="24"/>
      <c r="F271" s="24"/>
      <c r="G271" s="26">
        <f>G272</f>
        <v>0</v>
      </c>
      <c r="H271" s="179"/>
    </row>
    <row r="272" spans="1:9" ht="15.75" hidden="1" x14ac:dyDescent="0.25">
      <c r="A272" s="25" t="s">
        <v>136</v>
      </c>
      <c r="B272" s="16">
        <v>903</v>
      </c>
      <c r="C272" s="20" t="s">
        <v>279</v>
      </c>
      <c r="D272" s="20" t="s">
        <v>234</v>
      </c>
      <c r="E272" s="20" t="s">
        <v>137</v>
      </c>
      <c r="F272" s="20"/>
      <c r="G272" s="26">
        <f>G273</f>
        <v>0</v>
      </c>
      <c r="H272" s="179"/>
    </row>
    <row r="273" spans="1:12" ht="31.5" hidden="1" x14ac:dyDescent="0.25">
      <c r="A273" s="25" t="s">
        <v>200</v>
      </c>
      <c r="B273" s="16">
        <v>903</v>
      </c>
      <c r="C273" s="20" t="s">
        <v>279</v>
      </c>
      <c r="D273" s="20" t="s">
        <v>234</v>
      </c>
      <c r="E273" s="20" t="s">
        <v>201</v>
      </c>
      <c r="F273" s="20"/>
      <c r="G273" s="26">
        <f>G274</f>
        <v>0</v>
      </c>
      <c r="H273" s="179"/>
    </row>
    <row r="274" spans="1:12" ht="31.5" hidden="1" x14ac:dyDescent="0.25">
      <c r="A274" s="36" t="s">
        <v>311</v>
      </c>
      <c r="B274" s="37">
        <v>903</v>
      </c>
      <c r="C274" s="20" t="s">
        <v>279</v>
      </c>
      <c r="D274" s="20" t="s">
        <v>234</v>
      </c>
      <c r="E274" s="20" t="s">
        <v>312</v>
      </c>
      <c r="F274" s="20"/>
      <c r="G274" s="26">
        <f>G275</f>
        <v>0</v>
      </c>
      <c r="H274" s="179"/>
    </row>
    <row r="275" spans="1:12" ht="15.75" hidden="1" x14ac:dyDescent="0.25">
      <c r="A275" s="25" t="s">
        <v>150</v>
      </c>
      <c r="B275" s="16">
        <v>903</v>
      </c>
      <c r="C275" s="20" t="s">
        <v>279</v>
      </c>
      <c r="D275" s="20" t="s">
        <v>234</v>
      </c>
      <c r="E275" s="20" t="s">
        <v>312</v>
      </c>
      <c r="F275" s="20" t="s">
        <v>160</v>
      </c>
      <c r="G275" s="26">
        <f>G276</f>
        <v>0</v>
      </c>
      <c r="H275" s="179"/>
    </row>
    <row r="276" spans="1:12" ht="63" hidden="1" x14ac:dyDescent="0.25">
      <c r="A276" s="25" t="s">
        <v>199</v>
      </c>
      <c r="B276" s="16">
        <v>903</v>
      </c>
      <c r="C276" s="20" t="s">
        <v>279</v>
      </c>
      <c r="D276" s="20" t="s">
        <v>234</v>
      </c>
      <c r="E276" s="20" t="s">
        <v>312</v>
      </c>
      <c r="F276" s="20" t="s">
        <v>175</v>
      </c>
      <c r="G276" s="26"/>
      <c r="H276" s="179"/>
    </row>
    <row r="277" spans="1:12" ht="15.75" x14ac:dyDescent="0.25">
      <c r="A277" s="23" t="s">
        <v>313</v>
      </c>
      <c r="B277" s="19">
        <v>903</v>
      </c>
      <c r="C277" s="24" t="s">
        <v>314</v>
      </c>
      <c r="D277" s="24"/>
      <c r="E277" s="24"/>
      <c r="F277" s="24"/>
      <c r="G277" s="21">
        <f>G278+G358</f>
        <v>61699.8</v>
      </c>
      <c r="H277" s="179"/>
    </row>
    <row r="278" spans="1:12" ht="15.75" x14ac:dyDescent="0.25">
      <c r="A278" s="23" t="s">
        <v>315</v>
      </c>
      <c r="B278" s="19">
        <v>903</v>
      </c>
      <c r="C278" s="24" t="s">
        <v>314</v>
      </c>
      <c r="D278" s="24" t="s">
        <v>133</v>
      </c>
      <c r="E278" s="24"/>
      <c r="F278" s="24"/>
      <c r="G278" s="21">
        <f>G279+G337+G333</f>
        <v>44421.000000000007</v>
      </c>
      <c r="H278" s="179"/>
    </row>
    <row r="279" spans="1:12" ht="47.25" x14ac:dyDescent="0.25">
      <c r="A279" s="25" t="s">
        <v>281</v>
      </c>
      <c r="B279" s="16">
        <v>903</v>
      </c>
      <c r="C279" s="20" t="s">
        <v>314</v>
      </c>
      <c r="D279" s="20" t="s">
        <v>133</v>
      </c>
      <c r="E279" s="20" t="s">
        <v>282</v>
      </c>
      <c r="F279" s="20"/>
      <c r="G279" s="26">
        <f>G280+G306</f>
        <v>42083.100000000006</v>
      </c>
      <c r="H279" s="179"/>
    </row>
    <row r="280" spans="1:12" ht="63" x14ac:dyDescent="0.25">
      <c r="A280" s="25" t="s">
        <v>316</v>
      </c>
      <c r="B280" s="16">
        <v>903</v>
      </c>
      <c r="C280" s="20" t="s">
        <v>314</v>
      </c>
      <c r="D280" s="20" t="s">
        <v>133</v>
      </c>
      <c r="E280" s="20" t="s">
        <v>317</v>
      </c>
      <c r="F280" s="20"/>
      <c r="G280" s="26">
        <f>G281+G299+G284+G287+G290+G293+G296</f>
        <v>25422.5</v>
      </c>
      <c r="H280" s="179"/>
    </row>
    <row r="281" spans="1:12" ht="52.5" customHeight="1" x14ac:dyDescent="0.25">
      <c r="A281" s="25" t="s">
        <v>318</v>
      </c>
      <c r="B281" s="16">
        <v>903</v>
      </c>
      <c r="C281" s="20" t="s">
        <v>314</v>
      </c>
      <c r="D281" s="20" t="s">
        <v>133</v>
      </c>
      <c r="E281" s="20" t="s">
        <v>319</v>
      </c>
      <c r="F281" s="20"/>
      <c r="G281" s="26">
        <f>G282</f>
        <v>23654.800000000003</v>
      </c>
      <c r="H281" s="179"/>
    </row>
    <row r="282" spans="1:12" ht="47.25" x14ac:dyDescent="0.25">
      <c r="A282" s="25" t="s">
        <v>287</v>
      </c>
      <c r="B282" s="16">
        <v>903</v>
      </c>
      <c r="C282" s="20" t="s">
        <v>314</v>
      </c>
      <c r="D282" s="20" t="s">
        <v>133</v>
      </c>
      <c r="E282" s="20" t="s">
        <v>319</v>
      </c>
      <c r="F282" s="20" t="s">
        <v>288</v>
      </c>
      <c r="G282" s="26">
        <f>G283</f>
        <v>23654.800000000003</v>
      </c>
      <c r="H282" s="179"/>
    </row>
    <row r="283" spans="1:12" ht="15.75" x14ac:dyDescent="0.25">
      <c r="A283" s="25" t="s">
        <v>289</v>
      </c>
      <c r="B283" s="16">
        <v>903</v>
      </c>
      <c r="C283" s="20" t="s">
        <v>314</v>
      </c>
      <c r="D283" s="20" t="s">
        <v>133</v>
      </c>
      <c r="E283" s="20" t="s">
        <v>319</v>
      </c>
      <c r="F283" s="20" t="s">
        <v>290</v>
      </c>
      <c r="G283" s="27">
        <f>25081.9+2671.4-3136.8-961.7</f>
        <v>23654.800000000003</v>
      </c>
      <c r="H283" s="108"/>
      <c r="I283" s="127"/>
    </row>
    <row r="284" spans="1:12" ht="47.25" x14ac:dyDescent="0.25">
      <c r="A284" s="25" t="s">
        <v>723</v>
      </c>
      <c r="B284" s="16">
        <v>903</v>
      </c>
      <c r="C284" s="20" t="s">
        <v>314</v>
      </c>
      <c r="D284" s="20" t="s">
        <v>133</v>
      </c>
      <c r="E284" s="20" t="s">
        <v>320</v>
      </c>
      <c r="F284" s="20"/>
      <c r="G284" s="26">
        <f>G285</f>
        <v>96.1</v>
      </c>
      <c r="H284" s="179"/>
      <c r="L284" s="119"/>
    </row>
    <row r="285" spans="1:12" ht="47.25" x14ac:dyDescent="0.25">
      <c r="A285" s="25" t="s">
        <v>287</v>
      </c>
      <c r="B285" s="16">
        <v>903</v>
      </c>
      <c r="C285" s="20" t="s">
        <v>314</v>
      </c>
      <c r="D285" s="20" t="s">
        <v>133</v>
      </c>
      <c r="E285" s="20" t="s">
        <v>320</v>
      </c>
      <c r="F285" s="20" t="s">
        <v>288</v>
      </c>
      <c r="G285" s="26">
        <f>G286</f>
        <v>96.1</v>
      </c>
      <c r="H285" s="179"/>
    </row>
    <row r="286" spans="1:12" ht="15.75" x14ac:dyDescent="0.25">
      <c r="A286" s="25" t="s">
        <v>289</v>
      </c>
      <c r="B286" s="16">
        <v>903</v>
      </c>
      <c r="C286" s="20" t="s">
        <v>314</v>
      </c>
      <c r="D286" s="20" t="s">
        <v>133</v>
      </c>
      <c r="E286" s="20" t="s">
        <v>320</v>
      </c>
      <c r="F286" s="20" t="s">
        <v>290</v>
      </c>
      <c r="G286" s="26">
        <v>96.1</v>
      </c>
      <c r="H286" s="108"/>
    </row>
    <row r="287" spans="1:12" ht="47.25" x14ac:dyDescent="0.25">
      <c r="A287" s="25" t="s">
        <v>293</v>
      </c>
      <c r="B287" s="16">
        <v>903</v>
      </c>
      <c r="C287" s="20" t="s">
        <v>314</v>
      </c>
      <c r="D287" s="20" t="s">
        <v>133</v>
      </c>
      <c r="E287" s="20" t="s">
        <v>321</v>
      </c>
      <c r="F287" s="20"/>
      <c r="G287" s="26">
        <f>G288</f>
        <v>142.1</v>
      </c>
      <c r="H287" s="179"/>
    </row>
    <row r="288" spans="1:12" ht="47.25" x14ac:dyDescent="0.25">
      <c r="A288" s="25" t="s">
        <v>287</v>
      </c>
      <c r="B288" s="16">
        <v>903</v>
      </c>
      <c r="C288" s="20" t="s">
        <v>314</v>
      </c>
      <c r="D288" s="20" t="s">
        <v>133</v>
      </c>
      <c r="E288" s="20" t="s">
        <v>321</v>
      </c>
      <c r="F288" s="20" t="s">
        <v>288</v>
      </c>
      <c r="G288" s="26">
        <f>G289</f>
        <v>142.1</v>
      </c>
      <c r="H288" s="179"/>
    </row>
    <row r="289" spans="1:10" ht="15.75" x14ac:dyDescent="0.25">
      <c r="A289" s="25" t="s">
        <v>289</v>
      </c>
      <c r="B289" s="16">
        <v>903</v>
      </c>
      <c r="C289" s="20" t="s">
        <v>314</v>
      </c>
      <c r="D289" s="20" t="s">
        <v>133</v>
      </c>
      <c r="E289" s="20" t="s">
        <v>321</v>
      </c>
      <c r="F289" s="20" t="s">
        <v>290</v>
      </c>
      <c r="G289" s="26">
        <v>142.1</v>
      </c>
      <c r="H289" s="179"/>
      <c r="I289" s="117"/>
    </row>
    <row r="290" spans="1:10" ht="15.75" x14ac:dyDescent="0.25">
      <c r="A290" s="25" t="s">
        <v>322</v>
      </c>
      <c r="B290" s="16">
        <v>903</v>
      </c>
      <c r="C290" s="20" t="s">
        <v>314</v>
      </c>
      <c r="D290" s="20" t="s">
        <v>133</v>
      </c>
      <c r="E290" s="20" t="s">
        <v>323</v>
      </c>
      <c r="F290" s="20"/>
      <c r="G290" s="26">
        <f>G291</f>
        <v>1529.5</v>
      </c>
      <c r="H290" s="179"/>
    </row>
    <row r="291" spans="1:10" ht="47.25" x14ac:dyDescent="0.25">
      <c r="A291" s="25" t="s">
        <v>287</v>
      </c>
      <c r="B291" s="16">
        <v>903</v>
      </c>
      <c r="C291" s="20" t="s">
        <v>314</v>
      </c>
      <c r="D291" s="20" t="s">
        <v>133</v>
      </c>
      <c r="E291" s="20" t="s">
        <v>323</v>
      </c>
      <c r="F291" s="20" t="s">
        <v>288</v>
      </c>
      <c r="G291" s="26">
        <f>G292</f>
        <v>1529.5</v>
      </c>
      <c r="H291" s="179"/>
    </row>
    <row r="292" spans="1:10" ht="15.75" x14ac:dyDescent="0.25">
      <c r="A292" s="25" t="s">
        <v>289</v>
      </c>
      <c r="B292" s="16">
        <v>903</v>
      </c>
      <c r="C292" s="20" t="s">
        <v>314</v>
      </c>
      <c r="D292" s="20" t="s">
        <v>133</v>
      </c>
      <c r="E292" s="20" t="s">
        <v>323</v>
      </c>
      <c r="F292" s="20" t="s">
        <v>290</v>
      </c>
      <c r="G292" s="26">
        <f>411.9+1117.6</f>
        <v>1529.5</v>
      </c>
      <c r="H292" s="108"/>
      <c r="I292" s="127"/>
      <c r="J292" s="111"/>
    </row>
    <row r="293" spans="1:10" ht="31.5" hidden="1" x14ac:dyDescent="0.25">
      <c r="A293" s="25" t="s">
        <v>299</v>
      </c>
      <c r="B293" s="16">
        <v>903</v>
      </c>
      <c r="C293" s="20" t="s">
        <v>314</v>
      </c>
      <c r="D293" s="20" t="s">
        <v>133</v>
      </c>
      <c r="E293" s="20" t="s">
        <v>300</v>
      </c>
      <c r="F293" s="20"/>
      <c r="G293" s="26">
        <f>G294</f>
        <v>0</v>
      </c>
      <c r="H293" s="179"/>
    </row>
    <row r="294" spans="1:10" ht="47.25" hidden="1" x14ac:dyDescent="0.25">
      <c r="A294" s="25" t="s">
        <v>287</v>
      </c>
      <c r="B294" s="16">
        <v>903</v>
      </c>
      <c r="C294" s="20" t="s">
        <v>314</v>
      </c>
      <c r="D294" s="20" t="s">
        <v>133</v>
      </c>
      <c r="E294" s="20" t="s">
        <v>300</v>
      </c>
      <c r="F294" s="20" t="s">
        <v>288</v>
      </c>
      <c r="G294" s="26">
        <f>G295</f>
        <v>0</v>
      </c>
      <c r="H294" s="179"/>
    </row>
    <row r="295" spans="1:10" ht="15.75" hidden="1" x14ac:dyDescent="0.25">
      <c r="A295" s="25" t="s">
        <v>289</v>
      </c>
      <c r="B295" s="16">
        <v>903</v>
      </c>
      <c r="C295" s="20" t="s">
        <v>314</v>
      </c>
      <c r="D295" s="20" t="s">
        <v>133</v>
      </c>
      <c r="E295" s="20" t="s">
        <v>300</v>
      </c>
      <c r="F295" s="20" t="s">
        <v>290</v>
      </c>
      <c r="G295" s="26">
        <v>0</v>
      </c>
      <c r="H295" s="179"/>
    </row>
    <row r="296" spans="1:10" ht="47.25" hidden="1" x14ac:dyDescent="0.25">
      <c r="A296" s="35" t="s">
        <v>302</v>
      </c>
      <c r="B296" s="16">
        <v>903</v>
      </c>
      <c r="C296" s="20" t="s">
        <v>314</v>
      </c>
      <c r="D296" s="20" t="s">
        <v>133</v>
      </c>
      <c r="E296" s="20" t="s">
        <v>324</v>
      </c>
      <c r="F296" s="20"/>
      <c r="G296" s="26">
        <f>G297</f>
        <v>0</v>
      </c>
      <c r="H296" s="179"/>
    </row>
    <row r="297" spans="1:10" ht="47.25" hidden="1" x14ac:dyDescent="0.25">
      <c r="A297" s="25" t="s">
        <v>287</v>
      </c>
      <c r="B297" s="16">
        <v>903</v>
      </c>
      <c r="C297" s="20" t="s">
        <v>314</v>
      </c>
      <c r="D297" s="20" t="s">
        <v>133</v>
      </c>
      <c r="E297" s="20" t="s">
        <v>324</v>
      </c>
      <c r="F297" s="20" t="s">
        <v>288</v>
      </c>
      <c r="G297" s="26">
        <f>G298</f>
        <v>0</v>
      </c>
      <c r="H297" s="179"/>
    </row>
    <row r="298" spans="1:10" ht="15.75" hidden="1" x14ac:dyDescent="0.25">
      <c r="A298" s="25" t="s">
        <v>289</v>
      </c>
      <c r="B298" s="16">
        <v>903</v>
      </c>
      <c r="C298" s="20" t="s">
        <v>314</v>
      </c>
      <c r="D298" s="20" t="s">
        <v>133</v>
      </c>
      <c r="E298" s="20" t="s">
        <v>324</v>
      </c>
      <c r="F298" s="20" t="s">
        <v>290</v>
      </c>
      <c r="G298" s="26">
        <v>0</v>
      </c>
      <c r="H298" s="179"/>
    </row>
    <row r="299" spans="1:10" ht="47.25" hidden="1" customHeight="1" x14ac:dyDescent="0.25">
      <c r="A299" s="25" t="s">
        <v>325</v>
      </c>
      <c r="B299" s="16">
        <v>903</v>
      </c>
      <c r="C299" s="20" t="s">
        <v>314</v>
      </c>
      <c r="D299" s="20" t="s">
        <v>133</v>
      </c>
      <c r="E299" s="20" t="s">
        <v>326</v>
      </c>
      <c r="F299" s="20"/>
      <c r="G299" s="26">
        <f>G300+G302+G304</f>
        <v>0</v>
      </c>
      <c r="H299" s="179"/>
    </row>
    <row r="300" spans="1:10" ht="94.5" hidden="1" x14ac:dyDescent="0.25">
      <c r="A300" s="25" t="s">
        <v>142</v>
      </c>
      <c r="B300" s="16">
        <v>903</v>
      </c>
      <c r="C300" s="20" t="s">
        <v>314</v>
      </c>
      <c r="D300" s="20" t="s">
        <v>133</v>
      </c>
      <c r="E300" s="20" t="s">
        <v>326</v>
      </c>
      <c r="F300" s="20" t="s">
        <v>143</v>
      </c>
      <c r="G300" s="26">
        <f>G301</f>
        <v>0</v>
      </c>
      <c r="H300" s="179"/>
    </row>
    <row r="301" spans="1:10" ht="31.5" hidden="1" x14ac:dyDescent="0.25">
      <c r="A301" s="25" t="s">
        <v>223</v>
      </c>
      <c r="B301" s="16">
        <v>903</v>
      </c>
      <c r="C301" s="20" t="s">
        <v>314</v>
      </c>
      <c r="D301" s="20" t="s">
        <v>133</v>
      </c>
      <c r="E301" s="20" t="s">
        <v>326</v>
      </c>
      <c r="F301" s="20" t="s">
        <v>224</v>
      </c>
      <c r="G301" s="27">
        <v>0</v>
      </c>
      <c r="H301" s="179"/>
    </row>
    <row r="302" spans="1:10" ht="31.5" hidden="1" x14ac:dyDescent="0.25">
      <c r="A302" s="25" t="s">
        <v>146</v>
      </c>
      <c r="B302" s="16">
        <v>903</v>
      </c>
      <c r="C302" s="20" t="s">
        <v>314</v>
      </c>
      <c r="D302" s="20" t="s">
        <v>133</v>
      </c>
      <c r="E302" s="20" t="s">
        <v>326</v>
      </c>
      <c r="F302" s="20" t="s">
        <v>147</v>
      </c>
      <c r="G302" s="26">
        <f>G303</f>
        <v>0</v>
      </c>
      <c r="H302" s="179"/>
    </row>
    <row r="303" spans="1:10" ht="47.25" hidden="1" x14ac:dyDescent="0.25">
      <c r="A303" s="25" t="s">
        <v>148</v>
      </c>
      <c r="B303" s="16">
        <v>903</v>
      </c>
      <c r="C303" s="20" t="s">
        <v>314</v>
      </c>
      <c r="D303" s="20" t="s">
        <v>133</v>
      </c>
      <c r="E303" s="20" t="s">
        <v>326</v>
      </c>
      <c r="F303" s="20" t="s">
        <v>149</v>
      </c>
      <c r="G303" s="27">
        <v>0</v>
      </c>
      <c r="H303" s="179"/>
    </row>
    <row r="304" spans="1:10" ht="15.75" hidden="1" x14ac:dyDescent="0.25">
      <c r="A304" s="25" t="s">
        <v>150</v>
      </c>
      <c r="B304" s="16">
        <v>903</v>
      </c>
      <c r="C304" s="20" t="s">
        <v>314</v>
      </c>
      <c r="D304" s="20" t="s">
        <v>133</v>
      </c>
      <c r="E304" s="20" t="s">
        <v>326</v>
      </c>
      <c r="F304" s="20" t="s">
        <v>160</v>
      </c>
      <c r="G304" s="26">
        <f>G305</f>
        <v>0</v>
      </c>
      <c r="H304" s="179"/>
    </row>
    <row r="305" spans="1:9" ht="15.75" hidden="1" x14ac:dyDescent="0.25">
      <c r="A305" s="25" t="s">
        <v>152</v>
      </c>
      <c r="B305" s="16">
        <v>903</v>
      </c>
      <c r="C305" s="20" t="s">
        <v>314</v>
      </c>
      <c r="D305" s="20" t="s">
        <v>133</v>
      </c>
      <c r="E305" s="20" t="s">
        <v>326</v>
      </c>
      <c r="F305" s="20" t="s">
        <v>153</v>
      </c>
      <c r="G305" s="26">
        <v>0</v>
      </c>
      <c r="H305" s="179"/>
    </row>
    <row r="306" spans="1:9" ht="47.25" x14ac:dyDescent="0.25">
      <c r="A306" s="25" t="s">
        <v>327</v>
      </c>
      <c r="B306" s="16">
        <v>903</v>
      </c>
      <c r="C306" s="20" t="s">
        <v>314</v>
      </c>
      <c r="D306" s="20" t="s">
        <v>133</v>
      </c>
      <c r="E306" s="20" t="s">
        <v>328</v>
      </c>
      <c r="F306" s="20"/>
      <c r="G306" s="26">
        <f>G307+G330+G318+G321+G324+G327+G310+G315</f>
        <v>16660.600000000002</v>
      </c>
      <c r="H306" s="179"/>
    </row>
    <row r="307" spans="1:9" ht="51" customHeight="1" x14ac:dyDescent="0.25">
      <c r="A307" s="25" t="s">
        <v>318</v>
      </c>
      <c r="B307" s="16">
        <v>903</v>
      </c>
      <c r="C307" s="20" t="s">
        <v>314</v>
      </c>
      <c r="D307" s="20" t="s">
        <v>133</v>
      </c>
      <c r="E307" s="20" t="s">
        <v>329</v>
      </c>
      <c r="F307" s="20"/>
      <c r="G307" s="26">
        <f>G308</f>
        <v>16655.2</v>
      </c>
      <c r="H307" s="179"/>
    </row>
    <row r="308" spans="1:9" ht="47.25" x14ac:dyDescent="0.25">
      <c r="A308" s="25" t="s">
        <v>287</v>
      </c>
      <c r="B308" s="16">
        <v>903</v>
      </c>
      <c r="C308" s="20" t="s">
        <v>314</v>
      </c>
      <c r="D308" s="20" t="s">
        <v>133</v>
      </c>
      <c r="E308" s="20" t="s">
        <v>329</v>
      </c>
      <c r="F308" s="20" t="s">
        <v>288</v>
      </c>
      <c r="G308" s="26">
        <f>G309</f>
        <v>16655.2</v>
      </c>
      <c r="H308" s="179"/>
    </row>
    <row r="309" spans="1:9" ht="15.75" x14ac:dyDescent="0.25">
      <c r="A309" s="25" t="s">
        <v>289</v>
      </c>
      <c r="B309" s="16">
        <v>903</v>
      </c>
      <c r="C309" s="20" t="s">
        <v>314</v>
      </c>
      <c r="D309" s="20" t="s">
        <v>133</v>
      </c>
      <c r="E309" s="20" t="s">
        <v>329</v>
      </c>
      <c r="F309" s="20" t="s">
        <v>290</v>
      </c>
      <c r="G309" s="27">
        <f>18073+419.6-1705.8+78.4-210</f>
        <v>16655.2</v>
      </c>
      <c r="H309" s="108"/>
      <c r="I309" s="127"/>
    </row>
    <row r="310" spans="1:9" ht="38.25" customHeight="1" x14ac:dyDescent="0.25">
      <c r="A310" s="25" t="s">
        <v>330</v>
      </c>
      <c r="B310" s="16">
        <v>903</v>
      </c>
      <c r="C310" s="20" t="s">
        <v>314</v>
      </c>
      <c r="D310" s="20" t="s">
        <v>133</v>
      </c>
      <c r="E310" s="20" t="s">
        <v>331</v>
      </c>
      <c r="F310" s="20"/>
      <c r="G310" s="27">
        <f>G311+G313</f>
        <v>5</v>
      </c>
      <c r="H310" s="179"/>
    </row>
    <row r="311" spans="1:9" ht="31.5" hidden="1" x14ac:dyDescent="0.25">
      <c r="A311" s="25" t="s">
        <v>146</v>
      </c>
      <c r="B311" s="16">
        <v>903</v>
      </c>
      <c r="C311" s="20" t="s">
        <v>314</v>
      </c>
      <c r="D311" s="20" t="s">
        <v>133</v>
      </c>
      <c r="E311" s="20" t="s">
        <v>331</v>
      </c>
      <c r="F311" s="20" t="s">
        <v>147</v>
      </c>
      <c r="G311" s="27">
        <f>G312</f>
        <v>0</v>
      </c>
      <c r="H311" s="179"/>
    </row>
    <row r="312" spans="1:9" ht="47.25" hidden="1" x14ac:dyDescent="0.25">
      <c r="A312" s="25" t="s">
        <v>148</v>
      </c>
      <c r="B312" s="16">
        <v>903</v>
      </c>
      <c r="C312" s="20" t="s">
        <v>314</v>
      </c>
      <c r="D312" s="20" t="s">
        <v>133</v>
      </c>
      <c r="E312" s="20" t="s">
        <v>331</v>
      </c>
      <c r="F312" s="20" t="s">
        <v>149</v>
      </c>
      <c r="G312" s="27">
        <v>0</v>
      </c>
      <c r="H312" s="179"/>
    </row>
    <row r="313" spans="1:9" ht="47.25" x14ac:dyDescent="0.25">
      <c r="A313" s="25" t="s">
        <v>287</v>
      </c>
      <c r="B313" s="16">
        <v>903</v>
      </c>
      <c r="C313" s="20" t="s">
        <v>314</v>
      </c>
      <c r="D313" s="20" t="s">
        <v>133</v>
      </c>
      <c r="E313" s="20" t="s">
        <v>331</v>
      </c>
      <c r="F313" s="20" t="s">
        <v>288</v>
      </c>
      <c r="G313" s="27">
        <f>G314</f>
        <v>5</v>
      </c>
      <c r="H313" s="179"/>
    </row>
    <row r="314" spans="1:9" ht="15.75" x14ac:dyDescent="0.25">
      <c r="A314" s="25" t="s">
        <v>289</v>
      </c>
      <c r="B314" s="16">
        <v>903</v>
      </c>
      <c r="C314" s="20" t="s">
        <v>314</v>
      </c>
      <c r="D314" s="20" t="s">
        <v>133</v>
      </c>
      <c r="E314" s="20" t="s">
        <v>331</v>
      </c>
      <c r="F314" s="20" t="s">
        <v>290</v>
      </c>
      <c r="G314" s="27">
        <v>5</v>
      </c>
      <c r="H314" s="179"/>
    </row>
    <row r="315" spans="1:9" ht="15.75" x14ac:dyDescent="0.25">
      <c r="A315" s="25" t="s">
        <v>699</v>
      </c>
      <c r="B315" s="16">
        <v>903</v>
      </c>
      <c r="C315" s="20" t="s">
        <v>314</v>
      </c>
      <c r="D315" s="20" t="s">
        <v>133</v>
      </c>
      <c r="E315" s="20" t="s">
        <v>700</v>
      </c>
      <c r="F315" s="20"/>
      <c r="G315" s="27">
        <f>G316</f>
        <v>0.4</v>
      </c>
      <c r="H315" s="179"/>
    </row>
    <row r="316" spans="1:9" ht="47.25" x14ac:dyDescent="0.25">
      <c r="A316" s="25" t="s">
        <v>287</v>
      </c>
      <c r="B316" s="16">
        <v>903</v>
      </c>
      <c r="C316" s="20" t="s">
        <v>314</v>
      </c>
      <c r="D316" s="20" t="s">
        <v>133</v>
      </c>
      <c r="E316" s="20" t="s">
        <v>700</v>
      </c>
      <c r="F316" s="20" t="s">
        <v>288</v>
      </c>
      <c r="G316" s="27">
        <f>G317</f>
        <v>0.4</v>
      </c>
      <c r="H316" s="179"/>
    </row>
    <row r="317" spans="1:9" ht="15.75" x14ac:dyDescent="0.25">
      <c r="A317" s="25" t="s">
        <v>289</v>
      </c>
      <c r="B317" s="16">
        <v>903</v>
      </c>
      <c r="C317" s="20" t="s">
        <v>314</v>
      </c>
      <c r="D317" s="20" t="s">
        <v>133</v>
      </c>
      <c r="E317" s="20" t="s">
        <v>700</v>
      </c>
      <c r="F317" s="20" t="s">
        <v>290</v>
      </c>
      <c r="G317" s="27">
        <v>0.4</v>
      </c>
      <c r="H317" s="108"/>
    </row>
    <row r="318" spans="1:9" ht="47.25" hidden="1" x14ac:dyDescent="0.25">
      <c r="A318" s="25" t="s">
        <v>291</v>
      </c>
      <c r="B318" s="16">
        <v>903</v>
      </c>
      <c r="C318" s="20" t="s">
        <v>314</v>
      </c>
      <c r="D318" s="20" t="s">
        <v>133</v>
      </c>
      <c r="E318" s="20" t="s">
        <v>332</v>
      </c>
      <c r="F318" s="20"/>
      <c r="G318" s="26">
        <f>G319</f>
        <v>0</v>
      </c>
      <c r="H318" s="179"/>
    </row>
    <row r="319" spans="1:9" ht="47.25" hidden="1" x14ac:dyDescent="0.25">
      <c r="A319" s="25" t="s">
        <v>287</v>
      </c>
      <c r="B319" s="16">
        <v>903</v>
      </c>
      <c r="C319" s="20" t="s">
        <v>314</v>
      </c>
      <c r="D319" s="20" t="s">
        <v>133</v>
      </c>
      <c r="E319" s="20" t="s">
        <v>332</v>
      </c>
      <c r="F319" s="20" t="s">
        <v>288</v>
      </c>
      <c r="G319" s="26">
        <f>G320</f>
        <v>0</v>
      </c>
      <c r="H319" s="179"/>
    </row>
    <row r="320" spans="1:9" ht="15.75" hidden="1" x14ac:dyDescent="0.25">
      <c r="A320" s="25" t="s">
        <v>289</v>
      </c>
      <c r="B320" s="16">
        <v>903</v>
      </c>
      <c r="C320" s="20" t="s">
        <v>314</v>
      </c>
      <c r="D320" s="20" t="s">
        <v>133</v>
      </c>
      <c r="E320" s="20" t="s">
        <v>332</v>
      </c>
      <c r="F320" s="20" t="s">
        <v>290</v>
      </c>
      <c r="G320" s="26">
        <v>0</v>
      </c>
      <c r="H320" s="179"/>
    </row>
    <row r="321" spans="1:8" ht="47.25" hidden="1" x14ac:dyDescent="0.25">
      <c r="A321" s="25" t="s">
        <v>293</v>
      </c>
      <c r="B321" s="16">
        <v>903</v>
      </c>
      <c r="C321" s="20" t="s">
        <v>314</v>
      </c>
      <c r="D321" s="20" t="s">
        <v>133</v>
      </c>
      <c r="E321" s="20" t="s">
        <v>333</v>
      </c>
      <c r="F321" s="20"/>
      <c r="G321" s="26">
        <f>G322</f>
        <v>0</v>
      </c>
      <c r="H321" s="179"/>
    </row>
    <row r="322" spans="1:8" ht="47.25" hidden="1" x14ac:dyDescent="0.25">
      <c r="A322" s="25" t="s">
        <v>287</v>
      </c>
      <c r="B322" s="16">
        <v>903</v>
      </c>
      <c r="C322" s="20" t="s">
        <v>314</v>
      </c>
      <c r="D322" s="20" t="s">
        <v>133</v>
      </c>
      <c r="E322" s="20" t="s">
        <v>333</v>
      </c>
      <c r="F322" s="20" t="s">
        <v>288</v>
      </c>
      <c r="G322" s="26">
        <f>G323</f>
        <v>0</v>
      </c>
      <c r="H322" s="179"/>
    </row>
    <row r="323" spans="1:8" ht="15.75" hidden="1" x14ac:dyDescent="0.25">
      <c r="A323" s="25" t="s">
        <v>289</v>
      </c>
      <c r="B323" s="16">
        <v>903</v>
      </c>
      <c r="C323" s="20" t="s">
        <v>314</v>
      </c>
      <c r="D323" s="20" t="s">
        <v>133</v>
      </c>
      <c r="E323" s="20" t="s">
        <v>333</v>
      </c>
      <c r="F323" s="20" t="s">
        <v>290</v>
      </c>
      <c r="G323" s="26">
        <v>0</v>
      </c>
      <c r="H323" s="179"/>
    </row>
    <row r="324" spans="1:8" ht="31.5" hidden="1" x14ac:dyDescent="0.25">
      <c r="A324" s="25" t="s">
        <v>295</v>
      </c>
      <c r="B324" s="16">
        <v>903</v>
      </c>
      <c r="C324" s="20" t="s">
        <v>314</v>
      </c>
      <c r="D324" s="20" t="s">
        <v>133</v>
      </c>
      <c r="E324" s="20" t="s">
        <v>334</v>
      </c>
      <c r="F324" s="20"/>
      <c r="G324" s="26">
        <f>G325</f>
        <v>0</v>
      </c>
      <c r="H324" s="179"/>
    </row>
    <row r="325" spans="1:8" ht="47.25" hidden="1" x14ac:dyDescent="0.25">
      <c r="A325" s="25" t="s">
        <v>287</v>
      </c>
      <c r="B325" s="16">
        <v>903</v>
      </c>
      <c r="C325" s="20" t="s">
        <v>314</v>
      </c>
      <c r="D325" s="20" t="s">
        <v>133</v>
      </c>
      <c r="E325" s="20" t="s">
        <v>334</v>
      </c>
      <c r="F325" s="20" t="s">
        <v>288</v>
      </c>
      <c r="G325" s="26">
        <f>G326</f>
        <v>0</v>
      </c>
      <c r="H325" s="179"/>
    </row>
    <row r="326" spans="1:8" ht="15.75" hidden="1" x14ac:dyDescent="0.25">
      <c r="A326" s="25" t="s">
        <v>289</v>
      </c>
      <c r="B326" s="16">
        <v>903</v>
      </c>
      <c r="C326" s="20" t="s">
        <v>314</v>
      </c>
      <c r="D326" s="20" t="s">
        <v>133</v>
      </c>
      <c r="E326" s="20" t="s">
        <v>334</v>
      </c>
      <c r="F326" s="20" t="s">
        <v>290</v>
      </c>
      <c r="G326" s="26">
        <v>0</v>
      </c>
      <c r="H326" s="179"/>
    </row>
    <row r="327" spans="1:8" ht="31.5" hidden="1" x14ac:dyDescent="0.25">
      <c r="A327" s="25" t="s">
        <v>299</v>
      </c>
      <c r="B327" s="16">
        <v>903</v>
      </c>
      <c r="C327" s="20" t="s">
        <v>314</v>
      </c>
      <c r="D327" s="20" t="s">
        <v>133</v>
      </c>
      <c r="E327" s="20" t="s">
        <v>335</v>
      </c>
      <c r="F327" s="20"/>
      <c r="G327" s="26">
        <f>G328</f>
        <v>0</v>
      </c>
      <c r="H327" s="179"/>
    </row>
    <row r="328" spans="1:8" ht="47.25" hidden="1" x14ac:dyDescent="0.25">
      <c r="A328" s="25" t="s">
        <v>287</v>
      </c>
      <c r="B328" s="16">
        <v>903</v>
      </c>
      <c r="C328" s="20" t="s">
        <v>314</v>
      </c>
      <c r="D328" s="20" t="s">
        <v>133</v>
      </c>
      <c r="E328" s="20" t="s">
        <v>335</v>
      </c>
      <c r="F328" s="20" t="s">
        <v>288</v>
      </c>
      <c r="G328" s="26">
        <f>G329</f>
        <v>0</v>
      </c>
      <c r="H328" s="179"/>
    </row>
    <row r="329" spans="1:8" ht="15.75" hidden="1" x14ac:dyDescent="0.25">
      <c r="A329" s="25" t="s">
        <v>289</v>
      </c>
      <c r="B329" s="16">
        <v>903</v>
      </c>
      <c r="C329" s="20" t="s">
        <v>314</v>
      </c>
      <c r="D329" s="20" t="s">
        <v>133</v>
      </c>
      <c r="E329" s="20" t="s">
        <v>335</v>
      </c>
      <c r="F329" s="20" t="s">
        <v>290</v>
      </c>
      <c r="G329" s="26">
        <v>0</v>
      </c>
      <c r="H329" s="179"/>
    </row>
    <row r="330" spans="1:8" ht="47.25" hidden="1" x14ac:dyDescent="0.25">
      <c r="A330" s="35" t="s">
        <v>336</v>
      </c>
      <c r="B330" s="16">
        <v>903</v>
      </c>
      <c r="C330" s="20" t="s">
        <v>314</v>
      </c>
      <c r="D330" s="20" t="s">
        <v>133</v>
      </c>
      <c r="E330" s="20" t="s">
        <v>337</v>
      </c>
      <c r="F330" s="20"/>
      <c r="G330" s="26">
        <f>G331</f>
        <v>0</v>
      </c>
      <c r="H330" s="179"/>
    </row>
    <row r="331" spans="1:8" ht="47.25" hidden="1" x14ac:dyDescent="0.25">
      <c r="A331" s="25" t="s">
        <v>287</v>
      </c>
      <c r="B331" s="16">
        <v>903</v>
      </c>
      <c r="C331" s="20" t="s">
        <v>314</v>
      </c>
      <c r="D331" s="20" t="s">
        <v>133</v>
      </c>
      <c r="E331" s="20" t="s">
        <v>337</v>
      </c>
      <c r="F331" s="20" t="s">
        <v>288</v>
      </c>
      <c r="G331" s="26">
        <f>G332</f>
        <v>0</v>
      </c>
      <c r="H331" s="179"/>
    </row>
    <row r="332" spans="1:8" ht="15.75" hidden="1" x14ac:dyDescent="0.25">
      <c r="A332" s="25" t="s">
        <v>289</v>
      </c>
      <c r="B332" s="16">
        <v>903</v>
      </c>
      <c r="C332" s="20" t="s">
        <v>314</v>
      </c>
      <c r="D332" s="20" t="s">
        <v>133</v>
      </c>
      <c r="E332" s="20" t="s">
        <v>337</v>
      </c>
      <c r="F332" s="20" t="s">
        <v>290</v>
      </c>
      <c r="G332" s="26">
        <v>0</v>
      </c>
      <c r="H332" s="179"/>
    </row>
    <row r="333" spans="1:8" ht="78.75" x14ac:dyDescent="0.25">
      <c r="A333" s="29" t="s">
        <v>338</v>
      </c>
      <c r="B333" s="16">
        <v>903</v>
      </c>
      <c r="C333" s="20" t="s">
        <v>314</v>
      </c>
      <c r="D333" s="20" t="s">
        <v>133</v>
      </c>
      <c r="E333" s="40" t="s">
        <v>339</v>
      </c>
      <c r="F333" s="20"/>
      <c r="G333" s="26">
        <f>G334</f>
        <v>200</v>
      </c>
      <c r="H333" s="179"/>
    </row>
    <row r="334" spans="1:8" ht="47.25" x14ac:dyDescent="0.25">
      <c r="A334" s="25" t="s">
        <v>340</v>
      </c>
      <c r="B334" s="16">
        <v>903</v>
      </c>
      <c r="C334" s="20" t="s">
        <v>314</v>
      </c>
      <c r="D334" s="20" t="s">
        <v>133</v>
      </c>
      <c r="E334" s="40" t="s">
        <v>341</v>
      </c>
      <c r="F334" s="20"/>
      <c r="G334" s="26">
        <f>G335</f>
        <v>200</v>
      </c>
      <c r="H334" s="179"/>
    </row>
    <row r="335" spans="1:8" ht="47.25" x14ac:dyDescent="0.25">
      <c r="A335" s="25" t="s">
        <v>287</v>
      </c>
      <c r="B335" s="16">
        <v>903</v>
      </c>
      <c r="C335" s="20" t="s">
        <v>314</v>
      </c>
      <c r="D335" s="20" t="s">
        <v>133</v>
      </c>
      <c r="E335" s="40" t="s">
        <v>341</v>
      </c>
      <c r="F335" s="20" t="s">
        <v>288</v>
      </c>
      <c r="G335" s="26">
        <f>G336</f>
        <v>200</v>
      </c>
      <c r="H335" s="179"/>
    </row>
    <row r="336" spans="1:8" ht="15.75" x14ac:dyDescent="0.25">
      <c r="A336" s="25" t="s">
        <v>289</v>
      </c>
      <c r="B336" s="16">
        <v>903</v>
      </c>
      <c r="C336" s="20" t="s">
        <v>314</v>
      </c>
      <c r="D336" s="20" t="s">
        <v>133</v>
      </c>
      <c r="E336" s="40" t="s">
        <v>341</v>
      </c>
      <c r="F336" s="20" t="s">
        <v>290</v>
      </c>
      <c r="G336" s="26">
        <v>200</v>
      </c>
      <c r="H336" s="179"/>
    </row>
    <row r="337" spans="1:9" ht="15.75" x14ac:dyDescent="0.25">
      <c r="A337" s="25" t="s">
        <v>136</v>
      </c>
      <c r="B337" s="16">
        <v>903</v>
      </c>
      <c r="C337" s="20" t="s">
        <v>314</v>
      </c>
      <c r="D337" s="20" t="s">
        <v>133</v>
      </c>
      <c r="E337" s="20" t="s">
        <v>137</v>
      </c>
      <c r="F337" s="20"/>
      <c r="G337" s="26">
        <f>G338</f>
        <v>2137.9</v>
      </c>
      <c r="H337" s="179"/>
    </row>
    <row r="338" spans="1:9" ht="31.5" x14ac:dyDescent="0.25">
      <c r="A338" s="25" t="s">
        <v>200</v>
      </c>
      <c r="B338" s="16">
        <v>903</v>
      </c>
      <c r="C338" s="20" t="s">
        <v>314</v>
      </c>
      <c r="D338" s="20" t="s">
        <v>133</v>
      </c>
      <c r="E338" s="20" t="s">
        <v>201</v>
      </c>
      <c r="F338" s="20"/>
      <c r="G338" s="26">
        <f>G339+G344+G349+G352+G355</f>
        <v>2137.9</v>
      </c>
      <c r="H338" s="179"/>
    </row>
    <row r="339" spans="1:9" ht="31.5" hidden="1" x14ac:dyDescent="0.25">
      <c r="A339" s="36" t="s">
        <v>342</v>
      </c>
      <c r="B339" s="37">
        <v>903</v>
      </c>
      <c r="C339" s="20" t="s">
        <v>314</v>
      </c>
      <c r="D339" s="20" t="s">
        <v>133</v>
      </c>
      <c r="E339" s="20" t="s">
        <v>343</v>
      </c>
      <c r="F339" s="20"/>
      <c r="G339" s="26">
        <f>G340+G342</f>
        <v>0</v>
      </c>
      <c r="H339" s="179"/>
    </row>
    <row r="340" spans="1:9" ht="31.5" hidden="1" x14ac:dyDescent="0.25">
      <c r="A340" s="25" t="s">
        <v>146</v>
      </c>
      <c r="B340" s="37">
        <v>903</v>
      </c>
      <c r="C340" s="20" t="s">
        <v>314</v>
      </c>
      <c r="D340" s="20" t="s">
        <v>133</v>
      </c>
      <c r="E340" s="20" t="s">
        <v>343</v>
      </c>
      <c r="F340" s="20" t="s">
        <v>147</v>
      </c>
      <c r="G340" s="26">
        <f>G341</f>
        <v>0</v>
      </c>
      <c r="H340" s="179"/>
    </row>
    <row r="341" spans="1:9" ht="47.25" hidden="1" x14ac:dyDescent="0.25">
      <c r="A341" s="25" t="s">
        <v>148</v>
      </c>
      <c r="B341" s="16">
        <v>903</v>
      </c>
      <c r="C341" s="20" t="s">
        <v>314</v>
      </c>
      <c r="D341" s="20" t="s">
        <v>133</v>
      </c>
      <c r="E341" s="20" t="s">
        <v>343</v>
      </c>
      <c r="F341" s="20" t="s">
        <v>149</v>
      </c>
      <c r="G341" s="26">
        <f>1.4-1.4</f>
        <v>0</v>
      </c>
      <c r="H341" s="179"/>
      <c r="I341" s="117"/>
    </row>
    <row r="342" spans="1:9" ht="47.25" hidden="1" x14ac:dyDescent="0.25">
      <c r="A342" s="25" t="s">
        <v>287</v>
      </c>
      <c r="B342" s="16">
        <v>903</v>
      </c>
      <c r="C342" s="20" t="s">
        <v>314</v>
      </c>
      <c r="D342" s="20" t="s">
        <v>133</v>
      </c>
      <c r="E342" s="20" t="s">
        <v>343</v>
      </c>
      <c r="F342" s="20" t="s">
        <v>288</v>
      </c>
      <c r="G342" s="26">
        <f>G343</f>
        <v>0</v>
      </c>
      <c r="H342" s="179"/>
    </row>
    <row r="343" spans="1:9" ht="15.75" hidden="1" x14ac:dyDescent="0.25">
      <c r="A343" s="25" t="s">
        <v>289</v>
      </c>
      <c r="B343" s="16">
        <v>903</v>
      </c>
      <c r="C343" s="20" t="s">
        <v>314</v>
      </c>
      <c r="D343" s="20" t="s">
        <v>133</v>
      </c>
      <c r="E343" s="20" t="s">
        <v>343</v>
      </c>
      <c r="F343" s="20" t="s">
        <v>290</v>
      </c>
      <c r="G343" s="26">
        <f>2.9-2.9</f>
        <v>0</v>
      </c>
      <c r="H343" s="179"/>
      <c r="I343" s="117"/>
    </row>
    <row r="344" spans="1:9" ht="31.5" x14ac:dyDescent="0.25">
      <c r="A344" s="25" t="s">
        <v>344</v>
      </c>
      <c r="B344" s="16">
        <v>903</v>
      </c>
      <c r="C344" s="20" t="s">
        <v>314</v>
      </c>
      <c r="D344" s="20" t="s">
        <v>133</v>
      </c>
      <c r="E344" s="20" t="s">
        <v>345</v>
      </c>
      <c r="F344" s="20"/>
      <c r="G344" s="26">
        <f>G345+G347</f>
        <v>177.3</v>
      </c>
      <c r="H344" s="179"/>
    </row>
    <row r="345" spans="1:9" ht="31.5" hidden="1" x14ac:dyDescent="0.25">
      <c r="A345" s="25" t="s">
        <v>146</v>
      </c>
      <c r="B345" s="16">
        <v>903</v>
      </c>
      <c r="C345" s="20" t="s">
        <v>314</v>
      </c>
      <c r="D345" s="20" t="s">
        <v>133</v>
      </c>
      <c r="E345" s="20" t="s">
        <v>345</v>
      </c>
      <c r="F345" s="20" t="s">
        <v>147</v>
      </c>
      <c r="G345" s="26">
        <f>G346</f>
        <v>0</v>
      </c>
      <c r="H345" s="179"/>
    </row>
    <row r="346" spans="1:9" ht="47.25" hidden="1" x14ac:dyDescent="0.25">
      <c r="A346" s="25" t="s">
        <v>148</v>
      </c>
      <c r="B346" s="16">
        <v>903</v>
      </c>
      <c r="C346" s="20" t="s">
        <v>314</v>
      </c>
      <c r="D346" s="20" t="s">
        <v>133</v>
      </c>
      <c r="E346" s="20" t="s">
        <v>345</v>
      </c>
      <c r="F346" s="38">
        <v>240</v>
      </c>
      <c r="G346" s="26">
        <v>0</v>
      </c>
      <c r="H346" s="179"/>
    </row>
    <row r="347" spans="1:9" ht="47.25" x14ac:dyDescent="0.25">
      <c r="A347" s="25" t="s">
        <v>287</v>
      </c>
      <c r="B347" s="16">
        <v>903</v>
      </c>
      <c r="C347" s="20" t="s">
        <v>314</v>
      </c>
      <c r="D347" s="20" t="s">
        <v>133</v>
      </c>
      <c r="E347" s="20" t="s">
        <v>345</v>
      </c>
      <c r="F347" s="20" t="s">
        <v>288</v>
      </c>
      <c r="G347" s="26">
        <f>G348</f>
        <v>177.3</v>
      </c>
      <c r="H347" s="179"/>
    </row>
    <row r="348" spans="1:9" ht="15.75" x14ac:dyDescent="0.25">
      <c r="A348" s="25" t="s">
        <v>289</v>
      </c>
      <c r="B348" s="16">
        <v>903</v>
      </c>
      <c r="C348" s="20" t="s">
        <v>314</v>
      </c>
      <c r="D348" s="20" t="s">
        <v>133</v>
      </c>
      <c r="E348" s="20" t="s">
        <v>345</v>
      </c>
      <c r="F348" s="20" t="s">
        <v>290</v>
      </c>
      <c r="G348" s="26">
        <f>274.5-97.2</f>
        <v>177.3</v>
      </c>
      <c r="H348" s="179"/>
      <c r="I348" s="117"/>
    </row>
    <row r="349" spans="1:9" ht="78.75" x14ac:dyDescent="0.25">
      <c r="A349" s="25" t="s">
        <v>346</v>
      </c>
      <c r="B349" s="16">
        <v>903</v>
      </c>
      <c r="C349" s="20" t="s">
        <v>314</v>
      </c>
      <c r="D349" s="20" t="s">
        <v>133</v>
      </c>
      <c r="E349" s="20" t="s">
        <v>347</v>
      </c>
      <c r="F349" s="20"/>
      <c r="G349" s="26">
        <f>G350</f>
        <v>263.3</v>
      </c>
      <c r="H349" s="179"/>
    </row>
    <row r="350" spans="1:9" ht="47.25" x14ac:dyDescent="0.25">
      <c r="A350" s="25" t="s">
        <v>287</v>
      </c>
      <c r="B350" s="16">
        <v>903</v>
      </c>
      <c r="C350" s="20" t="s">
        <v>314</v>
      </c>
      <c r="D350" s="20" t="s">
        <v>133</v>
      </c>
      <c r="E350" s="20" t="s">
        <v>347</v>
      </c>
      <c r="F350" s="20" t="s">
        <v>288</v>
      </c>
      <c r="G350" s="26">
        <f>G351</f>
        <v>263.3</v>
      </c>
      <c r="H350" s="179"/>
    </row>
    <row r="351" spans="1:9" ht="15.75" x14ac:dyDescent="0.25">
      <c r="A351" s="25" t="s">
        <v>289</v>
      </c>
      <c r="B351" s="16">
        <v>903</v>
      </c>
      <c r="C351" s="20" t="s">
        <v>314</v>
      </c>
      <c r="D351" s="20" t="s">
        <v>133</v>
      </c>
      <c r="E351" s="20" t="s">
        <v>347</v>
      </c>
      <c r="F351" s="20" t="s">
        <v>290</v>
      </c>
      <c r="G351" s="26">
        <f>247.6+15.7</f>
        <v>263.3</v>
      </c>
      <c r="H351" s="179"/>
      <c r="I351" s="117"/>
    </row>
    <row r="352" spans="1:9" ht="110.25" x14ac:dyDescent="0.25">
      <c r="A352" s="31" t="s">
        <v>308</v>
      </c>
      <c r="B352" s="16">
        <v>903</v>
      </c>
      <c r="C352" s="20" t="s">
        <v>314</v>
      </c>
      <c r="D352" s="20" t="s">
        <v>133</v>
      </c>
      <c r="E352" s="20" t="s">
        <v>309</v>
      </c>
      <c r="F352" s="20"/>
      <c r="G352" s="26">
        <f>G353</f>
        <v>1693.3000000000002</v>
      </c>
      <c r="H352" s="179"/>
    </row>
    <row r="353" spans="1:9" ht="47.25" x14ac:dyDescent="0.25">
      <c r="A353" s="25" t="s">
        <v>287</v>
      </c>
      <c r="B353" s="16">
        <v>903</v>
      </c>
      <c r="C353" s="20" t="s">
        <v>314</v>
      </c>
      <c r="D353" s="20" t="s">
        <v>133</v>
      </c>
      <c r="E353" s="20" t="s">
        <v>309</v>
      </c>
      <c r="F353" s="20" t="s">
        <v>288</v>
      </c>
      <c r="G353" s="26">
        <f>G354</f>
        <v>1693.3000000000002</v>
      </c>
      <c r="H353" s="179"/>
    </row>
    <row r="354" spans="1:9" ht="15.75" x14ac:dyDescent="0.25">
      <c r="A354" s="25" t="s">
        <v>289</v>
      </c>
      <c r="B354" s="16">
        <v>903</v>
      </c>
      <c r="C354" s="20" t="s">
        <v>314</v>
      </c>
      <c r="D354" s="20" t="s">
        <v>133</v>
      </c>
      <c r="E354" s="20" t="s">
        <v>309</v>
      </c>
      <c r="F354" s="20" t="s">
        <v>290</v>
      </c>
      <c r="G354" s="26">
        <f>1929.4-236.1</f>
        <v>1693.3000000000002</v>
      </c>
      <c r="H354" s="179"/>
    </row>
    <row r="355" spans="1:9" ht="15.75" x14ac:dyDescent="0.25">
      <c r="A355" s="31" t="s">
        <v>701</v>
      </c>
      <c r="B355" s="16">
        <v>903</v>
      </c>
      <c r="C355" s="20" t="s">
        <v>314</v>
      </c>
      <c r="D355" s="20" t="s">
        <v>133</v>
      </c>
      <c r="E355" s="20" t="s">
        <v>702</v>
      </c>
      <c r="F355" s="20"/>
      <c r="G355" s="26">
        <f>G356</f>
        <v>4</v>
      </c>
      <c r="H355" s="179"/>
    </row>
    <row r="356" spans="1:9" ht="47.25" x14ac:dyDescent="0.25">
      <c r="A356" s="25" t="s">
        <v>287</v>
      </c>
      <c r="B356" s="16">
        <v>903</v>
      </c>
      <c r="C356" s="20" t="s">
        <v>314</v>
      </c>
      <c r="D356" s="20" t="s">
        <v>133</v>
      </c>
      <c r="E356" s="20" t="s">
        <v>702</v>
      </c>
      <c r="F356" s="20" t="s">
        <v>288</v>
      </c>
      <c r="G356" s="26">
        <f>G357</f>
        <v>4</v>
      </c>
      <c r="H356" s="179"/>
    </row>
    <row r="357" spans="1:9" ht="15.75" x14ac:dyDescent="0.25">
      <c r="A357" s="25" t="s">
        <v>289</v>
      </c>
      <c r="B357" s="16">
        <v>903</v>
      </c>
      <c r="C357" s="20" t="s">
        <v>314</v>
      </c>
      <c r="D357" s="20" t="s">
        <v>133</v>
      </c>
      <c r="E357" s="20" t="s">
        <v>702</v>
      </c>
      <c r="F357" s="20" t="s">
        <v>290</v>
      </c>
      <c r="G357" s="26">
        <v>4</v>
      </c>
      <c r="H357" s="108"/>
    </row>
    <row r="358" spans="1:9" ht="31.5" x14ac:dyDescent="0.25">
      <c r="A358" s="23" t="s">
        <v>348</v>
      </c>
      <c r="B358" s="19">
        <v>903</v>
      </c>
      <c r="C358" s="24" t="s">
        <v>314</v>
      </c>
      <c r="D358" s="24" t="s">
        <v>165</v>
      </c>
      <c r="E358" s="24"/>
      <c r="F358" s="24"/>
      <c r="G358" s="21">
        <f>G359+G373+G369</f>
        <v>17278.8</v>
      </c>
      <c r="H358" s="179"/>
    </row>
    <row r="359" spans="1:9" ht="47.25" x14ac:dyDescent="0.25">
      <c r="A359" s="25" t="s">
        <v>349</v>
      </c>
      <c r="B359" s="16">
        <v>903</v>
      </c>
      <c r="C359" s="20" t="s">
        <v>314</v>
      </c>
      <c r="D359" s="20" t="s">
        <v>165</v>
      </c>
      <c r="E359" s="20" t="s">
        <v>350</v>
      </c>
      <c r="F359" s="20"/>
      <c r="G359" s="26">
        <f>G360+G363+G366</f>
        <v>125</v>
      </c>
      <c r="H359" s="179"/>
      <c r="I359" s="117"/>
    </row>
    <row r="360" spans="1:9" ht="31.5" hidden="1" x14ac:dyDescent="0.25">
      <c r="A360" s="25" t="s">
        <v>351</v>
      </c>
      <c r="B360" s="16">
        <v>903</v>
      </c>
      <c r="C360" s="20" t="s">
        <v>314</v>
      </c>
      <c r="D360" s="20" t="s">
        <v>165</v>
      </c>
      <c r="E360" s="20" t="s">
        <v>352</v>
      </c>
      <c r="F360" s="20"/>
      <c r="G360" s="26">
        <f>G361</f>
        <v>0</v>
      </c>
      <c r="H360" s="179"/>
    </row>
    <row r="361" spans="1:9" ht="31.5" hidden="1" x14ac:dyDescent="0.25">
      <c r="A361" s="25" t="s">
        <v>146</v>
      </c>
      <c r="B361" s="16">
        <v>903</v>
      </c>
      <c r="C361" s="20" t="s">
        <v>314</v>
      </c>
      <c r="D361" s="20" t="s">
        <v>165</v>
      </c>
      <c r="E361" s="20" t="s">
        <v>352</v>
      </c>
      <c r="F361" s="20" t="s">
        <v>147</v>
      </c>
      <c r="G361" s="26">
        <f>G362</f>
        <v>0</v>
      </c>
      <c r="H361" s="179"/>
    </row>
    <row r="362" spans="1:9" ht="47.25" hidden="1" x14ac:dyDescent="0.25">
      <c r="A362" s="25" t="s">
        <v>148</v>
      </c>
      <c r="B362" s="16">
        <v>903</v>
      </c>
      <c r="C362" s="20" t="s">
        <v>314</v>
      </c>
      <c r="D362" s="20" t="s">
        <v>165</v>
      </c>
      <c r="E362" s="20" t="s">
        <v>352</v>
      </c>
      <c r="F362" s="20" t="s">
        <v>149</v>
      </c>
      <c r="G362" s="26">
        <v>0</v>
      </c>
      <c r="H362" s="179"/>
    </row>
    <row r="363" spans="1:9" ht="31.5" x14ac:dyDescent="0.25">
      <c r="A363" s="25" t="s">
        <v>353</v>
      </c>
      <c r="B363" s="16">
        <v>903</v>
      </c>
      <c r="C363" s="20" t="s">
        <v>314</v>
      </c>
      <c r="D363" s="20" t="s">
        <v>165</v>
      </c>
      <c r="E363" s="20" t="s">
        <v>354</v>
      </c>
      <c r="F363" s="20"/>
      <c r="G363" s="26">
        <f>G364</f>
        <v>20</v>
      </c>
      <c r="H363" s="179"/>
    </row>
    <row r="364" spans="1:9" ht="31.5" x14ac:dyDescent="0.25">
      <c r="A364" s="25" t="s">
        <v>146</v>
      </c>
      <c r="B364" s="16">
        <v>903</v>
      </c>
      <c r="C364" s="20" t="s">
        <v>314</v>
      </c>
      <c r="D364" s="20" t="s">
        <v>165</v>
      </c>
      <c r="E364" s="20" t="s">
        <v>354</v>
      </c>
      <c r="F364" s="20" t="s">
        <v>147</v>
      </c>
      <c r="G364" s="26">
        <f>G365</f>
        <v>20</v>
      </c>
      <c r="H364" s="179"/>
    </row>
    <row r="365" spans="1:9" ht="47.25" x14ac:dyDescent="0.25">
      <c r="A365" s="25" t="s">
        <v>148</v>
      </c>
      <c r="B365" s="16">
        <v>903</v>
      </c>
      <c r="C365" s="20" t="s">
        <v>314</v>
      </c>
      <c r="D365" s="20" t="s">
        <v>165</v>
      </c>
      <c r="E365" s="20" t="s">
        <v>354</v>
      </c>
      <c r="F365" s="20" t="s">
        <v>149</v>
      </c>
      <c r="G365" s="26">
        <v>20</v>
      </c>
      <c r="H365" s="179"/>
    </row>
    <row r="366" spans="1:9" ht="63" x14ac:dyDescent="0.25">
      <c r="A366" s="25" t="s">
        <v>730</v>
      </c>
      <c r="B366" s="16">
        <v>903</v>
      </c>
      <c r="C366" s="20" t="s">
        <v>314</v>
      </c>
      <c r="D366" s="20" t="s">
        <v>165</v>
      </c>
      <c r="E366" s="20" t="s">
        <v>696</v>
      </c>
      <c r="F366" s="20"/>
      <c r="G366" s="26">
        <f>G367</f>
        <v>105</v>
      </c>
      <c r="H366" s="179"/>
    </row>
    <row r="367" spans="1:9" ht="39.75" customHeight="1" x14ac:dyDescent="0.25">
      <c r="A367" s="25" t="s">
        <v>146</v>
      </c>
      <c r="B367" s="16">
        <v>903</v>
      </c>
      <c r="C367" s="20" t="s">
        <v>314</v>
      </c>
      <c r="D367" s="20" t="s">
        <v>165</v>
      </c>
      <c r="E367" s="20" t="s">
        <v>696</v>
      </c>
      <c r="F367" s="20" t="s">
        <v>147</v>
      </c>
      <c r="G367" s="26">
        <f>G368</f>
        <v>105</v>
      </c>
      <c r="H367" s="179"/>
    </row>
    <row r="368" spans="1:9" ht="47.25" x14ac:dyDescent="0.25">
      <c r="A368" s="25" t="s">
        <v>148</v>
      </c>
      <c r="B368" s="16">
        <v>903</v>
      </c>
      <c r="C368" s="20" t="s">
        <v>314</v>
      </c>
      <c r="D368" s="20" t="s">
        <v>165</v>
      </c>
      <c r="E368" s="20" t="s">
        <v>696</v>
      </c>
      <c r="F368" s="20" t="s">
        <v>149</v>
      </c>
      <c r="G368" s="26">
        <f>55+50</f>
        <v>105</v>
      </c>
      <c r="H368" s="108"/>
      <c r="I368" s="126"/>
    </row>
    <row r="369" spans="1:11" ht="63" x14ac:dyDescent="0.25">
      <c r="A369" s="29" t="s">
        <v>729</v>
      </c>
      <c r="B369" s="16">
        <v>903</v>
      </c>
      <c r="C369" s="20" t="s">
        <v>314</v>
      </c>
      <c r="D369" s="20" t="s">
        <v>165</v>
      </c>
      <c r="E369" s="20" t="s">
        <v>727</v>
      </c>
      <c r="F369" s="20"/>
      <c r="G369" s="26">
        <f>G370</f>
        <v>5</v>
      </c>
      <c r="H369" s="179"/>
    </row>
    <row r="370" spans="1:11" ht="31.5" x14ac:dyDescent="0.25">
      <c r="A370" s="25" t="s">
        <v>384</v>
      </c>
      <c r="B370" s="16">
        <v>903</v>
      </c>
      <c r="C370" s="20" t="s">
        <v>314</v>
      </c>
      <c r="D370" s="20" t="s">
        <v>165</v>
      </c>
      <c r="E370" s="20" t="s">
        <v>735</v>
      </c>
      <c r="F370" s="20"/>
      <c r="G370" s="26">
        <f>G371</f>
        <v>5</v>
      </c>
      <c r="H370" s="179"/>
    </row>
    <row r="371" spans="1:11" ht="31.5" x14ac:dyDescent="0.25">
      <c r="A371" s="25" t="s">
        <v>146</v>
      </c>
      <c r="B371" s="16">
        <v>903</v>
      </c>
      <c r="C371" s="20" t="s">
        <v>314</v>
      </c>
      <c r="D371" s="20" t="s">
        <v>165</v>
      </c>
      <c r="E371" s="20" t="s">
        <v>735</v>
      </c>
      <c r="F371" s="20" t="s">
        <v>147</v>
      </c>
      <c r="G371" s="26">
        <f>G372</f>
        <v>5</v>
      </c>
      <c r="H371" s="179"/>
    </row>
    <row r="372" spans="1:11" ht="47.25" x14ac:dyDescent="0.25">
      <c r="A372" s="25" t="s">
        <v>148</v>
      </c>
      <c r="B372" s="16">
        <v>903</v>
      </c>
      <c r="C372" s="20" t="s">
        <v>314</v>
      </c>
      <c r="D372" s="20" t="s">
        <v>165</v>
      </c>
      <c r="E372" s="20" t="s">
        <v>735</v>
      </c>
      <c r="F372" s="20" t="s">
        <v>149</v>
      </c>
      <c r="G372" s="26">
        <v>5</v>
      </c>
      <c r="H372" s="108"/>
      <c r="I372" s="126"/>
    </row>
    <row r="373" spans="1:11" ht="15.75" x14ac:dyDescent="0.25">
      <c r="A373" s="25" t="s">
        <v>136</v>
      </c>
      <c r="B373" s="16">
        <v>903</v>
      </c>
      <c r="C373" s="20" t="s">
        <v>314</v>
      </c>
      <c r="D373" s="20" t="s">
        <v>165</v>
      </c>
      <c r="E373" s="20" t="s">
        <v>137</v>
      </c>
      <c r="F373" s="20"/>
      <c r="G373" s="26">
        <f>G374+G380</f>
        <v>17148.8</v>
      </c>
      <c r="H373" s="179"/>
    </row>
    <row r="374" spans="1:11" ht="31.5" x14ac:dyDescent="0.25">
      <c r="A374" s="25" t="s">
        <v>138</v>
      </c>
      <c r="B374" s="16">
        <v>903</v>
      </c>
      <c r="C374" s="20" t="s">
        <v>314</v>
      </c>
      <c r="D374" s="20" t="s">
        <v>165</v>
      </c>
      <c r="E374" s="20" t="s">
        <v>139</v>
      </c>
      <c r="F374" s="20"/>
      <c r="G374" s="26">
        <f>G375</f>
        <v>6754.9</v>
      </c>
      <c r="H374" s="179"/>
    </row>
    <row r="375" spans="1:11" ht="47.25" x14ac:dyDescent="0.25">
      <c r="A375" s="25" t="s">
        <v>140</v>
      </c>
      <c r="B375" s="16">
        <v>903</v>
      </c>
      <c r="C375" s="20" t="s">
        <v>314</v>
      </c>
      <c r="D375" s="20" t="s">
        <v>165</v>
      </c>
      <c r="E375" s="20" t="s">
        <v>141</v>
      </c>
      <c r="F375" s="20"/>
      <c r="G375" s="26">
        <f>G376+G378</f>
        <v>6754.9</v>
      </c>
      <c r="H375" s="179"/>
    </row>
    <row r="376" spans="1:11" ht="94.5" x14ac:dyDescent="0.25">
      <c r="A376" s="25" t="s">
        <v>142</v>
      </c>
      <c r="B376" s="16">
        <v>903</v>
      </c>
      <c r="C376" s="20" t="s">
        <v>314</v>
      </c>
      <c r="D376" s="20" t="s">
        <v>165</v>
      </c>
      <c r="E376" s="20" t="s">
        <v>141</v>
      </c>
      <c r="F376" s="20" t="s">
        <v>143</v>
      </c>
      <c r="G376" s="26">
        <f>G377</f>
        <v>6754.9</v>
      </c>
      <c r="H376" s="179"/>
    </row>
    <row r="377" spans="1:11" ht="31.5" x14ac:dyDescent="0.25">
      <c r="A377" s="25" t="s">
        <v>144</v>
      </c>
      <c r="B377" s="16">
        <v>903</v>
      </c>
      <c r="C377" s="20" t="s">
        <v>314</v>
      </c>
      <c r="D377" s="20" t="s">
        <v>165</v>
      </c>
      <c r="E377" s="20" t="s">
        <v>141</v>
      </c>
      <c r="F377" s="20" t="s">
        <v>145</v>
      </c>
      <c r="G377" s="27">
        <v>6754.9</v>
      </c>
      <c r="H377" s="179"/>
    </row>
    <row r="378" spans="1:11" ht="31.5" hidden="1" x14ac:dyDescent="0.25">
      <c r="A378" s="25" t="s">
        <v>146</v>
      </c>
      <c r="B378" s="16">
        <v>903</v>
      </c>
      <c r="C378" s="20" t="s">
        <v>314</v>
      </c>
      <c r="D378" s="20" t="s">
        <v>165</v>
      </c>
      <c r="E378" s="20" t="s">
        <v>141</v>
      </c>
      <c r="F378" s="20" t="s">
        <v>147</v>
      </c>
      <c r="G378" s="26">
        <f>G379</f>
        <v>0</v>
      </c>
      <c r="H378" s="179"/>
    </row>
    <row r="379" spans="1:11" ht="47.25" hidden="1" x14ac:dyDescent="0.25">
      <c r="A379" s="25" t="s">
        <v>148</v>
      </c>
      <c r="B379" s="16">
        <v>903</v>
      </c>
      <c r="C379" s="20" t="s">
        <v>314</v>
      </c>
      <c r="D379" s="20" t="s">
        <v>165</v>
      </c>
      <c r="E379" s="20" t="s">
        <v>141</v>
      </c>
      <c r="F379" s="20" t="s">
        <v>149</v>
      </c>
      <c r="G379" s="26"/>
      <c r="H379" s="179"/>
    </row>
    <row r="380" spans="1:11" ht="15.75" x14ac:dyDescent="0.25">
      <c r="A380" s="25" t="s">
        <v>156</v>
      </c>
      <c r="B380" s="16">
        <v>903</v>
      </c>
      <c r="C380" s="20" t="s">
        <v>314</v>
      </c>
      <c r="D380" s="20" t="s">
        <v>165</v>
      </c>
      <c r="E380" s="20" t="s">
        <v>157</v>
      </c>
      <c r="F380" s="20"/>
      <c r="G380" s="26">
        <f>G381</f>
        <v>10393.9</v>
      </c>
      <c r="H380" s="179"/>
    </row>
    <row r="381" spans="1:11" ht="31.5" x14ac:dyDescent="0.25">
      <c r="A381" s="25" t="s">
        <v>355</v>
      </c>
      <c r="B381" s="16">
        <v>903</v>
      </c>
      <c r="C381" s="20" t="s">
        <v>314</v>
      </c>
      <c r="D381" s="20" t="s">
        <v>165</v>
      </c>
      <c r="E381" s="20" t="s">
        <v>356</v>
      </c>
      <c r="F381" s="20"/>
      <c r="G381" s="26">
        <f>G382+G384+G386</f>
        <v>10393.9</v>
      </c>
      <c r="H381" s="179"/>
      <c r="J381" s="476"/>
      <c r="K381" s="476"/>
    </row>
    <row r="382" spans="1:11" ht="94.5" x14ac:dyDescent="0.25">
      <c r="A382" s="25" t="s">
        <v>142</v>
      </c>
      <c r="B382" s="16">
        <v>903</v>
      </c>
      <c r="C382" s="20" t="s">
        <v>314</v>
      </c>
      <c r="D382" s="20" t="s">
        <v>165</v>
      </c>
      <c r="E382" s="20" t="s">
        <v>356</v>
      </c>
      <c r="F382" s="20" t="s">
        <v>143</v>
      </c>
      <c r="G382" s="26">
        <f>G383</f>
        <v>8721.4</v>
      </c>
      <c r="H382" s="179"/>
      <c r="J382" s="476"/>
      <c r="K382" s="476"/>
    </row>
    <row r="383" spans="1:11" ht="31.5" x14ac:dyDescent="0.25">
      <c r="A383" s="25" t="s">
        <v>357</v>
      </c>
      <c r="B383" s="16">
        <v>903</v>
      </c>
      <c r="C383" s="20" t="s">
        <v>314</v>
      </c>
      <c r="D383" s="20" t="s">
        <v>165</v>
      </c>
      <c r="E383" s="20" t="s">
        <v>356</v>
      </c>
      <c r="F383" s="20" t="s">
        <v>224</v>
      </c>
      <c r="G383" s="27">
        <f>8596.3-84.9+210</f>
        <v>8721.4</v>
      </c>
      <c r="H383" s="108"/>
      <c r="I383" s="126"/>
      <c r="J383" s="476"/>
      <c r="K383" s="476"/>
    </row>
    <row r="384" spans="1:11" ht="31.5" x14ac:dyDescent="0.25">
      <c r="A384" s="25" t="s">
        <v>146</v>
      </c>
      <c r="B384" s="16">
        <v>903</v>
      </c>
      <c r="C384" s="20" t="s">
        <v>314</v>
      </c>
      <c r="D384" s="20" t="s">
        <v>165</v>
      </c>
      <c r="E384" s="20" t="s">
        <v>356</v>
      </c>
      <c r="F384" s="20" t="s">
        <v>147</v>
      </c>
      <c r="G384" s="26">
        <f>G385</f>
        <v>1652.5</v>
      </c>
      <c r="H384" s="179"/>
      <c r="J384" s="476"/>
      <c r="K384" s="476"/>
    </row>
    <row r="385" spans="1:11" ht="47.25" x14ac:dyDescent="0.25">
      <c r="A385" s="25" t="s">
        <v>148</v>
      </c>
      <c r="B385" s="16">
        <v>903</v>
      </c>
      <c r="C385" s="20" t="s">
        <v>314</v>
      </c>
      <c r="D385" s="20" t="s">
        <v>165</v>
      </c>
      <c r="E385" s="20" t="s">
        <v>356</v>
      </c>
      <c r="F385" s="20" t="s">
        <v>149</v>
      </c>
      <c r="G385" s="27">
        <f>1663.9+135.6-147</f>
        <v>1652.5</v>
      </c>
      <c r="H385" s="108"/>
      <c r="I385" s="127"/>
      <c r="J385" s="476"/>
      <c r="K385" s="476"/>
    </row>
    <row r="386" spans="1:11" ht="15.75" x14ac:dyDescent="0.25">
      <c r="A386" s="25" t="s">
        <v>150</v>
      </c>
      <c r="B386" s="16">
        <v>903</v>
      </c>
      <c r="C386" s="20" t="s">
        <v>314</v>
      </c>
      <c r="D386" s="20" t="s">
        <v>165</v>
      </c>
      <c r="E386" s="20" t="s">
        <v>356</v>
      </c>
      <c r="F386" s="20" t="s">
        <v>160</v>
      </c>
      <c r="G386" s="26">
        <f>G387</f>
        <v>20</v>
      </c>
      <c r="H386" s="179"/>
      <c r="J386" s="476"/>
      <c r="K386" s="476"/>
    </row>
    <row r="387" spans="1:11" ht="15.75" x14ac:dyDescent="0.25">
      <c r="A387" s="25" t="s">
        <v>583</v>
      </c>
      <c r="B387" s="16">
        <v>903</v>
      </c>
      <c r="C387" s="20" t="s">
        <v>314</v>
      </c>
      <c r="D387" s="20" t="s">
        <v>165</v>
      </c>
      <c r="E387" s="20" t="s">
        <v>356</v>
      </c>
      <c r="F387" s="20" t="s">
        <v>153</v>
      </c>
      <c r="G387" s="26">
        <v>20</v>
      </c>
      <c r="H387" s="179"/>
      <c r="J387" s="476"/>
      <c r="K387" s="476"/>
    </row>
    <row r="388" spans="1:11" ht="15.75" x14ac:dyDescent="0.25">
      <c r="A388" s="23" t="s">
        <v>258</v>
      </c>
      <c r="B388" s="19">
        <v>903</v>
      </c>
      <c r="C388" s="24" t="s">
        <v>259</v>
      </c>
      <c r="D388" s="24"/>
      <c r="E388" s="24"/>
      <c r="F388" s="24"/>
      <c r="G388" s="21">
        <f>G389</f>
        <v>4625</v>
      </c>
      <c r="H388" s="179"/>
    </row>
    <row r="389" spans="1:11" ht="15.75" x14ac:dyDescent="0.25">
      <c r="A389" s="23" t="s">
        <v>267</v>
      </c>
      <c r="B389" s="19">
        <v>903</v>
      </c>
      <c r="C389" s="24" t="s">
        <v>259</v>
      </c>
      <c r="D389" s="24" t="s">
        <v>230</v>
      </c>
      <c r="E389" s="24"/>
      <c r="F389" s="24"/>
      <c r="G389" s="21">
        <f>G390+G443</f>
        <v>4625</v>
      </c>
      <c r="H389" s="179"/>
    </row>
    <row r="390" spans="1:11" ht="47.25" x14ac:dyDescent="0.25">
      <c r="A390" s="25" t="s">
        <v>358</v>
      </c>
      <c r="B390" s="16">
        <v>903</v>
      </c>
      <c r="C390" s="20" t="s">
        <v>259</v>
      </c>
      <c r="D390" s="20" t="s">
        <v>230</v>
      </c>
      <c r="E390" s="20" t="s">
        <v>359</v>
      </c>
      <c r="F390" s="20"/>
      <c r="G390" s="26">
        <f>G391+G399+G403+G407+G413+G417+G421+G439</f>
        <v>3693</v>
      </c>
      <c r="H390" s="179"/>
    </row>
    <row r="391" spans="1:11" ht="31.5" x14ac:dyDescent="0.25">
      <c r="A391" s="25" t="s">
        <v>360</v>
      </c>
      <c r="B391" s="16">
        <v>903</v>
      </c>
      <c r="C391" s="20" t="s">
        <v>259</v>
      </c>
      <c r="D391" s="20" t="s">
        <v>230</v>
      </c>
      <c r="E391" s="20" t="s">
        <v>361</v>
      </c>
      <c r="F391" s="20"/>
      <c r="G391" s="26">
        <f>G392+G396</f>
        <v>935</v>
      </c>
      <c r="H391" s="179"/>
    </row>
    <row r="392" spans="1:11" ht="31.5" x14ac:dyDescent="0.25">
      <c r="A392" s="25" t="s">
        <v>146</v>
      </c>
      <c r="B392" s="16">
        <v>903</v>
      </c>
      <c r="C392" s="20" t="s">
        <v>259</v>
      </c>
      <c r="D392" s="20" t="s">
        <v>230</v>
      </c>
      <c r="E392" s="20" t="s">
        <v>362</v>
      </c>
      <c r="F392" s="20" t="s">
        <v>147</v>
      </c>
      <c r="G392" s="26">
        <f>G393</f>
        <v>666.4</v>
      </c>
      <c r="H392" s="179"/>
    </row>
    <row r="393" spans="1:11" ht="47.25" x14ac:dyDescent="0.25">
      <c r="A393" s="25" t="s">
        <v>148</v>
      </c>
      <c r="B393" s="16">
        <v>903</v>
      </c>
      <c r="C393" s="20" t="s">
        <v>259</v>
      </c>
      <c r="D393" s="20" t="s">
        <v>230</v>
      </c>
      <c r="E393" s="20" t="s">
        <v>362</v>
      </c>
      <c r="F393" s="20" t="s">
        <v>149</v>
      </c>
      <c r="G393" s="26">
        <f>669.4-3</f>
        <v>666.4</v>
      </c>
      <c r="H393" s="179"/>
    </row>
    <row r="394" spans="1:11" ht="31.5" hidden="1" x14ac:dyDescent="0.25">
      <c r="A394" s="25" t="s">
        <v>263</v>
      </c>
      <c r="B394" s="16">
        <v>903</v>
      </c>
      <c r="C394" s="20" t="s">
        <v>259</v>
      </c>
      <c r="D394" s="20" t="s">
        <v>230</v>
      </c>
      <c r="E394" s="20" t="s">
        <v>362</v>
      </c>
      <c r="F394" s="20" t="s">
        <v>264</v>
      </c>
      <c r="G394" s="26">
        <f>G395</f>
        <v>0</v>
      </c>
      <c r="H394" s="179"/>
    </row>
    <row r="395" spans="1:11" ht="31.5" hidden="1" x14ac:dyDescent="0.25">
      <c r="A395" s="25" t="s">
        <v>363</v>
      </c>
      <c r="B395" s="16">
        <v>903</v>
      </c>
      <c r="C395" s="20" t="s">
        <v>259</v>
      </c>
      <c r="D395" s="20" t="s">
        <v>230</v>
      </c>
      <c r="E395" s="20" t="s">
        <v>362</v>
      </c>
      <c r="F395" s="20" t="s">
        <v>364</v>
      </c>
      <c r="G395" s="26">
        <v>0</v>
      </c>
      <c r="H395" s="179"/>
    </row>
    <row r="396" spans="1:11" ht="31.5" x14ac:dyDescent="0.25">
      <c r="A396" s="25" t="s">
        <v>365</v>
      </c>
      <c r="B396" s="16">
        <v>903</v>
      </c>
      <c r="C396" s="20" t="s">
        <v>259</v>
      </c>
      <c r="D396" s="20" t="s">
        <v>230</v>
      </c>
      <c r="E396" s="20" t="s">
        <v>366</v>
      </c>
      <c r="F396" s="20"/>
      <c r="G396" s="26">
        <f>G397</f>
        <v>268.60000000000002</v>
      </c>
      <c r="H396" s="179"/>
    </row>
    <row r="397" spans="1:11" ht="47.25" x14ac:dyDescent="0.25">
      <c r="A397" s="25" t="s">
        <v>287</v>
      </c>
      <c r="B397" s="16">
        <v>903</v>
      </c>
      <c r="C397" s="20" t="s">
        <v>259</v>
      </c>
      <c r="D397" s="20" t="s">
        <v>230</v>
      </c>
      <c r="E397" s="20" t="s">
        <v>366</v>
      </c>
      <c r="F397" s="20" t="s">
        <v>288</v>
      </c>
      <c r="G397" s="26">
        <f>G398</f>
        <v>268.60000000000002</v>
      </c>
      <c r="H397" s="179"/>
    </row>
    <row r="398" spans="1:11" ht="15.75" x14ac:dyDescent="0.25">
      <c r="A398" s="25" t="s">
        <v>289</v>
      </c>
      <c r="B398" s="16">
        <v>903</v>
      </c>
      <c r="C398" s="20" t="s">
        <v>259</v>
      </c>
      <c r="D398" s="20" t="s">
        <v>230</v>
      </c>
      <c r="E398" s="20" t="s">
        <v>366</v>
      </c>
      <c r="F398" s="20" t="s">
        <v>290</v>
      </c>
      <c r="G398" s="26">
        <f>160.5+108.1</f>
        <v>268.60000000000002</v>
      </c>
      <c r="H398" s="108"/>
    </row>
    <row r="399" spans="1:11" ht="31.5" x14ac:dyDescent="0.25">
      <c r="A399" s="25" t="s">
        <v>367</v>
      </c>
      <c r="B399" s="16">
        <v>903</v>
      </c>
      <c r="C399" s="20" t="s">
        <v>259</v>
      </c>
      <c r="D399" s="20" t="s">
        <v>230</v>
      </c>
      <c r="E399" s="20" t="s">
        <v>368</v>
      </c>
      <c r="F399" s="20"/>
      <c r="G399" s="26">
        <f>G400</f>
        <v>63</v>
      </c>
      <c r="H399" s="179"/>
    </row>
    <row r="400" spans="1:11" ht="31.5" x14ac:dyDescent="0.25">
      <c r="A400" s="25" t="s">
        <v>172</v>
      </c>
      <c r="B400" s="16">
        <v>903</v>
      </c>
      <c r="C400" s="20" t="s">
        <v>259</v>
      </c>
      <c r="D400" s="20" t="s">
        <v>230</v>
      </c>
      <c r="E400" s="20" t="s">
        <v>369</v>
      </c>
      <c r="F400" s="20"/>
      <c r="G400" s="26">
        <f>G401</f>
        <v>63</v>
      </c>
      <c r="H400" s="179"/>
    </row>
    <row r="401" spans="1:8" ht="31.5" x14ac:dyDescent="0.25">
      <c r="A401" s="25" t="s">
        <v>263</v>
      </c>
      <c r="B401" s="16">
        <v>903</v>
      </c>
      <c r="C401" s="20" t="s">
        <v>259</v>
      </c>
      <c r="D401" s="20" t="s">
        <v>230</v>
      </c>
      <c r="E401" s="20" t="s">
        <v>369</v>
      </c>
      <c r="F401" s="20" t="s">
        <v>264</v>
      </c>
      <c r="G401" s="26">
        <f>G402</f>
        <v>63</v>
      </c>
      <c r="H401" s="179"/>
    </row>
    <row r="402" spans="1:8" ht="31.5" x14ac:dyDescent="0.25">
      <c r="A402" s="25" t="s">
        <v>265</v>
      </c>
      <c r="B402" s="16">
        <v>903</v>
      </c>
      <c r="C402" s="20" t="s">
        <v>259</v>
      </c>
      <c r="D402" s="20" t="s">
        <v>230</v>
      </c>
      <c r="E402" s="20" t="s">
        <v>369</v>
      </c>
      <c r="F402" s="20" t="s">
        <v>266</v>
      </c>
      <c r="G402" s="26">
        <f>60+3</f>
        <v>63</v>
      </c>
      <c r="H402" s="179"/>
    </row>
    <row r="403" spans="1:8" ht="31.5" x14ac:dyDescent="0.25">
      <c r="A403" s="25" t="s">
        <v>370</v>
      </c>
      <c r="B403" s="16">
        <v>903</v>
      </c>
      <c r="C403" s="16">
        <v>10</v>
      </c>
      <c r="D403" s="20" t="s">
        <v>230</v>
      </c>
      <c r="E403" s="20" t="s">
        <v>371</v>
      </c>
      <c r="F403" s="20"/>
      <c r="G403" s="26">
        <f>G404</f>
        <v>420</v>
      </c>
      <c r="H403" s="179"/>
    </row>
    <row r="404" spans="1:8" ht="31.5" x14ac:dyDescent="0.25">
      <c r="A404" s="25" t="s">
        <v>172</v>
      </c>
      <c r="B404" s="16">
        <v>903</v>
      </c>
      <c r="C404" s="20" t="s">
        <v>259</v>
      </c>
      <c r="D404" s="20" t="s">
        <v>230</v>
      </c>
      <c r="E404" s="20" t="s">
        <v>372</v>
      </c>
      <c r="F404" s="20"/>
      <c r="G404" s="26">
        <f>G405</f>
        <v>420</v>
      </c>
      <c r="H404" s="179"/>
    </row>
    <row r="405" spans="1:8" ht="31.5" x14ac:dyDescent="0.25">
      <c r="A405" s="25" t="s">
        <v>263</v>
      </c>
      <c r="B405" s="16">
        <v>903</v>
      </c>
      <c r="C405" s="20" t="s">
        <v>259</v>
      </c>
      <c r="D405" s="20" t="s">
        <v>230</v>
      </c>
      <c r="E405" s="20" t="s">
        <v>372</v>
      </c>
      <c r="F405" s="20" t="s">
        <v>264</v>
      </c>
      <c r="G405" s="26">
        <f>G406</f>
        <v>420</v>
      </c>
      <c r="H405" s="179"/>
    </row>
    <row r="406" spans="1:8" ht="31.5" x14ac:dyDescent="0.25">
      <c r="A406" s="25" t="s">
        <v>363</v>
      </c>
      <c r="B406" s="16">
        <v>903</v>
      </c>
      <c r="C406" s="20" t="s">
        <v>259</v>
      </c>
      <c r="D406" s="20" t="s">
        <v>230</v>
      </c>
      <c r="E406" s="20" t="s">
        <v>372</v>
      </c>
      <c r="F406" s="20" t="s">
        <v>364</v>
      </c>
      <c r="G406" s="26">
        <v>420</v>
      </c>
      <c r="H406" s="179"/>
    </row>
    <row r="407" spans="1:8" ht="15.75" x14ac:dyDescent="0.25">
      <c r="A407" s="25" t="s">
        <v>373</v>
      </c>
      <c r="B407" s="16">
        <v>903</v>
      </c>
      <c r="C407" s="16">
        <v>10</v>
      </c>
      <c r="D407" s="20" t="s">
        <v>230</v>
      </c>
      <c r="E407" s="20" t="s">
        <v>374</v>
      </c>
      <c r="F407" s="20"/>
      <c r="G407" s="26">
        <f>G408</f>
        <v>1595</v>
      </c>
      <c r="H407" s="179"/>
    </row>
    <row r="408" spans="1:8" ht="31.5" x14ac:dyDescent="0.25">
      <c r="A408" s="25" t="s">
        <v>172</v>
      </c>
      <c r="B408" s="16">
        <v>903</v>
      </c>
      <c r="C408" s="20" t="s">
        <v>259</v>
      </c>
      <c r="D408" s="20" t="s">
        <v>230</v>
      </c>
      <c r="E408" s="20" t="s">
        <v>375</v>
      </c>
      <c r="F408" s="20"/>
      <c r="G408" s="26">
        <f>G409+G411</f>
        <v>1595</v>
      </c>
      <c r="H408" s="179"/>
    </row>
    <row r="409" spans="1:8" ht="31.5" x14ac:dyDescent="0.25">
      <c r="A409" s="25" t="s">
        <v>146</v>
      </c>
      <c r="B409" s="16">
        <v>903</v>
      </c>
      <c r="C409" s="20" t="s">
        <v>259</v>
      </c>
      <c r="D409" s="20" t="s">
        <v>230</v>
      </c>
      <c r="E409" s="20" t="s">
        <v>375</v>
      </c>
      <c r="F409" s="20" t="s">
        <v>147</v>
      </c>
      <c r="G409" s="26">
        <f>G410</f>
        <v>547</v>
      </c>
      <c r="H409" s="179"/>
    </row>
    <row r="410" spans="1:8" ht="47.25" x14ac:dyDescent="0.25">
      <c r="A410" s="25" t="s">
        <v>148</v>
      </c>
      <c r="B410" s="16">
        <v>903</v>
      </c>
      <c r="C410" s="20" t="s">
        <v>259</v>
      </c>
      <c r="D410" s="20" t="s">
        <v>230</v>
      </c>
      <c r="E410" s="20" t="s">
        <v>375</v>
      </c>
      <c r="F410" s="20" t="s">
        <v>149</v>
      </c>
      <c r="G410" s="164">
        <f>552-50+45</f>
        <v>547</v>
      </c>
      <c r="H410" s="159" t="s">
        <v>770</v>
      </c>
    </row>
    <row r="411" spans="1:8" ht="31.5" x14ac:dyDescent="0.25">
      <c r="A411" s="25" t="s">
        <v>263</v>
      </c>
      <c r="B411" s="16">
        <v>903</v>
      </c>
      <c r="C411" s="20" t="s">
        <v>259</v>
      </c>
      <c r="D411" s="20" t="s">
        <v>230</v>
      </c>
      <c r="E411" s="20" t="s">
        <v>375</v>
      </c>
      <c r="F411" s="20" t="s">
        <v>264</v>
      </c>
      <c r="G411" s="26">
        <f>G412</f>
        <v>1048</v>
      </c>
      <c r="H411" s="179"/>
    </row>
    <row r="412" spans="1:8" ht="31.5" x14ac:dyDescent="0.25">
      <c r="A412" s="25" t="s">
        <v>363</v>
      </c>
      <c r="B412" s="16">
        <v>903</v>
      </c>
      <c r="C412" s="20" t="s">
        <v>259</v>
      </c>
      <c r="D412" s="20" t="s">
        <v>230</v>
      </c>
      <c r="E412" s="20" t="s">
        <v>375</v>
      </c>
      <c r="F412" s="20" t="s">
        <v>364</v>
      </c>
      <c r="G412" s="26">
        <v>1048</v>
      </c>
      <c r="H412" s="179"/>
    </row>
    <row r="413" spans="1:8" ht="47.25" x14ac:dyDescent="0.25">
      <c r="A413" s="25" t="s">
        <v>376</v>
      </c>
      <c r="B413" s="16">
        <v>903</v>
      </c>
      <c r="C413" s="20" t="s">
        <v>259</v>
      </c>
      <c r="D413" s="20" t="s">
        <v>230</v>
      </c>
      <c r="E413" s="20" t="s">
        <v>377</v>
      </c>
      <c r="F413" s="20"/>
      <c r="G413" s="26">
        <f>G414</f>
        <v>335</v>
      </c>
      <c r="H413" s="179"/>
    </row>
    <row r="414" spans="1:8" ht="31.5" x14ac:dyDescent="0.25">
      <c r="A414" s="25" t="s">
        <v>172</v>
      </c>
      <c r="B414" s="16">
        <v>903</v>
      </c>
      <c r="C414" s="20" t="s">
        <v>259</v>
      </c>
      <c r="D414" s="20" t="s">
        <v>230</v>
      </c>
      <c r="E414" s="20" t="s">
        <v>378</v>
      </c>
      <c r="F414" s="20"/>
      <c r="G414" s="26">
        <f>G415</f>
        <v>335</v>
      </c>
      <c r="H414" s="179"/>
    </row>
    <row r="415" spans="1:8" ht="31.5" x14ac:dyDescent="0.25">
      <c r="A415" s="25" t="s">
        <v>263</v>
      </c>
      <c r="B415" s="16">
        <v>903</v>
      </c>
      <c r="C415" s="20" t="s">
        <v>259</v>
      </c>
      <c r="D415" s="20" t="s">
        <v>230</v>
      </c>
      <c r="E415" s="20" t="s">
        <v>378</v>
      </c>
      <c r="F415" s="20" t="s">
        <v>264</v>
      </c>
      <c r="G415" s="26">
        <f>G416</f>
        <v>335</v>
      </c>
      <c r="H415" s="179"/>
    </row>
    <row r="416" spans="1:8" ht="31.5" x14ac:dyDescent="0.25">
      <c r="A416" s="25" t="s">
        <v>363</v>
      </c>
      <c r="B416" s="16">
        <v>903</v>
      </c>
      <c r="C416" s="20" t="s">
        <v>259</v>
      </c>
      <c r="D416" s="20" t="s">
        <v>230</v>
      </c>
      <c r="E416" s="20" t="s">
        <v>378</v>
      </c>
      <c r="F416" s="20" t="s">
        <v>364</v>
      </c>
      <c r="G416" s="26">
        <f>400-65</f>
        <v>335</v>
      </c>
      <c r="H416" s="179"/>
    </row>
    <row r="417" spans="1:8" ht="63" x14ac:dyDescent="0.25">
      <c r="A417" s="25" t="s">
        <v>379</v>
      </c>
      <c r="B417" s="16">
        <v>903</v>
      </c>
      <c r="C417" s="20" t="s">
        <v>259</v>
      </c>
      <c r="D417" s="20" t="s">
        <v>230</v>
      </c>
      <c r="E417" s="20" t="s">
        <v>380</v>
      </c>
      <c r="F417" s="20"/>
      <c r="G417" s="26">
        <f>G418</f>
        <v>210</v>
      </c>
      <c r="H417" s="179"/>
    </row>
    <row r="418" spans="1:8" ht="31.5" x14ac:dyDescent="0.25">
      <c r="A418" s="25" t="s">
        <v>172</v>
      </c>
      <c r="B418" s="16">
        <v>903</v>
      </c>
      <c r="C418" s="20" t="s">
        <v>259</v>
      </c>
      <c r="D418" s="20" t="s">
        <v>230</v>
      </c>
      <c r="E418" s="20" t="s">
        <v>381</v>
      </c>
      <c r="F418" s="20"/>
      <c r="G418" s="26">
        <f>G419</f>
        <v>210</v>
      </c>
      <c r="H418" s="179"/>
    </row>
    <row r="419" spans="1:8" ht="31.5" x14ac:dyDescent="0.25">
      <c r="A419" s="25" t="s">
        <v>146</v>
      </c>
      <c r="B419" s="16">
        <v>903</v>
      </c>
      <c r="C419" s="20" t="s">
        <v>259</v>
      </c>
      <c r="D419" s="20" t="s">
        <v>230</v>
      </c>
      <c r="E419" s="20" t="s">
        <v>381</v>
      </c>
      <c r="F419" s="20" t="s">
        <v>147</v>
      </c>
      <c r="G419" s="26">
        <f>G420</f>
        <v>210</v>
      </c>
      <c r="H419" s="179"/>
    </row>
    <row r="420" spans="1:8" ht="47.25" x14ac:dyDescent="0.25">
      <c r="A420" s="25" t="s">
        <v>148</v>
      </c>
      <c r="B420" s="16">
        <v>903</v>
      </c>
      <c r="C420" s="20" t="s">
        <v>259</v>
      </c>
      <c r="D420" s="20" t="s">
        <v>230</v>
      </c>
      <c r="E420" s="20" t="s">
        <v>381</v>
      </c>
      <c r="F420" s="20" t="s">
        <v>149</v>
      </c>
      <c r="G420" s="26">
        <f>150+60</f>
        <v>210</v>
      </c>
      <c r="H420" s="179"/>
    </row>
    <row r="421" spans="1:8" ht="63" x14ac:dyDescent="0.25">
      <c r="A421" s="25" t="s">
        <v>382</v>
      </c>
      <c r="B421" s="16">
        <v>903</v>
      </c>
      <c r="C421" s="20" t="s">
        <v>259</v>
      </c>
      <c r="D421" s="20" t="s">
        <v>230</v>
      </c>
      <c r="E421" s="20" t="s">
        <v>383</v>
      </c>
      <c r="F421" s="20"/>
      <c r="G421" s="26">
        <f>G422+G434+G428+G431</f>
        <v>30</v>
      </c>
      <c r="H421" s="179"/>
    </row>
    <row r="422" spans="1:8" ht="47.25" customHeight="1" x14ac:dyDescent="0.25">
      <c r="A422" s="25" t="s">
        <v>384</v>
      </c>
      <c r="B422" s="16">
        <v>903</v>
      </c>
      <c r="C422" s="20" t="s">
        <v>259</v>
      </c>
      <c r="D422" s="20" t="s">
        <v>230</v>
      </c>
      <c r="E422" s="20" t="s">
        <v>385</v>
      </c>
      <c r="F422" s="20"/>
      <c r="G422" s="26">
        <f>G423</f>
        <v>20</v>
      </c>
      <c r="H422" s="179"/>
    </row>
    <row r="423" spans="1:8" ht="47.25" x14ac:dyDescent="0.25">
      <c r="A423" s="25" t="s">
        <v>287</v>
      </c>
      <c r="B423" s="16">
        <v>903</v>
      </c>
      <c r="C423" s="20" t="s">
        <v>259</v>
      </c>
      <c r="D423" s="20" t="s">
        <v>230</v>
      </c>
      <c r="E423" s="20" t="s">
        <v>385</v>
      </c>
      <c r="F423" s="20" t="s">
        <v>288</v>
      </c>
      <c r="G423" s="26">
        <f>G424</f>
        <v>20</v>
      </c>
      <c r="H423" s="179"/>
    </row>
    <row r="424" spans="1:8" ht="63" x14ac:dyDescent="0.25">
      <c r="A424" s="39" t="s">
        <v>386</v>
      </c>
      <c r="B424" s="16">
        <v>903</v>
      </c>
      <c r="C424" s="20" t="s">
        <v>259</v>
      </c>
      <c r="D424" s="20" t="s">
        <v>230</v>
      </c>
      <c r="E424" s="20" t="s">
        <v>385</v>
      </c>
      <c r="F424" s="20" t="s">
        <v>387</v>
      </c>
      <c r="G424" s="26">
        <f>30-10</f>
        <v>20</v>
      </c>
      <c r="H424" s="108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10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10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10"/>
    </row>
    <row r="428" spans="1:8" ht="126" hidden="1" x14ac:dyDescent="0.25">
      <c r="A428" s="25" t="s">
        <v>388</v>
      </c>
      <c r="B428" s="16">
        <v>903</v>
      </c>
      <c r="C428" s="20" t="s">
        <v>259</v>
      </c>
      <c r="D428" s="20" t="s">
        <v>230</v>
      </c>
      <c r="E428" s="20" t="s">
        <v>389</v>
      </c>
      <c r="F428" s="20"/>
      <c r="G428" s="26">
        <f>G429</f>
        <v>0</v>
      </c>
      <c r="H428" s="179"/>
    </row>
    <row r="429" spans="1:8" ht="15.75" hidden="1" x14ac:dyDescent="0.25">
      <c r="A429" s="25" t="s">
        <v>150</v>
      </c>
      <c r="B429" s="16">
        <v>903</v>
      </c>
      <c r="C429" s="20" t="s">
        <v>259</v>
      </c>
      <c r="D429" s="20" t="s">
        <v>230</v>
      </c>
      <c r="E429" s="20" t="s">
        <v>389</v>
      </c>
      <c r="F429" s="20" t="s">
        <v>160</v>
      </c>
      <c r="G429" s="26">
        <f>G430</f>
        <v>0</v>
      </c>
      <c r="H429" s="179"/>
    </row>
    <row r="430" spans="1:8" ht="63" hidden="1" x14ac:dyDescent="0.25">
      <c r="A430" s="25" t="s">
        <v>199</v>
      </c>
      <c r="B430" s="16">
        <v>903</v>
      </c>
      <c r="C430" s="20" t="s">
        <v>259</v>
      </c>
      <c r="D430" s="20" t="s">
        <v>230</v>
      </c>
      <c r="E430" s="20" t="s">
        <v>389</v>
      </c>
      <c r="F430" s="20" t="s">
        <v>175</v>
      </c>
      <c r="G430" s="26">
        <v>0</v>
      </c>
      <c r="H430" s="179"/>
    </row>
    <row r="431" spans="1:8" ht="63" x14ac:dyDescent="0.25">
      <c r="A431" s="25" t="s">
        <v>390</v>
      </c>
      <c r="B431" s="16">
        <v>903</v>
      </c>
      <c r="C431" s="20" t="s">
        <v>259</v>
      </c>
      <c r="D431" s="20" t="s">
        <v>230</v>
      </c>
      <c r="E431" s="20" t="s">
        <v>391</v>
      </c>
      <c r="F431" s="20"/>
      <c r="G431" s="26">
        <f>G432</f>
        <v>10</v>
      </c>
      <c r="H431" s="179"/>
    </row>
    <row r="432" spans="1:8" ht="31.5" x14ac:dyDescent="0.25">
      <c r="A432" s="25" t="s">
        <v>263</v>
      </c>
      <c r="B432" s="16">
        <v>903</v>
      </c>
      <c r="C432" s="20" t="s">
        <v>259</v>
      </c>
      <c r="D432" s="20" t="s">
        <v>230</v>
      </c>
      <c r="E432" s="20" t="s">
        <v>391</v>
      </c>
      <c r="F432" s="20" t="s">
        <v>264</v>
      </c>
      <c r="G432" s="26">
        <f>G433</f>
        <v>10</v>
      </c>
      <c r="H432" s="179"/>
    </row>
    <row r="433" spans="1:10" ht="31.5" x14ac:dyDescent="0.25">
      <c r="A433" s="25" t="s">
        <v>265</v>
      </c>
      <c r="B433" s="16">
        <v>903</v>
      </c>
      <c r="C433" s="20" t="s">
        <v>259</v>
      </c>
      <c r="D433" s="20" t="s">
        <v>230</v>
      </c>
      <c r="E433" s="20" t="s">
        <v>391</v>
      </c>
      <c r="F433" s="20" t="s">
        <v>266</v>
      </c>
      <c r="G433" s="26">
        <v>10</v>
      </c>
      <c r="H433" s="108"/>
    </row>
    <row r="434" spans="1:10" ht="31.5" hidden="1" x14ac:dyDescent="0.25">
      <c r="A434" s="25" t="s">
        <v>392</v>
      </c>
      <c r="B434" s="16">
        <v>903</v>
      </c>
      <c r="C434" s="20" t="s">
        <v>259</v>
      </c>
      <c r="D434" s="20" t="s">
        <v>230</v>
      </c>
      <c r="E434" s="20" t="s">
        <v>393</v>
      </c>
      <c r="F434" s="20"/>
      <c r="G434" s="26">
        <f>G435+G437</f>
        <v>0</v>
      </c>
      <c r="H434" s="179"/>
    </row>
    <row r="435" spans="1:10" ht="31.5" hidden="1" x14ac:dyDescent="0.25">
      <c r="A435" s="25" t="s">
        <v>146</v>
      </c>
      <c r="B435" s="16">
        <v>903</v>
      </c>
      <c r="C435" s="20" t="s">
        <v>259</v>
      </c>
      <c r="D435" s="20" t="s">
        <v>230</v>
      </c>
      <c r="E435" s="20" t="s">
        <v>393</v>
      </c>
      <c r="F435" s="20" t="s">
        <v>147</v>
      </c>
      <c r="G435" s="26">
        <f>G436</f>
        <v>0</v>
      </c>
      <c r="H435" s="179"/>
    </row>
    <row r="436" spans="1:10" ht="47.25" hidden="1" x14ac:dyDescent="0.25">
      <c r="A436" s="25" t="s">
        <v>148</v>
      </c>
      <c r="B436" s="16">
        <v>903</v>
      </c>
      <c r="C436" s="20" t="s">
        <v>259</v>
      </c>
      <c r="D436" s="20" t="s">
        <v>230</v>
      </c>
      <c r="E436" s="20" t="s">
        <v>393</v>
      </c>
      <c r="F436" s="20" t="s">
        <v>149</v>
      </c>
      <c r="G436" s="26">
        <v>0</v>
      </c>
      <c r="H436" s="179"/>
    </row>
    <row r="437" spans="1:10" ht="15.75" hidden="1" x14ac:dyDescent="0.25">
      <c r="A437" s="25" t="s">
        <v>150</v>
      </c>
      <c r="B437" s="16">
        <v>903</v>
      </c>
      <c r="C437" s="20" t="s">
        <v>259</v>
      </c>
      <c r="D437" s="20" t="s">
        <v>230</v>
      </c>
      <c r="E437" s="20" t="s">
        <v>394</v>
      </c>
      <c r="F437" s="20" t="s">
        <v>160</v>
      </c>
      <c r="G437" s="26">
        <f>G438</f>
        <v>0</v>
      </c>
      <c r="H437" s="179"/>
    </row>
    <row r="438" spans="1:10" ht="63" hidden="1" x14ac:dyDescent="0.25">
      <c r="A438" s="25" t="s">
        <v>199</v>
      </c>
      <c r="B438" s="16">
        <v>903</v>
      </c>
      <c r="C438" s="20" t="s">
        <v>259</v>
      </c>
      <c r="D438" s="20" t="s">
        <v>230</v>
      </c>
      <c r="E438" s="20" t="s">
        <v>394</v>
      </c>
      <c r="F438" s="20" t="s">
        <v>175</v>
      </c>
      <c r="G438" s="26">
        <v>0</v>
      </c>
      <c r="H438" s="179"/>
    </row>
    <row r="439" spans="1:10" ht="94.5" x14ac:dyDescent="0.25">
      <c r="A439" s="29" t="s">
        <v>395</v>
      </c>
      <c r="B439" s="16">
        <v>903</v>
      </c>
      <c r="C439" s="40" t="s">
        <v>259</v>
      </c>
      <c r="D439" s="40" t="s">
        <v>230</v>
      </c>
      <c r="E439" s="40" t="s">
        <v>396</v>
      </c>
      <c r="F439" s="40"/>
      <c r="G439" s="26">
        <f>G440</f>
        <v>105</v>
      </c>
      <c r="H439" s="179"/>
    </row>
    <row r="440" spans="1:10" ht="31.5" x14ac:dyDescent="0.25">
      <c r="A440" s="29" t="s">
        <v>172</v>
      </c>
      <c r="B440" s="16">
        <v>903</v>
      </c>
      <c r="C440" s="40" t="s">
        <v>259</v>
      </c>
      <c r="D440" s="40" t="s">
        <v>230</v>
      </c>
      <c r="E440" s="40" t="s">
        <v>397</v>
      </c>
      <c r="F440" s="40"/>
      <c r="G440" s="26">
        <f>G441</f>
        <v>105</v>
      </c>
      <c r="H440" s="179"/>
    </row>
    <row r="441" spans="1:10" ht="31.5" x14ac:dyDescent="0.25">
      <c r="A441" s="29" t="s">
        <v>146</v>
      </c>
      <c r="B441" s="16">
        <v>903</v>
      </c>
      <c r="C441" s="40" t="s">
        <v>259</v>
      </c>
      <c r="D441" s="40" t="s">
        <v>230</v>
      </c>
      <c r="E441" s="40" t="s">
        <v>397</v>
      </c>
      <c r="F441" s="40" t="s">
        <v>147</v>
      </c>
      <c r="G441" s="26">
        <f>G442</f>
        <v>105</v>
      </c>
      <c r="H441" s="179"/>
    </row>
    <row r="442" spans="1:10" ht="47.25" x14ac:dyDescent="0.25">
      <c r="A442" s="29" t="s">
        <v>148</v>
      </c>
      <c r="B442" s="16">
        <v>903</v>
      </c>
      <c r="C442" s="40" t="s">
        <v>259</v>
      </c>
      <c r="D442" s="40" t="s">
        <v>230</v>
      </c>
      <c r="E442" s="40" t="s">
        <v>397</v>
      </c>
      <c r="F442" s="40" t="s">
        <v>149</v>
      </c>
      <c r="G442" s="26">
        <f>50+55</f>
        <v>105</v>
      </c>
      <c r="H442" s="179"/>
    </row>
    <row r="443" spans="1:10" ht="15.75" x14ac:dyDescent="0.25">
      <c r="A443" s="25" t="s">
        <v>136</v>
      </c>
      <c r="B443" s="16">
        <v>903</v>
      </c>
      <c r="C443" s="20" t="s">
        <v>259</v>
      </c>
      <c r="D443" s="20" t="s">
        <v>230</v>
      </c>
      <c r="E443" s="20" t="s">
        <v>137</v>
      </c>
      <c r="F443" s="20"/>
      <c r="G443" s="26">
        <f>G444+G455</f>
        <v>932</v>
      </c>
      <c r="H443" s="179"/>
    </row>
    <row r="444" spans="1:10" ht="31.5" x14ac:dyDescent="0.25">
      <c r="A444" s="25" t="s">
        <v>200</v>
      </c>
      <c r="B444" s="16">
        <v>903</v>
      </c>
      <c r="C444" s="20" t="s">
        <v>259</v>
      </c>
      <c r="D444" s="20" t="s">
        <v>230</v>
      </c>
      <c r="E444" s="20" t="s">
        <v>201</v>
      </c>
      <c r="F444" s="20"/>
      <c r="G444" s="26">
        <f>G451+G445+G448</f>
        <v>932</v>
      </c>
      <c r="H444" s="179"/>
    </row>
    <row r="445" spans="1:10" ht="15.75" x14ac:dyDescent="0.25">
      <c r="A445" s="25" t="s">
        <v>398</v>
      </c>
      <c r="B445" s="16">
        <v>903</v>
      </c>
      <c r="C445" s="20" t="s">
        <v>259</v>
      </c>
      <c r="D445" s="20" t="s">
        <v>230</v>
      </c>
      <c r="E445" s="20" t="s">
        <v>399</v>
      </c>
      <c r="F445" s="20"/>
      <c r="G445" s="26">
        <f>G446</f>
        <v>372.6</v>
      </c>
      <c r="H445" s="179"/>
    </row>
    <row r="446" spans="1:10" ht="31.5" x14ac:dyDescent="0.25">
      <c r="A446" s="25" t="s">
        <v>263</v>
      </c>
      <c r="B446" s="16">
        <v>903</v>
      </c>
      <c r="C446" s="20" t="s">
        <v>259</v>
      </c>
      <c r="D446" s="20" t="s">
        <v>230</v>
      </c>
      <c r="E446" s="20" t="s">
        <v>399</v>
      </c>
      <c r="F446" s="20" t="s">
        <v>264</v>
      </c>
      <c r="G446" s="26">
        <f>G447</f>
        <v>372.6</v>
      </c>
      <c r="H446" s="179"/>
    </row>
    <row r="447" spans="1:10" ht="31.5" x14ac:dyDescent="0.25">
      <c r="A447" s="25" t="s">
        <v>265</v>
      </c>
      <c r="B447" s="16">
        <v>903</v>
      </c>
      <c r="C447" s="20" t="s">
        <v>259</v>
      </c>
      <c r="D447" s="20" t="s">
        <v>230</v>
      </c>
      <c r="E447" s="20" t="s">
        <v>399</v>
      </c>
      <c r="F447" s="20" t="s">
        <v>266</v>
      </c>
      <c r="G447" s="26">
        <v>372.6</v>
      </c>
      <c r="H447" s="108"/>
      <c r="I447" s="126"/>
    </row>
    <row r="448" spans="1:10" ht="63" x14ac:dyDescent="0.25">
      <c r="A448" s="25" t="s">
        <v>390</v>
      </c>
      <c r="B448" s="16">
        <v>903</v>
      </c>
      <c r="C448" s="20" t="s">
        <v>259</v>
      </c>
      <c r="D448" s="20" t="s">
        <v>230</v>
      </c>
      <c r="E448" s="20" t="s">
        <v>400</v>
      </c>
      <c r="F448" s="20"/>
      <c r="G448" s="26">
        <f>G449</f>
        <v>500</v>
      </c>
      <c r="H448" s="179"/>
      <c r="J448" s="111"/>
    </row>
    <row r="449" spans="1:10" ht="31.5" x14ac:dyDescent="0.25">
      <c r="A449" s="25" t="s">
        <v>263</v>
      </c>
      <c r="B449" s="16">
        <v>903</v>
      </c>
      <c r="C449" s="20" t="s">
        <v>259</v>
      </c>
      <c r="D449" s="20" t="s">
        <v>230</v>
      </c>
      <c r="E449" s="20" t="s">
        <v>400</v>
      </c>
      <c r="F449" s="20" t="s">
        <v>264</v>
      </c>
      <c r="G449" s="26">
        <f>G450</f>
        <v>500</v>
      </c>
      <c r="H449" s="179"/>
      <c r="J449" s="111"/>
    </row>
    <row r="450" spans="1:10" ht="31.5" x14ac:dyDescent="0.25">
      <c r="A450" s="25" t="s">
        <v>265</v>
      </c>
      <c r="B450" s="16">
        <v>903</v>
      </c>
      <c r="C450" s="20" t="s">
        <v>259</v>
      </c>
      <c r="D450" s="20" t="s">
        <v>230</v>
      </c>
      <c r="E450" s="20" t="s">
        <v>400</v>
      </c>
      <c r="F450" s="20" t="s">
        <v>266</v>
      </c>
      <c r="G450" s="26">
        <v>500</v>
      </c>
      <c r="H450" s="108"/>
      <c r="J450" s="111"/>
    </row>
    <row r="451" spans="1:10" ht="54" customHeight="1" x14ac:dyDescent="0.25">
      <c r="A451" s="166" t="s">
        <v>758</v>
      </c>
      <c r="B451" s="16">
        <v>903</v>
      </c>
      <c r="C451" s="20" t="s">
        <v>259</v>
      </c>
      <c r="D451" s="20" t="s">
        <v>230</v>
      </c>
      <c r="E451" s="20" t="s">
        <v>401</v>
      </c>
      <c r="F451" s="20"/>
      <c r="G451" s="26">
        <f>G452</f>
        <v>59.4</v>
      </c>
      <c r="H451" s="179"/>
      <c r="J451" s="111"/>
    </row>
    <row r="452" spans="1:10" ht="31.5" x14ac:dyDescent="0.25">
      <c r="A452" s="25" t="s">
        <v>263</v>
      </c>
      <c r="B452" s="16">
        <v>903</v>
      </c>
      <c r="C452" s="20" t="s">
        <v>259</v>
      </c>
      <c r="D452" s="20" t="s">
        <v>230</v>
      </c>
      <c r="E452" s="20" t="s">
        <v>401</v>
      </c>
      <c r="F452" s="20" t="s">
        <v>264</v>
      </c>
      <c r="G452" s="26">
        <f>G453+G454</f>
        <v>59.4</v>
      </c>
      <c r="H452" s="179"/>
      <c r="J452" s="111"/>
    </row>
    <row r="453" spans="1:10" ht="31.5" x14ac:dyDescent="0.25">
      <c r="A453" s="25" t="s">
        <v>363</v>
      </c>
      <c r="B453" s="16">
        <v>903</v>
      </c>
      <c r="C453" s="20" t="s">
        <v>259</v>
      </c>
      <c r="D453" s="20" t="s">
        <v>230</v>
      </c>
      <c r="E453" s="20" t="s">
        <v>401</v>
      </c>
      <c r="F453" s="20" t="s">
        <v>364</v>
      </c>
      <c r="G453" s="164">
        <v>59.4</v>
      </c>
      <c r="H453" s="159" t="s">
        <v>748</v>
      </c>
      <c r="J453" s="111"/>
    </row>
    <row r="454" spans="1:10" ht="31.5" x14ac:dyDescent="0.25">
      <c r="A454" s="25" t="s">
        <v>265</v>
      </c>
      <c r="B454" s="16">
        <v>903</v>
      </c>
      <c r="C454" s="20" t="s">
        <v>259</v>
      </c>
      <c r="D454" s="20" t="s">
        <v>230</v>
      </c>
      <c r="E454" s="20" t="s">
        <v>401</v>
      </c>
      <c r="F454" s="20" t="s">
        <v>266</v>
      </c>
      <c r="G454" s="26"/>
      <c r="H454" s="179"/>
    </row>
    <row r="455" spans="1:10" ht="15.75" x14ac:dyDescent="0.25">
      <c r="A455" s="25" t="s">
        <v>156</v>
      </c>
      <c r="B455" s="16">
        <v>903</v>
      </c>
      <c r="C455" s="20" t="s">
        <v>259</v>
      </c>
      <c r="D455" s="20" t="s">
        <v>230</v>
      </c>
      <c r="E455" s="20" t="s">
        <v>157</v>
      </c>
      <c r="F455" s="20"/>
      <c r="G455" s="26">
        <f>G456</f>
        <v>0</v>
      </c>
      <c r="H455" s="179"/>
    </row>
    <row r="456" spans="1:10" ht="15.75" x14ac:dyDescent="0.25">
      <c r="A456" s="25" t="s">
        <v>216</v>
      </c>
      <c r="B456" s="16">
        <v>903</v>
      </c>
      <c r="C456" s="20" t="s">
        <v>259</v>
      </c>
      <c r="D456" s="20" t="s">
        <v>230</v>
      </c>
      <c r="E456" s="20" t="s">
        <v>217</v>
      </c>
      <c r="F456" s="20"/>
      <c r="G456" s="26">
        <f>G457</f>
        <v>0</v>
      </c>
      <c r="H456" s="179"/>
    </row>
    <row r="457" spans="1:10" ht="31.5" x14ac:dyDescent="0.25">
      <c r="A457" s="25" t="s">
        <v>263</v>
      </c>
      <c r="B457" s="16">
        <v>903</v>
      </c>
      <c r="C457" s="20" t="s">
        <v>259</v>
      </c>
      <c r="D457" s="20" t="s">
        <v>230</v>
      </c>
      <c r="E457" s="20" t="s">
        <v>217</v>
      </c>
      <c r="F457" s="20" t="s">
        <v>264</v>
      </c>
      <c r="G457" s="26">
        <f>G458</f>
        <v>0</v>
      </c>
      <c r="H457" s="179"/>
    </row>
    <row r="458" spans="1:10" ht="31.5" x14ac:dyDescent="0.25">
      <c r="A458" s="25" t="s">
        <v>363</v>
      </c>
      <c r="B458" s="16">
        <v>903</v>
      </c>
      <c r="C458" s="20" t="s">
        <v>259</v>
      </c>
      <c r="D458" s="20" t="s">
        <v>230</v>
      </c>
      <c r="E458" s="20" t="s">
        <v>217</v>
      </c>
      <c r="F458" s="20" t="s">
        <v>364</v>
      </c>
      <c r="G458" s="26">
        <v>0</v>
      </c>
      <c r="H458" s="179"/>
    </row>
    <row r="459" spans="1:10" ht="47.25" x14ac:dyDescent="0.25">
      <c r="A459" s="19" t="s">
        <v>402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9"/>
    </row>
    <row r="460" spans="1:10" ht="15.75" x14ac:dyDescent="0.25">
      <c r="A460" s="23" t="s">
        <v>132</v>
      </c>
      <c r="B460" s="19">
        <v>905</v>
      </c>
      <c r="C460" s="24" t="s">
        <v>133</v>
      </c>
      <c r="D460" s="20"/>
      <c r="E460" s="20"/>
      <c r="F460" s="20"/>
      <c r="G460" s="21">
        <f>G461+G471</f>
        <v>14701.94</v>
      </c>
      <c r="H460" s="179"/>
    </row>
    <row r="461" spans="1:10" ht="78.75" x14ac:dyDescent="0.25">
      <c r="A461" s="23" t="s">
        <v>164</v>
      </c>
      <c r="B461" s="19">
        <v>905</v>
      </c>
      <c r="C461" s="24" t="s">
        <v>133</v>
      </c>
      <c r="D461" s="24" t="s">
        <v>165</v>
      </c>
      <c r="E461" s="24"/>
      <c r="F461" s="24"/>
      <c r="G461" s="21">
        <f>G462</f>
        <v>11089</v>
      </c>
      <c r="H461" s="179"/>
    </row>
    <row r="462" spans="1:10" ht="15.75" x14ac:dyDescent="0.25">
      <c r="A462" s="25" t="s">
        <v>136</v>
      </c>
      <c r="B462" s="16">
        <v>905</v>
      </c>
      <c r="C462" s="20" t="s">
        <v>133</v>
      </c>
      <c r="D462" s="20" t="s">
        <v>165</v>
      </c>
      <c r="E462" s="20" t="s">
        <v>137</v>
      </c>
      <c r="F462" s="20"/>
      <c r="G462" s="26">
        <f>G463</f>
        <v>11089</v>
      </c>
      <c r="H462" s="179"/>
    </row>
    <row r="463" spans="1:10" ht="31.5" x14ac:dyDescent="0.25">
      <c r="A463" s="25" t="s">
        <v>138</v>
      </c>
      <c r="B463" s="16">
        <v>905</v>
      </c>
      <c r="C463" s="20" t="s">
        <v>133</v>
      </c>
      <c r="D463" s="20" t="s">
        <v>165</v>
      </c>
      <c r="E463" s="20" t="s">
        <v>139</v>
      </c>
      <c r="F463" s="20"/>
      <c r="G463" s="26">
        <f>G464</f>
        <v>11089</v>
      </c>
      <c r="H463" s="179"/>
    </row>
    <row r="464" spans="1:10" ht="47.25" x14ac:dyDescent="0.25">
      <c r="A464" s="25" t="s">
        <v>140</v>
      </c>
      <c r="B464" s="16">
        <v>905</v>
      </c>
      <c r="C464" s="20" t="s">
        <v>133</v>
      </c>
      <c r="D464" s="20" t="s">
        <v>165</v>
      </c>
      <c r="E464" s="20" t="s">
        <v>141</v>
      </c>
      <c r="F464" s="20"/>
      <c r="G464" s="26">
        <f>G465+G467+G469</f>
        <v>11089</v>
      </c>
      <c r="H464" s="179"/>
    </row>
    <row r="465" spans="1:9" ht="94.5" x14ac:dyDescent="0.25">
      <c r="A465" s="25" t="s">
        <v>142</v>
      </c>
      <c r="B465" s="16">
        <v>905</v>
      </c>
      <c r="C465" s="20" t="s">
        <v>133</v>
      </c>
      <c r="D465" s="20" t="s">
        <v>165</v>
      </c>
      <c r="E465" s="20" t="s">
        <v>141</v>
      </c>
      <c r="F465" s="20" t="s">
        <v>143</v>
      </c>
      <c r="G465" s="26">
        <f>G466</f>
        <v>10200.700000000001</v>
      </c>
      <c r="H465" s="179"/>
    </row>
    <row r="466" spans="1:9" ht="31.5" x14ac:dyDescent="0.25">
      <c r="A466" s="25" t="s">
        <v>144</v>
      </c>
      <c r="B466" s="16">
        <v>905</v>
      </c>
      <c r="C466" s="20" t="s">
        <v>133</v>
      </c>
      <c r="D466" s="20" t="s">
        <v>165</v>
      </c>
      <c r="E466" s="20" t="s">
        <v>141</v>
      </c>
      <c r="F466" s="20" t="s">
        <v>145</v>
      </c>
      <c r="G466" s="27">
        <v>10200.700000000001</v>
      </c>
      <c r="H466" s="179"/>
    </row>
    <row r="467" spans="1:9" ht="31.5" x14ac:dyDescent="0.25">
      <c r="A467" s="25" t="s">
        <v>146</v>
      </c>
      <c r="B467" s="16">
        <v>905</v>
      </c>
      <c r="C467" s="20" t="s">
        <v>133</v>
      </c>
      <c r="D467" s="20" t="s">
        <v>165</v>
      </c>
      <c r="E467" s="20" t="s">
        <v>141</v>
      </c>
      <c r="F467" s="20" t="s">
        <v>147</v>
      </c>
      <c r="G467" s="26">
        <f>G468</f>
        <v>811.8</v>
      </c>
      <c r="H467" s="179"/>
    </row>
    <row r="468" spans="1:9" ht="47.25" x14ac:dyDescent="0.25">
      <c r="A468" s="25" t="s">
        <v>148</v>
      </c>
      <c r="B468" s="16">
        <v>905</v>
      </c>
      <c r="C468" s="20" t="s">
        <v>133</v>
      </c>
      <c r="D468" s="20" t="s">
        <v>165</v>
      </c>
      <c r="E468" s="20" t="s">
        <v>141</v>
      </c>
      <c r="F468" s="20" t="s">
        <v>149</v>
      </c>
      <c r="G468" s="158">
        <f>885.8-74</f>
        <v>811.8</v>
      </c>
      <c r="H468" s="159" t="s">
        <v>743</v>
      </c>
    </row>
    <row r="469" spans="1:9" ht="15.75" x14ac:dyDescent="0.25">
      <c r="A469" s="25" t="s">
        <v>150</v>
      </c>
      <c r="B469" s="16">
        <v>905</v>
      </c>
      <c r="C469" s="20" t="s">
        <v>133</v>
      </c>
      <c r="D469" s="20" t="s">
        <v>165</v>
      </c>
      <c r="E469" s="20" t="s">
        <v>141</v>
      </c>
      <c r="F469" s="20" t="s">
        <v>160</v>
      </c>
      <c r="G469" s="26">
        <f>G470</f>
        <v>76.5</v>
      </c>
      <c r="H469" s="179"/>
    </row>
    <row r="470" spans="1:9" ht="15.75" x14ac:dyDescent="0.25">
      <c r="A470" s="25" t="s">
        <v>583</v>
      </c>
      <c r="B470" s="16">
        <v>905</v>
      </c>
      <c r="C470" s="20" t="s">
        <v>133</v>
      </c>
      <c r="D470" s="20" t="s">
        <v>165</v>
      </c>
      <c r="E470" s="20" t="s">
        <v>141</v>
      </c>
      <c r="F470" s="20" t="s">
        <v>153</v>
      </c>
      <c r="G470" s="160">
        <f>2.5+74</f>
        <v>76.5</v>
      </c>
      <c r="H470" s="159" t="s">
        <v>744</v>
      </c>
    </row>
    <row r="471" spans="1:9" ht="15.75" x14ac:dyDescent="0.25">
      <c r="A471" s="23" t="s">
        <v>154</v>
      </c>
      <c r="B471" s="19">
        <v>905</v>
      </c>
      <c r="C471" s="24" t="s">
        <v>133</v>
      </c>
      <c r="D471" s="24" t="s">
        <v>155</v>
      </c>
      <c r="E471" s="24"/>
      <c r="F471" s="24"/>
      <c r="G471" s="21">
        <f>G472</f>
        <v>3612.94</v>
      </c>
      <c r="H471" s="179"/>
    </row>
    <row r="472" spans="1:9" ht="15.75" x14ac:dyDescent="0.25">
      <c r="A472" s="25" t="s">
        <v>136</v>
      </c>
      <c r="B472" s="16">
        <v>905</v>
      </c>
      <c r="C472" s="20" t="s">
        <v>133</v>
      </c>
      <c r="D472" s="20" t="s">
        <v>155</v>
      </c>
      <c r="E472" s="20" t="s">
        <v>137</v>
      </c>
      <c r="F472" s="20"/>
      <c r="G472" s="26">
        <f>G473</f>
        <v>3612.94</v>
      </c>
      <c r="H472" s="179"/>
    </row>
    <row r="473" spans="1:9" ht="15.75" x14ac:dyDescent="0.25">
      <c r="A473" s="25" t="s">
        <v>156</v>
      </c>
      <c r="B473" s="16">
        <v>905</v>
      </c>
      <c r="C473" s="20" t="s">
        <v>133</v>
      </c>
      <c r="D473" s="20" t="s">
        <v>155</v>
      </c>
      <c r="E473" s="20" t="s">
        <v>157</v>
      </c>
      <c r="F473" s="20"/>
      <c r="G473" s="26">
        <f>G474</f>
        <v>3612.94</v>
      </c>
      <c r="H473" s="179"/>
    </row>
    <row r="474" spans="1:9" ht="47.25" x14ac:dyDescent="0.25">
      <c r="A474" s="25" t="s">
        <v>403</v>
      </c>
      <c r="B474" s="16">
        <v>905</v>
      </c>
      <c r="C474" s="20" t="s">
        <v>133</v>
      </c>
      <c r="D474" s="20" t="s">
        <v>155</v>
      </c>
      <c r="E474" s="20" t="s">
        <v>404</v>
      </c>
      <c r="F474" s="20"/>
      <c r="G474" s="26">
        <f>G475</f>
        <v>3612.94</v>
      </c>
      <c r="H474" s="179"/>
    </row>
    <row r="475" spans="1:9" ht="31.5" x14ac:dyDescent="0.25">
      <c r="A475" s="25" t="s">
        <v>146</v>
      </c>
      <c r="B475" s="16">
        <v>905</v>
      </c>
      <c r="C475" s="20" t="s">
        <v>133</v>
      </c>
      <c r="D475" s="20" t="s">
        <v>155</v>
      </c>
      <c r="E475" s="20" t="s">
        <v>404</v>
      </c>
      <c r="F475" s="20" t="s">
        <v>147</v>
      </c>
      <c r="G475" s="26">
        <f>G476</f>
        <v>3612.94</v>
      </c>
      <c r="H475" s="179"/>
    </row>
    <row r="476" spans="1:9" ht="47.25" x14ac:dyDescent="0.25">
      <c r="A476" s="25" t="s">
        <v>148</v>
      </c>
      <c r="B476" s="16">
        <v>905</v>
      </c>
      <c r="C476" s="20" t="s">
        <v>133</v>
      </c>
      <c r="D476" s="20" t="s">
        <v>155</v>
      </c>
      <c r="E476" s="20" t="s">
        <v>404</v>
      </c>
      <c r="F476" s="20" t="s">
        <v>149</v>
      </c>
      <c r="G476" s="164">
        <f>1961.14+1251.8+400</f>
        <v>3612.94</v>
      </c>
      <c r="H476" s="108" t="s">
        <v>761</v>
      </c>
      <c r="I476" s="126"/>
    </row>
    <row r="477" spans="1:9" ht="15.75" x14ac:dyDescent="0.25">
      <c r="A477" s="41" t="s">
        <v>405</v>
      </c>
      <c r="B477" s="19">
        <v>905</v>
      </c>
      <c r="C477" s="24" t="s">
        <v>249</v>
      </c>
      <c r="D477" s="24"/>
      <c r="E477" s="24"/>
      <c r="F477" s="24"/>
      <c r="G477" s="21">
        <f>G478</f>
        <v>1099.8</v>
      </c>
      <c r="H477" s="179"/>
    </row>
    <row r="478" spans="1:9" ht="15.75" x14ac:dyDescent="0.25">
      <c r="A478" s="41" t="s">
        <v>406</v>
      </c>
      <c r="B478" s="19">
        <v>905</v>
      </c>
      <c r="C478" s="24" t="s">
        <v>249</v>
      </c>
      <c r="D478" s="24" t="s">
        <v>133</v>
      </c>
      <c r="E478" s="24"/>
      <c r="F478" s="24"/>
      <c r="G478" s="26">
        <f>G479</f>
        <v>1099.8</v>
      </c>
      <c r="H478" s="179"/>
    </row>
    <row r="479" spans="1:9" ht="15.75" x14ac:dyDescent="0.25">
      <c r="A479" s="29" t="s">
        <v>136</v>
      </c>
      <c r="B479" s="16">
        <v>905</v>
      </c>
      <c r="C479" s="20" t="s">
        <v>249</v>
      </c>
      <c r="D479" s="20" t="s">
        <v>133</v>
      </c>
      <c r="E479" s="20" t="s">
        <v>137</v>
      </c>
      <c r="F479" s="20"/>
      <c r="G479" s="26">
        <f>G485+G480</f>
        <v>1099.8</v>
      </c>
      <c r="H479" s="179"/>
    </row>
    <row r="480" spans="1:9" ht="31.5" hidden="1" x14ac:dyDescent="0.25">
      <c r="A480" s="25" t="s">
        <v>200</v>
      </c>
      <c r="B480" s="37">
        <v>905</v>
      </c>
      <c r="C480" s="20" t="s">
        <v>249</v>
      </c>
      <c r="D480" s="20" t="s">
        <v>133</v>
      </c>
      <c r="E480" s="20" t="s">
        <v>201</v>
      </c>
      <c r="F480" s="20"/>
      <c r="G480" s="26">
        <f>G481</f>
        <v>0</v>
      </c>
      <c r="H480" s="179"/>
    </row>
    <row r="481" spans="1:9" ht="47.25" hidden="1" x14ac:dyDescent="0.25">
      <c r="A481" s="36" t="s">
        <v>407</v>
      </c>
      <c r="B481" s="37">
        <v>905</v>
      </c>
      <c r="C481" s="20" t="s">
        <v>249</v>
      </c>
      <c r="D481" s="20" t="s">
        <v>133</v>
      </c>
      <c r="E481" s="20" t="s">
        <v>408</v>
      </c>
      <c r="F481" s="20"/>
      <c r="G481" s="26">
        <f>G482</f>
        <v>0</v>
      </c>
      <c r="H481" s="179"/>
    </row>
    <row r="482" spans="1:9" ht="31.5" hidden="1" x14ac:dyDescent="0.25">
      <c r="A482" s="42" t="s">
        <v>409</v>
      </c>
      <c r="B482" s="37">
        <v>905</v>
      </c>
      <c r="C482" s="20" t="s">
        <v>249</v>
      </c>
      <c r="D482" s="20" t="s">
        <v>133</v>
      </c>
      <c r="E482" s="20" t="s">
        <v>410</v>
      </c>
      <c r="F482" s="20"/>
      <c r="G482" s="26">
        <f>G483</f>
        <v>0</v>
      </c>
      <c r="H482" s="179"/>
    </row>
    <row r="483" spans="1:9" ht="31.5" hidden="1" x14ac:dyDescent="0.25">
      <c r="A483" s="25" t="s">
        <v>146</v>
      </c>
      <c r="B483" s="16">
        <v>905</v>
      </c>
      <c r="C483" s="20" t="s">
        <v>249</v>
      </c>
      <c r="D483" s="20" t="s">
        <v>133</v>
      </c>
      <c r="E483" s="20" t="s">
        <v>410</v>
      </c>
      <c r="F483" s="20" t="s">
        <v>147</v>
      </c>
      <c r="G483" s="26">
        <f>G484</f>
        <v>0</v>
      </c>
      <c r="H483" s="179"/>
    </row>
    <row r="484" spans="1:9" ht="47.25" hidden="1" x14ac:dyDescent="0.25">
      <c r="A484" s="25" t="s">
        <v>148</v>
      </c>
      <c r="B484" s="16">
        <v>905</v>
      </c>
      <c r="C484" s="20" t="s">
        <v>249</v>
      </c>
      <c r="D484" s="20" t="s">
        <v>133</v>
      </c>
      <c r="E484" s="20" t="s">
        <v>410</v>
      </c>
      <c r="F484" s="20" t="s">
        <v>149</v>
      </c>
      <c r="G484" s="26"/>
      <c r="H484" s="179"/>
    </row>
    <row r="485" spans="1:9" ht="15.75" x14ac:dyDescent="0.25">
      <c r="A485" s="29" t="s">
        <v>156</v>
      </c>
      <c r="B485" s="16">
        <v>905</v>
      </c>
      <c r="C485" s="20" t="s">
        <v>249</v>
      </c>
      <c r="D485" s="20" t="s">
        <v>133</v>
      </c>
      <c r="E485" s="20" t="s">
        <v>157</v>
      </c>
      <c r="F485" s="20"/>
      <c r="G485" s="26">
        <f>G486+G489</f>
        <v>1099.8</v>
      </c>
      <c r="H485" s="179"/>
    </row>
    <row r="486" spans="1:9" ht="31.5" x14ac:dyDescent="0.25">
      <c r="A486" s="29" t="s">
        <v>413</v>
      </c>
      <c r="B486" s="16">
        <v>905</v>
      </c>
      <c r="C486" s="20" t="s">
        <v>249</v>
      </c>
      <c r="D486" s="20" t="s">
        <v>133</v>
      </c>
      <c r="E486" s="20" t="s">
        <v>414</v>
      </c>
      <c r="F486" s="20"/>
      <c r="G486" s="26">
        <f>G487</f>
        <v>260.8</v>
      </c>
      <c r="H486" s="179"/>
    </row>
    <row r="487" spans="1:9" ht="31.5" x14ac:dyDescent="0.25">
      <c r="A487" s="25" t="s">
        <v>146</v>
      </c>
      <c r="B487" s="16">
        <v>905</v>
      </c>
      <c r="C487" s="20" t="s">
        <v>249</v>
      </c>
      <c r="D487" s="20" t="s">
        <v>133</v>
      </c>
      <c r="E487" s="20" t="s">
        <v>414</v>
      </c>
      <c r="F487" s="20" t="s">
        <v>147</v>
      </c>
      <c r="G487" s="26">
        <f>G488</f>
        <v>260.8</v>
      </c>
      <c r="H487" s="179"/>
    </row>
    <row r="488" spans="1:9" ht="47.25" x14ac:dyDescent="0.25">
      <c r="A488" s="25" t="s">
        <v>148</v>
      </c>
      <c r="B488" s="16">
        <v>905</v>
      </c>
      <c r="C488" s="20" t="s">
        <v>249</v>
      </c>
      <c r="D488" s="20" t="s">
        <v>133</v>
      </c>
      <c r="E488" s="20" t="s">
        <v>414</v>
      </c>
      <c r="F488" s="20" t="s">
        <v>149</v>
      </c>
      <c r="G488" s="26">
        <v>260.8</v>
      </c>
      <c r="H488" s="179"/>
    </row>
    <row r="489" spans="1:9" ht="15.75" x14ac:dyDescent="0.25">
      <c r="A489" s="29" t="s">
        <v>411</v>
      </c>
      <c r="B489" s="16">
        <v>905</v>
      </c>
      <c r="C489" s="20" t="s">
        <v>249</v>
      </c>
      <c r="D489" s="20" t="s">
        <v>133</v>
      </c>
      <c r="E489" s="20" t="s">
        <v>412</v>
      </c>
      <c r="F489" s="20"/>
      <c r="G489" s="26">
        <f>G490</f>
        <v>839</v>
      </c>
      <c r="H489" s="179"/>
    </row>
    <row r="490" spans="1:9" ht="31.5" x14ac:dyDescent="0.25">
      <c r="A490" s="25" t="s">
        <v>146</v>
      </c>
      <c r="B490" s="16">
        <v>905</v>
      </c>
      <c r="C490" s="20" t="s">
        <v>249</v>
      </c>
      <c r="D490" s="20" t="s">
        <v>133</v>
      </c>
      <c r="E490" s="20" t="s">
        <v>412</v>
      </c>
      <c r="F490" s="20" t="s">
        <v>147</v>
      </c>
      <c r="G490" s="26">
        <f>G491</f>
        <v>839</v>
      </c>
      <c r="H490" s="179"/>
    </row>
    <row r="491" spans="1:9" ht="47.25" x14ac:dyDescent="0.25">
      <c r="A491" s="25" t="s">
        <v>148</v>
      </c>
      <c r="B491" s="16">
        <v>905</v>
      </c>
      <c r="C491" s="20" t="s">
        <v>249</v>
      </c>
      <c r="D491" s="20" t="s">
        <v>133</v>
      </c>
      <c r="E491" s="20" t="s">
        <v>412</v>
      </c>
      <c r="F491" s="20" t="s">
        <v>149</v>
      </c>
      <c r="G491" s="26">
        <v>839</v>
      </c>
      <c r="H491" s="179"/>
      <c r="I491" s="117"/>
    </row>
    <row r="492" spans="1:9" ht="15.75" hidden="1" x14ac:dyDescent="0.25">
      <c r="A492" s="43" t="s">
        <v>258</v>
      </c>
      <c r="B492" s="19">
        <v>905</v>
      </c>
      <c r="C492" s="24" t="s">
        <v>259</v>
      </c>
      <c r="D492" s="24"/>
      <c r="E492" s="24"/>
      <c r="F492" s="24"/>
      <c r="G492" s="21">
        <f>G493</f>
        <v>0</v>
      </c>
      <c r="H492" s="179"/>
    </row>
    <row r="493" spans="1:9" ht="15.75" hidden="1" x14ac:dyDescent="0.25">
      <c r="A493" s="23" t="s">
        <v>415</v>
      </c>
      <c r="B493" s="19">
        <v>905</v>
      </c>
      <c r="C493" s="24" t="s">
        <v>259</v>
      </c>
      <c r="D493" s="24" t="s">
        <v>165</v>
      </c>
      <c r="E493" s="24"/>
      <c r="F493" s="24"/>
      <c r="G493" s="21">
        <f>G494</f>
        <v>0</v>
      </c>
      <c r="H493" s="179"/>
    </row>
    <row r="494" spans="1:9" ht="31.5" hidden="1" x14ac:dyDescent="0.25">
      <c r="A494" s="25" t="s">
        <v>200</v>
      </c>
      <c r="B494" s="16">
        <v>905</v>
      </c>
      <c r="C494" s="20" t="s">
        <v>259</v>
      </c>
      <c r="D494" s="20" t="s">
        <v>165</v>
      </c>
      <c r="E494" s="20" t="s">
        <v>201</v>
      </c>
      <c r="F494" s="20"/>
      <c r="G494" s="26">
        <f>G495</f>
        <v>0</v>
      </c>
      <c r="H494" s="179"/>
    </row>
    <row r="495" spans="1:9" ht="47.25" hidden="1" x14ac:dyDescent="0.25">
      <c r="A495" s="31" t="s">
        <v>416</v>
      </c>
      <c r="B495" s="16">
        <v>905</v>
      </c>
      <c r="C495" s="20" t="s">
        <v>259</v>
      </c>
      <c r="D495" s="20" t="s">
        <v>165</v>
      </c>
      <c r="E495" s="20" t="s">
        <v>417</v>
      </c>
      <c r="F495" s="20"/>
      <c r="G495" s="26">
        <f>G496</f>
        <v>0</v>
      </c>
      <c r="H495" s="179"/>
    </row>
    <row r="496" spans="1:9" ht="31.5" hidden="1" x14ac:dyDescent="0.25">
      <c r="A496" s="25" t="s">
        <v>146</v>
      </c>
      <c r="B496" s="16">
        <v>905</v>
      </c>
      <c r="C496" s="20" t="s">
        <v>259</v>
      </c>
      <c r="D496" s="20" t="s">
        <v>165</v>
      </c>
      <c r="E496" s="20" t="s">
        <v>417</v>
      </c>
      <c r="F496" s="20" t="s">
        <v>147</v>
      </c>
      <c r="G496" s="26">
        <f>G497</f>
        <v>0</v>
      </c>
      <c r="H496" s="179"/>
    </row>
    <row r="497" spans="1:12" ht="47.25" hidden="1" x14ac:dyDescent="0.25">
      <c r="A497" s="25" t="s">
        <v>148</v>
      </c>
      <c r="B497" s="16">
        <v>905</v>
      </c>
      <c r="C497" s="20" t="s">
        <v>259</v>
      </c>
      <c r="D497" s="20" t="s">
        <v>165</v>
      </c>
      <c r="E497" s="20" t="s">
        <v>417</v>
      </c>
      <c r="F497" s="20" t="s">
        <v>149</v>
      </c>
      <c r="G497" s="26">
        <f>1330-1330</f>
        <v>0</v>
      </c>
      <c r="H497" s="179"/>
      <c r="I497" s="117"/>
    </row>
    <row r="498" spans="1:12" ht="31.5" x14ac:dyDescent="0.25">
      <c r="A498" s="19" t="s">
        <v>418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9"/>
      <c r="L498" s="118"/>
    </row>
    <row r="499" spans="1:12" ht="15.75" x14ac:dyDescent="0.25">
      <c r="A499" s="23" t="s">
        <v>132</v>
      </c>
      <c r="B499" s="19">
        <v>906</v>
      </c>
      <c r="C499" s="24" t="s">
        <v>133</v>
      </c>
      <c r="D499" s="24"/>
      <c r="E499" s="24"/>
      <c r="F499" s="24"/>
      <c r="G499" s="21">
        <f t="shared" ref="G499:G504" si="2">G500</f>
        <v>5</v>
      </c>
      <c r="H499" s="179"/>
    </row>
    <row r="500" spans="1:12" ht="15.75" x14ac:dyDescent="0.25">
      <c r="A500" s="34" t="s">
        <v>154</v>
      </c>
      <c r="B500" s="19">
        <v>906</v>
      </c>
      <c r="C500" s="24" t="s">
        <v>133</v>
      </c>
      <c r="D500" s="24" t="s">
        <v>155</v>
      </c>
      <c r="E500" s="24"/>
      <c r="F500" s="24"/>
      <c r="G500" s="21">
        <f t="shared" si="2"/>
        <v>5</v>
      </c>
      <c r="H500" s="179"/>
    </row>
    <row r="501" spans="1:12" ht="18" customHeight="1" x14ac:dyDescent="0.25">
      <c r="A501" s="31" t="s">
        <v>136</v>
      </c>
      <c r="B501" s="16">
        <v>906</v>
      </c>
      <c r="C501" s="20" t="s">
        <v>133</v>
      </c>
      <c r="D501" s="20" t="s">
        <v>155</v>
      </c>
      <c r="E501" s="20" t="s">
        <v>137</v>
      </c>
      <c r="F501" s="20"/>
      <c r="G501" s="26">
        <f t="shared" si="2"/>
        <v>5</v>
      </c>
      <c r="H501" s="179"/>
    </row>
    <row r="502" spans="1:12" ht="15.75" x14ac:dyDescent="0.25">
      <c r="A502" s="31" t="s">
        <v>156</v>
      </c>
      <c r="B502" s="16">
        <v>906</v>
      </c>
      <c r="C502" s="20" t="s">
        <v>133</v>
      </c>
      <c r="D502" s="20" t="s">
        <v>155</v>
      </c>
      <c r="E502" s="20" t="s">
        <v>157</v>
      </c>
      <c r="F502" s="20"/>
      <c r="G502" s="26">
        <f t="shared" si="2"/>
        <v>5</v>
      </c>
      <c r="H502" s="179"/>
    </row>
    <row r="503" spans="1:12" ht="15.75" x14ac:dyDescent="0.25">
      <c r="A503" s="25" t="s">
        <v>194</v>
      </c>
      <c r="B503" s="16">
        <v>906</v>
      </c>
      <c r="C503" s="20" t="s">
        <v>133</v>
      </c>
      <c r="D503" s="20" t="s">
        <v>155</v>
      </c>
      <c r="E503" s="20" t="s">
        <v>220</v>
      </c>
      <c r="F503" s="20"/>
      <c r="G503" s="26">
        <f t="shared" si="2"/>
        <v>5</v>
      </c>
      <c r="H503" s="179"/>
    </row>
    <row r="504" spans="1:12" ht="31.5" x14ac:dyDescent="0.25">
      <c r="A504" s="25" t="s">
        <v>146</v>
      </c>
      <c r="B504" s="16">
        <v>906</v>
      </c>
      <c r="C504" s="20" t="s">
        <v>133</v>
      </c>
      <c r="D504" s="20" t="s">
        <v>155</v>
      </c>
      <c r="E504" s="20" t="s">
        <v>220</v>
      </c>
      <c r="F504" s="20" t="s">
        <v>147</v>
      </c>
      <c r="G504" s="26">
        <f t="shared" si="2"/>
        <v>5</v>
      </c>
      <c r="H504" s="179"/>
    </row>
    <row r="505" spans="1:12" ht="47.25" x14ac:dyDescent="0.25">
      <c r="A505" s="25" t="s">
        <v>148</v>
      </c>
      <c r="B505" s="16">
        <v>906</v>
      </c>
      <c r="C505" s="20" t="s">
        <v>133</v>
      </c>
      <c r="D505" s="20" t="s">
        <v>155</v>
      </c>
      <c r="E505" s="20" t="s">
        <v>220</v>
      </c>
      <c r="F505" s="20" t="s">
        <v>149</v>
      </c>
      <c r="G505" s="26">
        <v>5</v>
      </c>
      <c r="H505" s="179"/>
    </row>
    <row r="506" spans="1:12" ht="15.75" x14ac:dyDescent="0.25">
      <c r="A506" s="23" t="s">
        <v>278</v>
      </c>
      <c r="B506" s="19">
        <v>906</v>
      </c>
      <c r="C506" s="24" t="s">
        <v>279</v>
      </c>
      <c r="D506" s="24"/>
      <c r="E506" s="24"/>
      <c r="F506" s="24"/>
      <c r="G506" s="21">
        <f>G507+G546+G633+G645+G612</f>
        <v>261516.80000000002</v>
      </c>
      <c r="H506" s="179"/>
    </row>
    <row r="507" spans="1:12" ht="15.75" x14ac:dyDescent="0.25">
      <c r="A507" s="23" t="s">
        <v>419</v>
      </c>
      <c r="B507" s="19">
        <v>906</v>
      </c>
      <c r="C507" s="24" t="s">
        <v>279</v>
      </c>
      <c r="D507" s="24" t="s">
        <v>133</v>
      </c>
      <c r="E507" s="24"/>
      <c r="F507" s="24"/>
      <c r="G507" s="21">
        <f>G508+G526</f>
        <v>84659.4</v>
      </c>
      <c r="H507" s="179"/>
    </row>
    <row r="508" spans="1:12" ht="47.25" x14ac:dyDescent="0.25">
      <c r="A508" s="25" t="s">
        <v>420</v>
      </c>
      <c r="B508" s="16">
        <v>906</v>
      </c>
      <c r="C508" s="20" t="s">
        <v>279</v>
      </c>
      <c r="D508" s="20" t="s">
        <v>133</v>
      </c>
      <c r="E508" s="20" t="s">
        <v>421</v>
      </c>
      <c r="F508" s="20"/>
      <c r="G508" s="26">
        <f>G509+G513</f>
        <v>23453.4</v>
      </c>
      <c r="H508" s="179"/>
    </row>
    <row r="509" spans="1:12" ht="47.25" x14ac:dyDescent="0.25">
      <c r="A509" s="25" t="s">
        <v>422</v>
      </c>
      <c r="B509" s="16">
        <v>906</v>
      </c>
      <c r="C509" s="20" t="s">
        <v>279</v>
      </c>
      <c r="D509" s="20" t="s">
        <v>133</v>
      </c>
      <c r="E509" s="20" t="s">
        <v>423</v>
      </c>
      <c r="F509" s="20"/>
      <c r="G509" s="26">
        <f>G510</f>
        <v>15578.400000000001</v>
      </c>
      <c r="H509" s="179"/>
    </row>
    <row r="510" spans="1:12" ht="47.25" x14ac:dyDescent="0.25">
      <c r="A510" s="25" t="s">
        <v>424</v>
      </c>
      <c r="B510" s="16">
        <v>906</v>
      </c>
      <c r="C510" s="20" t="s">
        <v>279</v>
      </c>
      <c r="D510" s="20" t="s">
        <v>133</v>
      </c>
      <c r="E510" s="20" t="s">
        <v>425</v>
      </c>
      <c r="F510" s="20"/>
      <c r="G510" s="26">
        <f>G511</f>
        <v>15578.400000000001</v>
      </c>
      <c r="H510" s="179"/>
    </row>
    <row r="511" spans="1:12" ht="47.25" x14ac:dyDescent="0.25">
      <c r="A511" s="25" t="s">
        <v>287</v>
      </c>
      <c r="B511" s="16">
        <v>906</v>
      </c>
      <c r="C511" s="20" t="s">
        <v>279</v>
      </c>
      <c r="D511" s="20" t="s">
        <v>133</v>
      </c>
      <c r="E511" s="20" t="s">
        <v>425</v>
      </c>
      <c r="F511" s="20" t="s">
        <v>288</v>
      </c>
      <c r="G511" s="26">
        <f>G512</f>
        <v>15578.400000000001</v>
      </c>
      <c r="H511" s="179"/>
    </row>
    <row r="512" spans="1:12" ht="15.75" x14ac:dyDescent="0.25">
      <c r="A512" s="25" t="s">
        <v>289</v>
      </c>
      <c r="B512" s="16">
        <v>906</v>
      </c>
      <c r="C512" s="20" t="s">
        <v>279</v>
      </c>
      <c r="D512" s="20" t="s">
        <v>133</v>
      </c>
      <c r="E512" s="20" t="s">
        <v>425</v>
      </c>
      <c r="F512" s="20" t="s">
        <v>290</v>
      </c>
      <c r="G512" s="27">
        <f>17368.2+6858.7-6314-1360.2-974.3</f>
        <v>15578.400000000001</v>
      </c>
      <c r="H512" s="181"/>
      <c r="I512" s="127"/>
    </row>
    <row r="513" spans="1:8" ht="47.25" x14ac:dyDescent="0.25">
      <c r="A513" s="25" t="s">
        <v>426</v>
      </c>
      <c r="B513" s="16">
        <v>906</v>
      </c>
      <c r="C513" s="20" t="s">
        <v>279</v>
      </c>
      <c r="D513" s="20" t="s">
        <v>133</v>
      </c>
      <c r="E513" s="20" t="s">
        <v>427</v>
      </c>
      <c r="F513" s="20"/>
      <c r="G513" s="26">
        <f>G514+G517+G520+G523</f>
        <v>7875</v>
      </c>
      <c r="H513" s="179"/>
    </row>
    <row r="514" spans="1:8" ht="47.25" hidden="1" x14ac:dyDescent="0.25">
      <c r="A514" s="25" t="s">
        <v>293</v>
      </c>
      <c r="B514" s="16">
        <v>906</v>
      </c>
      <c r="C514" s="20" t="s">
        <v>279</v>
      </c>
      <c r="D514" s="20" t="s">
        <v>133</v>
      </c>
      <c r="E514" s="20" t="s">
        <v>428</v>
      </c>
      <c r="F514" s="20"/>
      <c r="G514" s="26">
        <f>G515</f>
        <v>0</v>
      </c>
      <c r="H514" s="179"/>
    </row>
    <row r="515" spans="1:8" ht="47.25" hidden="1" x14ac:dyDescent="0.25">
      <c r="A515" s="25" t="s">
        <v>287</v>
      </c>
      <c r="B515" s="16">
        <v>906</v>
      </c>
      <c r="C515" s="20" t="s">
        <v>279</v>
      </c>
      <c r="D515" s="20" t="s">
        <v>133</v>
      </c>
      <c r="E515" s="20" t="s">
        <v>428</v>
      </c>
      <c r="F515" s="20" t="s">
        <v>288</v>
      </c>
      <c r="G515" s="26">
        <f>G516</f>
        <v>0</v>
      </c>
      <c r="H515" s="179"/>
    </row>
    <row r="516" spans="1:8" ht="15.75" hidden="1" x14ac:dyDescent="0.25">
      <c r="A516" s="25" t="s">
        <v>289</v>
      </c>
      <c r="B516" s="16">
        <v>906</v>
      </c>
      <c r="C516" s="20" t="s">
        <v>279</v>
      </c>
      <c r="D516" s="20" t="s">
        <v>133</v>
      </c>
      <c r="E516" s="20" t="s">
        <v>428</v>
      </c>
      <c r="F516" s="20" t="s">
        <v>290</v>
      </c>
      <c r="G516" s="26">
        <v>0</v>
      </c>
      <c r="H516" s="179"/>
    </row>
    <row r="517" spans="1:8" ht="31.5" x14ac:dyDescent="0.25">
      <c r="A517" s="25" t="s">
        <v>295</v>
      </c>
      <c r="B517" s="16">
        <v>906</v>
      </c>
      <c r="C517" s="20" t="s">
        <v>279</v>
      </c>
      <c r="D517" s="20" t="s">
        <v>133</v>
      </c>
      <c r="E517" s="20" t="s">
        <v>429</v>
      </c>
      <c r="F517" s="20"/>
      <c r="G517" s="26">
        <f>G518</f>
        <v>1145</v>
      </c>
      <c r="H517" s="179"/>
    </row>
    <row r="518" spans="1:8" ht="47.25" x14ac:dyDescent="0.25">
      <c r="A518" s="25" t="s">
        <v>287</v>
      </c>
      <c r="B518" s="16">
        <v>906</v>
      </c>
      <c r="C518" s="20" t="s">
        <v>279</v>
      </c>
      <c r="D518" s="20" t="s">
        <v>133</v>
      </c>
      <c r="E518" s="20" t="s">
        <v>429</v>
      </c>
      <c r="F518" s="20" t="s">
        <v>288</v>
      </c>
      <c r="G518" s="26">
        <f>G519</f>
        <v>1145</v>
      </c>
      <c r="H518" s="179"/>
    </row>
    <row r="519" spans="1:8" ht="15.75" x14ac:dyDescent="0.25">
      <c r="A519" s="25" t="s">
        <v>289</v>
      </c>
      <c r="B519" s="16">
        <v>906</v>
      </c>
      <c r="C519" s="20" t="s">
        <v>279</v>
      </c>
      <c r="D519" s="20" t="s">
        <v>133</v>
      </c>
      <c r="E519" s="20" t="s">
        <v>429</v>
      </c>
      <c r="F519" s="20" t="s">
        <v>290</v>
      </c>
      <c r="G519" s="160">
        <f>800+300+45</f>
        <v>1145</v>
      </c>
      <c r="H519" s="167" t="s">
        <v>763</v>
      </c>
    </row>
    <row r="520" spans="1:8" ht="47.25" x14ac:dyDescent="0.25">
      <c r="A520" s="25" t="s">
        <v>430</v>
      </c>
      <c r="B520" s="16">
        <v>906</v>
      </c>
      <c r="C520" s="20" t="s">
        <v>279</v>
      </c>
      <c r="D520" s="20" t="s">
        <v>133</v>
      </c>
      <c r="E520" s="20" t="s">
        <v>431</v>
      </c>
      <c r="F520" s="20"/>
      <c r="G520" s="26">
        <f>G521</f>
        <v>6730</v>
      </c>
      <c r="H520" s="179"/>
    </row>
    <row r="521" spans="1:8" ht="47.25" x14ac:dyDescent="0.25">
      <c r="A521" s="25" t="s">
        <v>287</v>
      </c>
      <c r="B521" s="16">
        <v>906</v>
      </c>
      <c r="C521" s="20" t="s">
        <v>279</v>
      </c>
      <c r="D521" s="20" t="s">
        <v>133</v>
      </c>
      <c r="E521" s="20" t="s">
        <v>431</v>
      </c>
      <c r="F521" s="20" t="s">
        <v>288</v>
      </c>
      <c r="G521" s="26">
        <f>G522</f>
        <v>6730</v>
      </c>
      <c r="H521" s="179"/>
    </row>
    <row r="522" spans="1:8" ht="15.75" x14ac:dyDescent="0.25">
      <c r="A522" s="25" t="s">
        <v>289</v>
      </c>
      <c r="B522" s="16">
        <v>906</v>
      </c>
      <c r="C522" s="20" t="s">
        <v>279</v>
      </c>
      <c r="D522" s="20" t="s">
        <v>133</v>
      </c>
      <c r="E522" s="20" t="s">
        <v>431</v>
      </c>
      <c r="F522" s="20" t="s">
        <v>290</v>
      </c>
      <c r="G522" s="27">
        <v>6730</v>
      </c>
      <c r="H522" s="179"/>
    </row>
    <row r="523" spans="1:8" ht="31.5" hidden="1" x14ac:dyDescent="0.25">
      <c r="A523" s="25" t="s">
        <v>299</v>
      </c>
      <c r="B523" s="16">
        <v>906</v>
      </c>
      <c r="C523" s="20" t="s">
        <v>279</v>
      </c>
      <c r="D523" s="20" t="s">
        <v>133</v>
      </c>
      <c r="E523" s="20" t="s">
        <v>432</v>
      </c>
      <c r="F523" s="20"/>
      <c r="G523" s="26">
        <f>G524</f>
        <v>0</v>
      </c>
      <c r="H523" s="179"/>
    </row>
    <row r="524" spans="1:8" ht="47.25" hidden="1" x14ac:dyDescent="0.25">
      <c r="A524" s="25" t="s">
        <v>287</v>
      </c>
      <c r="B524" s="16">
        <v>906</v>
      </c>
      <c r="C524" s="20" t="s">
        <v>279</v>
      </c>
      <c r="D524" s="20" t="s">
        <v>133</v>
      </c>
      <c r="E524" s="20" t="s">
        <v>432</v>
      </c>
      <c r="F524" s="20" t="s">
        <v>288</v>
      </c>
      <c r="G524" s="26">
        <f>G525</f>
        <v>0</v>
      </c>
      <c r="H524" s="179"/>
    </row>
    <row r="525" spans="1:8" ht="15.75" hidden="1" x14ac:dyDescent="0.25">
      <c r="A525" s="25" t="s">
        <v>289</v>
      </c>
      <c r="B525" s="16">
        <v>906</v>
      </c>
      <c r="C525" s="20" t="s">
        <v>279</v>
      </c>
      <c r="D525" s="20" t="s">
        <v>133</v>
      </c>
      <c r="E525" s="20" t="s">
        <v>432</v>
      </c>
      <c r="F525" s="20" t="s">
        <v>290</v>
      </c>
      <c r="G525" s="26">
        <v>0</v>
      </c>
      <c r="H525" s="179"/>
    </row>
    <row r="526" spans="1:8" ht="15.75" x14ac:dyDescent="0.25">
      <c r="A526" s="25" t="s">
        <v>136</v>
      </c>
      <c r="B526" s="16">
        <v>906</v>
      </c>
      <c r="C526" s="20" t="s">
        <v>279</v>
      </c>
      <c r="D526" s="20" t="s">
        <v>133</v>
      </c>
      <c r="E526" s="20" t="s">
        <v>137</v>
      </c>
      <c r="F526" s="20"/>
      <c r="G526" s="26">
        <f>G527</f>
        <v>61206</v>
      </c>
      <c r="H526" s="179"/>
    </row>
    <row r="527" spans="1:8" ht="31.5" x14ac:dyDescent="0.25">
      <c r="A527" s="25" t="s">
        <v>200</v>
      </c>
      <c r="B527" s="16">
        <v>906</v>
      </c>
      <c r="C527" s="20" t="s">
        <v>279</v>
      </c>
      <c r="D527" s="20" t="s">
        <v>133</v>
      </c>
      <c r="E527" s="20" t="s">
        <v>201</v>
      </c>
      <c r="F527" s="20"/>
      <c r="G527" s="26">
        <f>G528+G531+G534+G537+G540+G543</f>
        <v>61206</v>
      </c>
      <c r="H527" s="179"/>
    </row>
    <row r="528" spans="1:8" ht="31.5" hidden="1" x14ac:dyDescent="0.25">
      <c r="A528" s="25" t="s">
        <v>433</v>
      </c>
      <c r="B528" s="16">
        <v>906</v>
      </c>
      <c r="C528" s="20" t="s">
        <v>279</v>
      </c>
      <c r="D528" s="20" t="s">
        <v>133</v>
      </c>
      <c r="E528" s="20" t="s">
        <v>434</v>
      </c>
      <c r="F528" s="20"/>
      <c r="G528" s="26">
        <f>G529</f>
        <v>0</v>
      </c>
      <c r="H528" s="179"/>
    </row>
    <row r="529" spans="1:9" ht="47.25" hidden="1" x14ac:dyDescent="0.25">
      <c r="A529" s="25" t="s">
        <v>287</v>
      </c>
      <c r="B529" s="16">
        <v>906</v>
      </c>
      <c r="C529" s="20" t="s">
        <v>279</v>
      </c>
      <c r="D529" s="20" t="s">
        <v>133</v>
      </c>
      <c r="E529" s="20" t="s">
        <v>434</v>
      </c>
      <c r="F529" s="20" t="s">
        <v>288</v>
      </c>
      <c r="G529" s="26">
        <f>G530</f>
        <v>0</v>
      </c>
      <c r="H529" s="179"/>
    </row>
    <row r="530" spans="1:9" ht="15.75" hidden="1" x14ac:dyDescent="0.25">
      <c r="A530" s="25" t="s">
        <v>289</v>
      </c>
      <c r="B530" s="16">
        <v>906</v>
      </c>
      <c r="C530" s="20" t="s">
        <v>279</v>
      </c>
      <c r="D530" s="20" t="s">
        <v>133</v>
      </c>
      <c r="E530" s="20" t="s">
        <v>434</v>
      </c>
      <c r="F530" s="20" t="s">
        <v>290</v>
      </c>
      <c r="G530" s="26"/>
      <c r="H530" s="179"/>
    </row>
    <row r="531" spans="1:9" ht="63" x14ac:dyDescent="0.25">
      <c r="A531" s="31" t="s">
        <v>304</v>
      </c>
      <c r="B531" s="16">
        <v>906</v>
      </c>
      <c r="C531" s="20" t="s">
        <v>279</v>
      </c>
      <c r="D531" s="20" t="s">
        <v>133</v>
      </c>
      <c r="E531" s="20" t="s">
        <v>305</v>
      </c>
      <c r="F531" s="20"/>
      <c r="G531" s="26">
        <f>G532</f>
        <v>310.2</v>
      </c>
      <c r="H531" s="179"/>
    </row>
    <row r="532" spans="1:9" ht="47.25" x14ac:dyDescent="0.25">
      <c r="A532" s="25" t="s">
        <v>287</v>
      </c>
      <c r="B532" s="16">
        <v>906</v>
      </c>
      <c r="C532" s="20" t="s">
        <v>279</v>
      </c>
      <c r="D532" s="20" t="s">
        <v>133</v>
      </c>
      <c r="E532" s="20" t="s">
        <v>305</v>
      </c>
      <c r="F532" s="20" t="s">
        <v>288</v>
      </c>
      <c r="G532" s="26">
        <f>G533</f>
        <v>310.2</v>
      </c>
      <c r="H532" s="179"/>
    </row>
    <row r="533" spans="1:9" ht="15.75" x14ac:dyDescent="0.25">
      <c r="A533" s="25" t="s">
        <v>289</v>
      </c>
      <c r="B533" s="16">
        <v>906</v>
      </c>
      <c r="C533" s="20" t="s">
        <v>279</v>
      </c>
      <c r="D533" s="20" t="s">
        <v>133</v>
      </c>
      <c r="E533" s="20" t="s">
        <v>305</v>
      </c>
      <c r="F533" s="20" t="s">
        <v>290</v>
      </c>
      <c r="G533" s="26">
        <f>416.2-106</f>
        <v>310.2</v>
      </c>
      <c r="H533" s="179"/>
      <c r="I533" s="117"/>
    </row>
    <row r="534" spans="1:9" ht="78.75" x14ac:dyDescent="0.25">
      <c r="A534" s="31" t="s">
        <v>435</v>
      </c>
      <c r="B534" s="16">
        <v>906</v>
      </c>
      <c r="C534" s="20" t="s">
        <v>279</v>
      </c>
      <c r="D534" s="20" t="s">
        <v>133</v>
      </c>
      <c r="E534" s="20" t="s">
        <v>307</v>
      </c>
      <c r="F534" s="20"/>
      <c r="G534" s="26">
        <f>G535</f>
        <v>1696.8</v>
      </c>
      <c r="H534" s="179"/>
    </row>
    <row r="535" spans="1:9" ht="47.25" x14ac:dyDescent="0.25">
      <c r="A535" s="25" t="s">
        <v>287</v>
      </c>
      <c r="B535" s="16">
        <v>906</v>
      </c>
      <c r="C535" s="20" t="s">
        <v>279</v>
      </c>
      <c r="D535" s="20" t="s">
        <v>133</v>
      </c>
      <c r="E535" s="20" t="s">
        <v>307</v>
      </c>
      <c r="F535" s="20" t="s">
        <v>288</v>
      </c>
      <c r="G535" s="26">
        <f>G536</f>
        <v>1696.8</v>
      </c>
      <c r="H535" s="179"/>
    </row>
    <row r="536" spans="1:9" ht="15.75" x14ac:dyDescent="0.25">
      <c r="A536" s="25" t="s">
        <v>289</v>
      </c>
      <c r="B536" s="16">
        <v>906</v>
      </c>
      <c r="C536" s="20" t="s">
        <v>279</v>
      </c>
      <c r="D536" s="20" t="s">
        <v>133</v>
      </c>
      <c r="E536" s="20" t="s">
        <v>307</v>
      </c>
      <c r="F536" s="20" t="s">
        <v>290</v>
      </c>
      <c r="G536" s="26">
        <f>1900-203.2</f>
        <v>1696.8</v>
      </c>
      <c r="H536" s="179"/>
      <c r="I536" s="117"/>
    </row>
    <row r="537" spans="1:9" ht="94.5" x14ac:dyDescent="0.25">
      <c r="A537" s="31" t="s">
        <v>436</v>
      </c>
      <c r="B537" s="16">
        <v>906</v>
      </c>
      <c r="C537" s="20" t="s">
        <v>279</v>
      </c>
      <c r="D537" s="20" t="s">
        <v>133</v>
      </c>
      <c r="E537" s="20" t="s">
        <v>437</v>
      </c>
      <c r="F537" s="20"/>
      <c r="G537" s="26">
        <f>G538</f>
        <v>56320</v>
      </c>
      <c r="H537" s="179"/>
    </row>
    <row r="538" spans="1:9" ht="47.25" x14ac:dyDescent="0.25">
      <c r="A538" s="25" t="s">
        <v>287</v>
      </c>
      <c r="B538" s="16">
        <v>906</v>
      </c>
      <c r="C538" s="20" t="s">
        <v>279</v>
      </c>
      <c r="D538" s="20" t="s">
        <v>133</v>
      </c>
      <c r="E538" s="20" t="s">
        <v>437</v>
      </c>
      <c r="F538" s="20" t="s">
        <v>288</v>
      </c>
      <c r="G538" s="26">
        <f>G539</f>
        <v>56320</v>
      </c>
      <c r="H538" s="179"/>
    </row>
    <row r="539" spans="1:9" ht="15.75" x14ac:dyDescent="0.25">
      <c r="A539" s="25" t="s">
        <v>289</v>
      </c>
      <c r="B539" s="16">
        <v>906</v>
      </c>
      <c r="C539" s="20" t="s">
        <v>279</v>
      </c>
      <c r="D539" s="20" t="s">
        <v>133</v>
      </c>
      <c r="E539" s="20" t="s">
        <v>437</v>
      </c>
      <c r="F539" s="20" t="s">
        <v>290</v>
      </c>
      <c r="G539" s="27">
        <f>66162.2-7643.6-2198.6</f>
        <v>56320</v>
      </c>
      <c r="H539" s="108"/>
      <c r="I539" s="117"/>
    </row>
    <row r="540" spans="1:9" ht="110.25" x14ac:dyDescent="0.25">
      <c r="A540" s="31" t="s">
        <v>308</v>
      </c>
      <c r="B540" s="16">
        <v>906</v>
      </c>
      <c r="C540" s="20" t="s">
        <v>279</v>
      </c>
      <c r="D540" s="20" t="s">
        <v>133</v>
      </c>
      <c r="E540" s="20" t="s">
        <v>309</v>
      </c>
      <c r="F540" s="20"/>
      <c r="G540" s="26">
        <f>G541</f>
        <v>2879</v>
      </c>
      <c r="H540" s="179"/>
    </row>
    <row r="541" spans="1:9" ht="47.25" x14ac:dyDescent="0.25">
      <c r="A541" s="25" t="s">
        <v>287</v>
      </c>
      <c r="B541" s="16">
        <v>906</v>
      </c>
      <c r="C541" s="20" t="s">
        <v>279</v>
      </c>
      <c r="D541" s="20" t="s">
        <v>133</v>
      </c>
      <c r="E541" s="20" t="s">
        <v>309</v>
      </c>
      <c r="F541" s="20" t="s">
        <v>288</v>
      </c>
      <c r="G541" s="26">
        <f>G542</f>
        <v>2879</v>
      </c>
      <c r="H541" s="179"/>
    </row>
    <row r="542" spans="1:9" ht="15.75" x14ac:dyDescent="0.25">
      <c r="A542" s="25" t="s">
        <v>289</v>
      </c>
      <c r="B542" s="16">
        <v>906</v>
      </c>
      <c r="C542" s="20" t="s">
        <v>279</v>
      </c>
      <c r="D542" s="20" t="s">
        <v>133</v>
      </c>
      <c r="E542" s="20" t="s">
        <v>309</v>
      </c>
      <c r="F542" s="20" t="s">
        <v>290</v>
      </c>
      <c r="G542" s="27">
        <f>2937.2-58.2</f>
        <v>2879</v>
      </c>
      <c r="H542" s="179"/>
      <c r="I542" s="117"/>
    </row>
    <row r="543" spans="1:9" ht="157.5" hidden="1" x14ac:dyDescent="0.25">
      <c r="A543" s="25" t="s">
        <v>438</v>
      </c>
      <c r="B543" s="16">
        <v>906</v>
      </c>
      <c r="C543" s="20" t="s">
        <v>279</v>
      </c>
      <c r="D543" s="20" t="s">
        <v>133</v>
      </c>
      <c r="E543" s="20" t="s">
        <v>439</v>
      </c>
      <c r="F543" s="20"/>
      <c r="G543" s="27">
        <f>G544</f>
        <v>0</v>
      </c>
      <c r="H543" s="179"/>
    </row>
    <row r="544" spans="1:9" ht="47.25" hidden="1" x14ac:dyDescent="0.25">
      <c r="A544" s="25" t="s">
        <v>287</v>
      </c>
      <c r="B544" s="16">
        <v>906</v>
      </c>
      <c r="C544" s="20" t="s">
        <v>279</v>
      </c>
      <c r="D544" s="20" t="s">
        <v>133</v>
      </c>
      <c r="E544" s="20" t="s">
        <v>439</v>
      </c>
      <c r="F544" s="20" t="s">
        <v>288</v>
      </c>
      <c r="G544" s="27">
        <f>G545</f>
        <v>0</v>
      </c>
      <c r="H544" s="179"/>
    </row>
    <row r="545" spans="1:9" ht="15.75" hidden="1" x14ac:dyDescent="0.25">
      <c r="A545" s="25" t="s">
        <v>289</v>
      </c>
      <c r="B545" s="16">
        <v>906</v>
      </c>
      <c r="C545" s="20" t="s">
        <v>279</v>
      </c>
      <c r="D545" s="20" t="s">
        <v>133</v>
      </c>
      <c r="E545" s="20" t="s">
        <v>439</v>
      </c>
      <c r="F545" s="20" t="s">
        <v>290</v>
      </c>
      <c r="G545" s="27">
        <f>276.5-276.5</f>
        <v>0</v>
      </c>
      <c r="H545" s="179"/>
      <c r="I545" s="117"/>
    </row>
    <row r="546" spans="1:9" ht="15.75" x14ac:dyDescent="0.25">
      <c r="A546" s="23" t="s">
        <v>440</v>
      </c>
      <c r="B546" s="19">
        <v>906</v>
      </c>
      <c r="C546" s="24" t="s">
        <v>279</v>
      </c>
      <c r="D546" s="24" t="s">
        <v>228</v>
      </c>
      <c r="E546" s="24"/>
      <c r="F546" s="24"/>
      <c r="G546" s="21">
        <f>G547+G580</f>
        <v>130684.4</v>
      </c>
      <c r="H546" s="179"/>
    </row>
    <row r="547" spans="1:9" ht="47.25" x14ac:dyDescent="0.25">
      <c r="A547" s="25" t="s">
        <v>441</v>
      </c>
      <c r="B547" s="16">
        <v>906</v>
      </c>
      <c r="C547" s="20" t="s">
        <v>279</v>
      </c>
      <c r="D547" s="20" t="s">
        <v>228</v>
      </c>
      <c r="E547" s="20" t="s">
        <v>421</v>
      </c>
      <c r="F547" s="20"/>
      <c r="G547" s="26">
        <f>G548+G552</f>
        <v>40826.6</v>
      </c>
      <c r="H547" s="179"/>
    </row>
    <row r="548" spans="1:9" ht="47.25" x14ac:dyDescent="0.25">
      <c r="A548" s="25" t="s">
        <v>422</v>
      </c>
      <c r="B548" s="16">
        <v>906</v>
      </c>
      <c r="C548" s="20" t="s">
        <v>279</v>
      </c>
      <c r="D548" s="20" t="s">
        <v>228</v>
      </c>
      <c r="E548" s="20" t="s">
        <v>423</v>
      </c>
      <c r="F548" s="20"/>
      <c r="G548" s="26">
        <f>G549</f>
        <v>34151.199999999997</v>
      </c>
      <c r="H548" s="179"/>
    </row>
    <row r="549" spans="1:9" ht="47.25" x14ac:dyDescent="0.25">
      <c r="A549" s="25" t="s">
        <v>442</v>
      </c>
      <c r="B549" s="16">
        <v>906</v>
      </c>
      <c r="C549" s="20" t="s">
        <v>279</v>
      </c>
      <c r="D549" s="20" t="s">
        <v>228</v>
      </c>
      <c r="E549" s="20" t="s">
        <v>443</v>
      </c>
      <c r="F549" s="20"/>
      <c r="G549" s="26">
        <f>G550</f>
        <v>34151.199999999997</v>
      </c>
      <c r="H549" s="179"/>
    </row>
    <row r="550" spans="1:9" ht="47.25" x14ac:dyDescent="0.25">
      <c r="A550" s="25" t="s">
        <v>287</v>
      </c>
      <c r="B550" s="16">
        <v>906</v>
      </c>
      <c r="C550" s="20" t="s">
        <v>279</v>
      </c>
      <c r="D550" s="20" t="s">
        <v>228</v>
      </c>
      <c r="E550" s="20" t="s">
        <v>443</v>
      </c>
      <c r="F550" s="20" t="s">
        <v>288</v>
      </c>
      <c r="G550" s="26">
        <f>G551</f>
        <v>34151.199999999997</v>
      </c>
      <c r="H550" s="179"/>
    </row>
    <row r="551" spans="1:9" ht="15.75" x14ac:dyDescent="0.25">
      <c r="A551" s="25" t="s">
        <v>289</v>
      </c>
      <c r="B551" s="16">
        <v>906</v>
      </c>
      <c r="C551" s="20" t="s">
        <v>279</v>
      </c>
      <c r="D551" s="20" t="s">
        <v>228</v>
      </c>
      <c r="E551" s="20" t="s">
        <v>443</v>
      </c>
      <c r="F551" s="20" t="s">
        <v>290</v>
      </c>
      <c r="G551" s="27">
        <f>21817.5+13206.2-481.7+562.6-953.4</f>
        <v>34151.199999999997</v>
      </c>
      <c r="H551" s="181"/>
      <c r="I551" s="127"/>
    </row>
    <row r="552" spans="1:9" ht="31.5" x14ac:dyDescent="0.25">
      <c r="A552" s="25" t="s">
        <v>445</v>
      </c>
      <c r="B552" s="16">
        <v>906</v>
      </c>
      <c r="C552" s="20" t="s">
        <v>279</v>
      </c>
      <c r="D552" s="20" t="s">
        <v>228</v>
      </c>
      <c r="E552" s="20" t="s">
        <v>446</v>
      </c>
      <c r="F552" s="20"/>
      <c r="G552" s="26">
        <f>G558+G574+G571+G577+G568+G553+G559+G562+G565</f>
        <v>6675.4</v>
      </c>
      <c r="H552" s="179"/>
    </row>
    <row r="553" spans="1:9" ht="63" hidden="1" x14ac:dyDescent="0.25">
      <c r="A553" s="25" t="s">
        <v>447</v>
      </c>
      <c r="B553" s="16">
        <v>906</v>
      </c>
      <c r="C553" s="20" t="s">
        <v>279</v>
      </c>
      <c r="D553" s="20" t="s">
        <v>228</v>
      </c>
      <c r="E553" s="20" t="s">
        <v>448</v>
      </c>
      <c r="F553" s="20"/>
      <c r="G553" s="26">
        <f>G554</f>
        <v>0</v>
      </c>
      <c r="H553" s="179"/>
    </row>
    <row r="554" spans="1:9" ht="47.25" hidden="1" x14ac:dyDescent="0.25">
      <c r="A554" s="25" t="s">
        <v>287</v>
      </c>
      <c r="B554" s="16">
        <v>906</v>
      </c>
      <c r="C554" s="20" t="s">
        <v>279</v>
      </c>
      <c r="D554" s="20" t="s">
        <v>228</v>
      </c>
      <c r="E554" s="20" t="s">
        <v>448</v>
      </c>
      <c r="F554" s="20" t="s">
        <v>288</v>
      </c>
      <c r="G554" s="26">
        <f>G555</f>
        <v>0</v>
      </c>
      <c r="H554" s="179"/>
    </row>
    <row r="555" spans="1:9" ht="15.75" hidden="1" x14ac:dyDescent="0.25">
      <c r="A555" s="25" t="s">
        <v>289</v>
      </c>
      <c r="B555" s="16">
        <v>906</v>
      </c>
      <c r="C555" s="20" t="s">
        <v>279</v>
      </c>
      <c r="D555" s="20" t="s">
        <v>228</v>
      </c>
      <c r="E555" s="20" t="s">
        <v>448</v>
      </c>
      <c r="F555" s="20" t="s">
        <v>290</v>
      </c>
      <c r="G555" s="26">
        <v>0</v>
      </c>
      <c r="H555" s="179"/>
    </row>
    <row r="556" spans="1:9" ht="48.75" hidden="1" customHeight="1" x14ac:dyDescent="0.25">
      <c r="A556" s="25" t="s">
        <v>449</v>
      </c>
      <c r="B556" s="16">
        <v>906</v>
      </c>
      <c r="C556" s="20" t="s">
        <v>279</v>
      </c>
      <c r="D556" s="20" t="s">
        <v>228</v>
      </c>
      <c r="E556" s="20" t="s">
        <v>450</v>
      </c>
      <c r="F556" s="20"/>
      <c r="G556" s="26">
        <f>G557</f>
        <v>0</v>
      </c>
      <c r="H556" s="179"/>
    </row>
    <row r="557" spans="1:9" ht="47.25" hidden="1" x14ac:dyDescent="0.25">
      <c r="A557" s="25" t="s">
        <v>287</v>
      </c>
      <c r="B557" s="16">
        <v>906</v>
      </c>
      <c r="C557" s="20" t="s">
        <v>279</v>
      </c>
      <c r="D557" s="20" t="s">
        <v>228</v>
      </c>
      <c r="E557" s="20" t="s">
        <v>450</v>
      </c>
      <c r="F557" s="20" t="s">
        <v>288</v>
      </c>
      <c r="G557" s="26">
        <f>G558</f>
        <v>0</v>
      </c>
      <c r="H557" s="179"/>
    </row>
    <row r="558" spans="1:9" ht="15.75" hidden="1" x14ac:dyDescent="0.25">
      <c r="A558" s="25" t="s">
        <v>289</v>
      </c>
      <c r="B558" s="16">
        <v>906</v>
      </c>
      <c r="C558" s="20" t="s">
        <v>279</v>
      </c>
      <c r="D558" s="20" t="s">
        <v>228</v>
      </c>
      <c r="E558" s="20" t="s">
        <v>450</v>
      </c>
      <c r="F558" s="20" t="s">
        <v>290</v>
      </c>
      <c r="G558" s="26">
        <v>0</v>
      </c>
      <c r="H558" s="179"/>
    </row>
    <row r="559" spans="1:9" ht="63" x14ac:dyDescent="0.25">
      <c r="A559" s="25" t="s">
        <v>451</v>
      </c>
      <c r="B559" s="16">
        <v>906</v>
      </c>
      <c r="C559" s="20" t="s">
        <v>279</v>
      </c>
      <c r="D559" s="20" t="s">
        <v>228</v>
      </c>
      <c r="E559" s="20" t="s">
        <v>452</v>
      </c>
      <c r="F559" s="20"/>
      <c r="G559" s="26">
        <f>G560</f>
        <v>2690</v>
      </c>
      <c r="H559" s="179"/>
    </row>
    <row r="560" spans="1:9" ht="47.25" x14ac:dyDescent="0.25">
      <c r="A560" s="25" t="s">
        <v>287</v>
      </c>
      <c r="B560" s="16">
        <v>906</v>
      </c>
      <c r="C560" s="20" t="s">
        <v>279</v>
      </c>
      <c r="D560" s="20" t="s">
        <v>228</v>
      </c>
      <c r="E560" s="20" t="s">
        <v>452</v>
      </c>
      <c r="F560" s="20" t="s">
        <v>288</v>
      </c>
      <c r="G560" s="26">
        <f>G561</f>
        <v>2690</v>
      </c>
      <c r="H560" s="179"/>
    </row>
    <row r="561" spans="1:8" ht="15.75" x14ac:dyDescent="0.25">
      <c r="A561" s="25" t="s">
        <v>289</v>
      </c>
      <c r="B561" s="16">
        <v>906</v>
      </c>
      <c r="C561" s="20" t="s">
        <v>279</v>
      </c>
      <c r="D561" s="20" t="s">
        <v>228</v>
      </c>
      <c r="E561" s="20" t="s">
        <v>452</v>
      </c>
      <c r="F561" s="20" t="s">
        <v>290</v>
      </c>
      <c r="G561" s="27">
        <f>3010-320</f>
        <v>2690</v>
      </c>
      <c r="H561" s="179"/>
    </row>
    <row r="562" spans="1:8" ht="63" x14ac:dyDescent="0.25">
      <c r="A562" s="25" t="s">
        <v>453</v>
      </c>
      <c r="B562" s="16">
        <v>906</v>
      </c>
      <c r="C562" s="20" t="s">
        <v>279</v>
      </c>
      <c r="D562" s="20" t="s">
        <v>228</v>
      </c>
      <c r="E562" s="20" t="s">
        <v>454</v>
      </c>
      <c r="F562" s="20"/>
      <c r="G562" s="26">
        <f>G563</f>
        <v>320</v>
      </c>
      <c r="H562" s="179"/>
    </row>
    <row r="563" spans="1:8" ht="47.25" x14ac:dyDescent="0.25">
      <c r="A563" s="25" t="s">
        <v>287</v>
      </c>
      <c r="B563" s="16">
        <v>906</v>
      </c>
      <c r="C563" s="20" t="s">
        <v>279</v>
      </c>
      <c r="D563" s="20" t="s">
        <v>228</v>
      </c>
      <c r="E563" s="20" t="s">
        <v>454</v>
      </c>
      <c r="F563" s="20" t="s">
        <v>288</v>
      </c>
      <c r="G563" s="26">
        <f>G564</f>
        <v>320</v>
      </c>
      <c r="H563" s="179"/>
    </row>
    <row r="564" spans="1:8" ht="15.75" x14ac:dyDescent="0.25">
      <c r="A564" s="25" t="s">
        <v>289</v>
      </c>
      <c r="B564" s="16">
        <v>906</v>
      </c>
      <c r="C564" s="20" t="s">
        <v>279</v>
      </c>
      <c r="D564" s="20" t="s">
        <v>228</v>
      </c>
      <c r="E564" s="20" t="s">
        <v>454</v>
      </c>
      <c r="F564" s="20" t="s">
        <v>290</v>
      </c>
      <c r="G564" s="26">
        <v>320</v>
      </c>
      <c r="H564" s="179"/>
    </row>
    <row r="565" spans="1:8" ht="47.25" hidden="1" x14ac:dyDescent="0.25">
      <c r="A565" s="25" t="s">
        <v>455</v>
      </c>
      <c r="B565" s="16">
        <v>906</v>
      </c>
      <c r="C565" s="20" t="s">
        <v>279</v>
      </c>
      <c r="D565" s="20" t="s">
        <v>228</v>
      </c>
      <c r="E565" s="20" t="s">
        <v>456</v>
      </c>
      <c r="F565" s="20"/>
      <c r="G565" s="26">
        <f>G566</f>
        <v>0</v>
      </c>
      <c r="H565" s="179"/>
    </row>
    <row r="566" spans="1:8" ht="47.25" hidden="1" x14ac:dyDescent="0.25">
      <c r="A566" s="25" t="s">
        <v>287</v>
      </c>
      <c r="B566" s="16">
        <v>906</v>
      </c>
      <c r="C566" s="20" t="s">
        <v>279</v>
      </c>
      <c r="D566" s="20" t="s">
        <v>228</v>
      </c>
      <c r="E566" s="20" t="s">
        <v>456</v>
      </c>
      <c r="F566" s="20" t="s">
        <v>288</v>
      </c>
      <c r="G566" s="26">
        <f>G567</f>
        <v>0</v>
      </c>
      <c r="H566" s="179"/>
    </row>
    <row r="567" spans="1:8" ht="15.75" hidden="1" x14ac:dyDescent="0.25">
      <c r="A567" s="25" t="s">
        <v>289</v>
      </c>
      <c r="B567" s="16">
        <v>906</v>
      </c>
      <c r="C567" s="20" t="s">
        <v>279</v>
      </c>
      <c r="D567" s="20" t="s">
        <v>228</v>
      </c>
      <c r="E567" s="20" t="s">
        <v>456</v>
      </c>
      <c r="F567" s="20" t="s">
        <v>290</v>
      </c>
      <c r="G567" s="26">
        <v>0</v>
      </c>
      <c r="H567" s="179"/>
    </row>
    <row r="568" spans="1:8" ht="47.25" x14ac:dyDescent="0.25">
      <c r="A568" s="25" t="s">
        <v>293</v>
      </c>
      <c r="B568" s="16">
        <v>906</v>
      </c>
      <c r="C568" s="20" t="s">
        <v>279</v>
      </c>
      <c r="D568" s="20" t="s">
        <v>228</v>
      </c>
      <c r="E568" s="20" t="s">
        <v>457</v>
      </c>
      <c r="F568" s="20"/>
      <c r="G568" s="26">
        <f>G569</f>
        <v>3309</v>
      </c>
      <c r="H568" s="179"/>
    </row>
    <row r="569" spans="1:8" ht="47.25" x14ac:dyDescent="0.25">
      <c r="A569" s="25" t="s">
        <v>287</v>
      </c>
      <c r="B569" s="16">
        <v>906</v>
      </c>
      <c r="C569" s="20" t="s">
        <v>279</v>
      </c>
      <c r="D569" s="20" t="s">
        <v>228</v>
      </c>
      <c r="E569" s="20" t="s">
        <v>457</v>
      </c>
      <c r="F569" s="20" t="s">
        <v>288</v>
      </c>
      <c r="G569" s="26">
        <f>G570</f>
        <v>3309</v>
      </c>
      <c r="H569" s="179"/>
    </row>
    <row r="570" spans="1:8" ht="15.75" x14ac:dyDescent="0.25">
      <c r="A570" s="25" t="s">
        <v>289</v>
      </c>
      <c r="B570" s="16">
        <v>906</v>
      </c>
      <c r="C570" s="20" t="s">
        <v>279</v>
      </c>
      <c r="D570" s="20" t="s">
        <v>228</v>
      </c>
      <c r="E570" s="20" t="s">
        <v>457</v>
      </c>
      <c r="F570" s="20" t="s">
        <v>290</v>
      </c>
      <c r="G570" s="26">
        <f>341+2968</f>
        <v>3309</v>
      </c>
      <c r="H570" s="122"/>
    </row>
    <row r="571" spans="1:8" ht="31.5" hidden="1" x14ac:dyDescent="0.25">
      <c r="A571" s="25" t="s">
        <v>295</v>
      </c>
      <c r="B571" s="16">
        <v>906</v>
      </c>
      <c r="C571" s="20" t="s">
        <v>279</v>
      </c>
      <c r="D571" s="20" t="s">
        <v>228</v>
      </c>
      <c r="E571" s="20" t="s">
        <v>458</v>
      </c>
      <c r="F571" s="20"/>
      <c r="G571" s="26">
        <f>G572</f>
        <v>0</v>
      </c>
      <c r="H571" s="179"/>
    </row>
    <row r="572" spans="1:8" ht="47.25" hidden="1" x14ac:dyDescent="0.25">
      <c r="A572" s="25" t="s">
        <v>287</v>
      </c>
      <c r="B572" s="16">
        <v>906</v>
      </c>
      <c r="C572" s="20" t="s">
        <v>279</v>
      </c>
      <c r="D572" s="20" t="s">
        <v>228</v>
      </c>
      <c r="E572" s="20" t="s">
        <v>458</v>
      </c>
      <c r="F572" s="20" t="s">
        <v>288</v>
      </c>
      <c r="G572" s="26">
        <f>G573</f>
        <v>0</v>
      </c>
      <c r="H572" s="179"/>
    </row>
    <row r="573" spans="1:8" ht="15.75" hidden="1" x14ac:dyDescent="0.25">
      <c r="A573" s="25" t="s">
        <v>289</v>
      </c>
      <c r="B573" s="16">
        <v>906</v>
      </c>
      <c r="C573" s="20" t="s">
        <v>279</v>
      </c>
      <c r="D573" s="20" t="s">
        <v>228</v>
      </c>
      <c r="E573" s="20" t="s">
        <v>458</v>
      </c>
      <c r="F573" s="20" t="s">
        <v>290</v>
      </c>
      <c r="G573" s="26">
        <v>0</v>
      </c>
      <c r="H573" s="179"/>
    </row>
    <row r="574" spans="1:8" ht="47.25" x14ac:dyDescent="0.25">
      <c r="A574" s="25" t="s">
        <v>297</v>
      </c>
      <c r="B574" s="16">
        <v>906</v>
      </c>
      <c r="C574" s="20" t="s">
        <v>279</v>
      </c>
      <c r="D574" s="20" t="s">
        <v>228</v>
      </c>
      <c r="E574" s="20" t="s">
        <v>459</v>
      </c>
      <c r="F574" s="20"/>
      <c r="G574" s="26">
        <f>G575</f>
        <v>127</v>
      </c>
      <c r="H574" s="179"/>
    </row>
    <row r="575" spans="1:8" ht="47.25" x14ac:dyDescent="0.25">
      <c r="A575" s="25" t="s">
        <v>287</v>
      </c>
      <c r="B575" s="16">
        <v>906</v>
      </c>
      <c r="C575" s="20" t="s">
        <v>279</v>
      </c>
      <c r="D575" s="20" t="s">
        <v>228</v>
      </c>
      <c r="E575" s="20" t="s">
        <v>459</v>
      </c>
      <c r="F575" s="20" t="s">
        <v>288</v>
      </c>
      <c r="G575" s="26">
        <f>G576</f>
        <v>127</v>
      </c>
      <c r="H575" s="179"/>
    </row>
    <row r="576" spans="1:8" ht="15.75" x14ac:dyDescent="0.25">
      <c r="A576" s="25" t="s">
        <v>289</v>
      </c>
      <c r="B576" s="16">
        <v>906</v>
      </c>
      <c r="C576" s="20" t="s">
        <v>279</v>
      </c>
      <c r="D576" s="20" t="s">
        <v>228</v>
      </c>
      <c r="E576" s="20" t="s">
        <v>459</v>
      </c>
      <c r="F576" s="20" t="s">
        <v>290</v>
      </c>
      <c r="G576" s="26">
        <v>127</v>
      </c>
      <c r="H576" s="179"/>
    </row>
    <row r="577" spans="1:12" ht="31.5" x14ac:dyDescent="0.25">
      <c r="A577" s="25" t="s">
        <v>299</v>
      </c>
      <c r="B577" s="16">
        <v>906</v>
      </c>
      <c r="C577" s="20" t="s">
        <v>279</v>
      </c>
      <c r="D577" s="20" t="s">
        <v>228</v>
      </c>
      <c r="E577" s="20" t="s">
        <v>460</v>
      </c>
      <c r="F577" s="20"/>
      <c r="G577" s="26">
        <f>G578</f>
        <v>229.4</v>
      </c>
      <c r="H577" s="179"/>
    </row>
    <row r="578" spans="1:12" ht="47.25" x14ac:dyDescent="0.25">
      <c r="A578" s="25" t="s">
        <v>287</v>
      </c>
      <c r="B578" s="16">
        <v>906</v>
      </c>
      <c r="C578" s="20" t="s">
        <v>279</v>
      </c>
      <c r="D578" s="20" t="s">
        <v>228</v>
      </c>
      <c r="E578" s="20" t="s">
        <v>460</v>
      </c>
      <c r="F578" s="20" t="s">
        <v>288</v>
      </c>
      <c r="G578" s="26">
        <f>G579</f>
        <v>229.4</v>
      </c>
      <c r="H578" s="179"/>
    </row>
    <row r="579" spans="1:12" ht="15.75" x14ac:dyDescent="0.25">
      <c r="A579" s="25" t="s">
        <v>289</v>
      </c>
      <c r="B579" s="16">
        <v>906</v>
      </c>
      <c r="C579" s="20" t="s">
        <v>279</v>
      </c>
      <c r="D579" s="20" t="s">
        <v>228</v>
      </c>
      <c r="E579" s="20" t="s">
        <v>460</v>
      </c>
      <c r="F579" s="20" t="s">
        <v>290</v>
      </c>
      <c r="G579" s="26">
        <v>229.4</v>
      </c>
      <c r="H579" s="108"/>
      <c r="I579" s="126"/>
    </row>
    <row r="580" spans="1:12" ht="15.75" x14ac:dyDescent="0.25">
      <c r="A580" s="25" t="s">
        <v>136</v>
      </c>
      <c r="B580" s="16">
        <v>906</v>
      </c>
      <c r="C580" s="20" t="s">
        <v>279</v>
      </c>
      <c r="D580" s="20" t="s">
        <v>228</v>
      </c>
      <c r="E580" s="20" t="s">
        <v>137</v>
      </c>
      <c r="F580" s="20"/>
      <c r="G580" s="26">
        <f>G581</f>
        <v>89857.8</v>
      </c>
      <c r="H580" s="179"/>
    </row>
    <row r="581" spans="1:12" ht="31.5" x14ac:dyDescent="0.25">
      <c r="A581" s="25" t="s">
        <v>200</v>
      </c>
      <c r="B581" s="16">
        <v>906</v>
      </c>
      <c r="C581" s="20" t="s">
        <v>279</v>
      </c>
      <c r="D581" s="20" t="s">
        <v>228</v>
      </c>
      <c r="E581" s="20" t="s">
        <v>201</v>
      </c>
      <c r="F581" s="20"/>
      <c r="G581" s="26">
        <f>G588+G591+G597+G600+G603+G606+G582+G585+G609+G594</f>
        <v>89857.8</v>
      </c>
      <c r="H581" s="179"/>
    </row>
    <row r="582" spans="1:12" ht="47.25" hidden="1" x14ac:dyDescent="0.25">
      <c r="A582" s="25" t="s">
        <v>465</v>
      </c>
      <c r="B582" s="16">
        <v>906</v>
      </c>
      <c r="C582" s="20" t="s">
        <v>279</v>
      </c>
      <c r="D582" s="20" t="s">
        <v>228</v>
      </c>
      <c r="E582" s="20" t="s">
        <v>466</v>
      </c>
      <c r="F582" s="20"/>
      <c r="G582" s="26">
        <f>G583</f>
        <v>0</v>
      </c>
      <c r="H582" s="179"/>
    </row>
    <row r="583" spans="1:12" ht="47.25" hidden="1" x14ac:dyDescent="0.25">
      <c r="A583" s="25" t="s">
        <v>287</v>
      </c>
      <c r="B583" s="16">
        <v>906</v>
      </c>
      <c r="C583" s="20" t="s">
        <v>279</v>
      </c>
      <c r="D583" s="20" t="s">
        <v>228</v>
      </c>
      <c r="E583" s="20" t="s">
        <v>466</v>
      </c>
      <c r="F583" s="20" t="s">
        <v>288</v>
      </c>
      <c r="G583" s="26">
        <f>G584</f>
        <v>0</v>
      </c>
      <c r="H583" s="179"/>
    </row>
    <row r="584" spans="1:12" ht="15.75" hidden="1" x14ac:dyDescent="0.25">
      <c r="A584" s="25" t="s">
        <v>289</v>
      </c>
      <c r="B584" s="16">
        <v>906</v>
      </c>
      <c r="C584" s="20" t="s">
        <v>279</v>
      </c>
      <c r="D584" s="20" t="s">
        <v>228</v>
      </c>
      <c r="E584" s="20" t="s">
        <v>466</v>
      </c>
      <c r="F584" s="20" t="s">
        <v>290</v>
      </c>
      <c r="G584" s="26">
        <v>0</v>
      </c>
      <c r="H584" s="179"/>
    </row>
    <row r="585" spans="1:12" ht="15.75" hidden="1" x14ac:dyDescent="0.25">
      <c r="A585" s="25" t="s">
        <v>467</v>
      </c>
      <c r="B585" s="16">
        <v>906</v>
      </c>
      <c r="C585" s="20" t="s">
        <v>279</v>
      </c>
      <c r="D585" s="20" t="s">
        <v>228</v>
      </c>
      <c r="E585" s="20" t="s">
        <v>468</v>
      </c>
      <c r="F585" s="20"/>
      <c r="G585" s="26">
        <f>G586</f>
        <v>0</v>
      </c>
      <c r="H585" s="179"/>
    </row>
    <row r="586" spans="1:12" ht="47.25" hidden="1" x14ac:dyDescent="0.25">
      <c r="A586" s="25" t="s">
        <v>287</v>
      </c>
      <c r="B586" s="16">
        <v>906</v>
      </c>
      <c r="C586" s="20" t="s">
        <v>279</v>
      </c>
      <c r="D586" s="20" t="s">
        <v>228</v>
      </c>
      <c r="E586" s="20" t="s">
        <v>468</v>
      </c>
      <c r="F586" s="20" t="s">
        <v>288</v>
      </c>
      <c r="G586" s="26">
        <f>G587</f>
        <v>0</v>
      </c>
      <c r="H586" s="179"/>
    </row>
    <row r="587" spans="1:12" ht="15.75" hidden="1" x14ac:dyDescent="0.25">
      <c r="A587" s="25" t="s">
        <v>289</v>
      </c>
      <c r="B587" s="16">
        <v>906</v>
      </c>
      <c r="C587" s="20" t="s">
        <v>279</v>
      </c>
      <c r="D587" s="20" t="s">
        <v>228</v>
      </c>
      <c r="E587" s="20" t="s">
        <v>468</v>
      </c>
      <c r="F587" s="20" t="s">
        <v>290</v>
      </c>
      <c r="G587" s="27">
        <v>0</v>
      </c>
      <c r="H587" s="179"/>
    </row>
    <row r="588" spans="1:12" ht="31.5" hidden="1" x14ac:dyDescent="0.25">
      <c r="A588" s="25" t="s">
        <v>469</v>
      </c>
      <c r="B588" s="16">
        <v>906</v>
      </c>
      <c r="C588" s="20" t="s">
        <v>279</v>
      </c>
      <c r="D588" s="20" t="s">
        <v>228</v>
      </c>
      <c r="E588" s="20" t="s">
        <v>470</v>
      </c>
      <c r="F588" s="20"/>
      <c r="G588" s="26">
        <f>G589</f>
        <v>0</v>
      </c>
      <c r="H588" s="179"/>
    </row>
    <row r="589" spans="1:12" ht="47.25" hidden="1" x14ac:dyDescent="0.25">
      <c r="A589" s="25" t="s">
        <v>287</v>
      </c>
      <c r="B589" s="16">
        <v>906</v>
      </c>
      <c r="C589" s="20" t="s">
        <v>279</v>
      </c>
      <c r="D589" s="20" t="s">
        <v>228</v>
      </c>
      <c r="E589" s="20" t="s">
        <v>470</v>
      </c>
      <c r="F589" s="20" t="s">
        <v>288</v>
      </c>
      <c r="G589" s="26">
        <f>G590</f>
        <v>0</v>
      </c>
      <c r="H589" s="179"/>
    </row>
    <row r="590" spans="1:12" ht="15.75" hidden="1" x14ac:dyDescent="0.25">
      <c r="A590" s="25" t="s">
        <v>289</v>
      </c>
      <c r="B590" s="16">
        <v>906</v>
      </c>
      <c r="C590" s="20" t="s">
        <v>279</v>
      </c>
      <c r="D590" s="20" t="s">
        <v>228</v>
      </c>
      <c r="E590" s="20" t="s">
        <v>470</v>
      </c>
      <c r="F590" s="20" t="s">
        <v>290</v>
      </c>
      <c r="G590" s="26">
        <f>157.3-157.3</f>
        <v>0</v>
      </c>
      <c r="H590" s="179"/>
      <c r="I590" s="117"/>
    </row>
    <row r="591" spans="1:12" ht="31.5" x14ac:dyDescent="0.25">
      <c r="A591" s="25" t="s">
        <v>471</v>
      </c>
      <c r="B591" s="16">
        <v>906</v>
      </c>
      <c r="C591" s="20" t="s">
        <v>279</v>
      </c>
      <c r="D591" s="20" t="s">
        <v>228</v>
      </c>
      <c r="E591" s="20" t="s">
        <v>472</v>
      </c>
      <c r="F591" s="20"/>
      <c r="G591" s="26">
        <f>G592</f>
        <v>1293.5999999999999</v>
      </c>
      <c r="H591" s="179"/>
    </row>
    <row r="592" spans="1:12" ht="47.25" x14ac:dyDescent="0.25">
      <c r="A592" s="25" t="s">
        <v>287</v>
      </c>
      <c r="B592" s="16">
        <v>906</v>
      </c>
      <c r="C592" s="20" t="s">
        <v>279</v>
      </c>
      <c r="D592" s="20" t="s">
        <v>228</v>
      </c>
      <c r="E592" s="20" t="s">
        <v>472</v>
      </c>
      <c r="F592" s="20" t="s">
        <v>288</v>
      </c>
      <c r="G592" s="26">
        <f>G593</f>
        <v>1293.5999999999999</v>
      </c>
      <c r="H592" s="179"/>
      <c r="L592" s="118"/>
    </row>
    <row r="593" spans="1:9" ht="15.75" x14ac:dyDescent="0.25">
      <c r="A593" s="25" t="s">
        <v>289</v>
      </c>
      <c r="B593" s="16">
        <v>906</v>
      </c>
      <c r="C593" s="20" t="s">
        <v>279</v>
      </c>
      <c r="D593" s="20" t="s">
        <v>228</v>
      </c>
      <c r="E593" s="20" t="s">
        <v>472</v>
      </c>
      <c r="F593" s="20" t="s">
        <v>290</v>
      </c>
      <c r="G593" s="27">
        <f>1572.5-278.9</f>
        <v>1293.5999999999999</v>
      </c>
      <c r="H593" s="179"/>
      <c r="I593" s="117"/>
    </row>
    <row r="594" spans="1:9" ht="47.25" x14ac:dyDescent="0.25">
      <c r="A594" s="25" t="s">
        <v>473</v>
      </c>
      <c r="B594" s="16">
        <v>906</v>
      </c>
      <c r="C594" s="20" t="s">
        <v>279</v>
      </c>
      <c r="D594" s="20" t="s">
        <v>228</v>
      </c>
      <c r="E594" s="20" t="s">
        <v>474</v>
      </c>
      <c r="F594" s="20"/>
      <c r="G594" s="27">
        <f>G595</f>
        <v>488.7</v>
      </c>
      <c r="H594" s="179"/>
    </row>
    <row r="595" spans="1:9" ht="47.25" x14ac:dyDescent="0.25">
      <c r="A595" s="25" t="s">
        <v>287</v>
      </c>
      <c r="B595" s="16">
        <v>906</v>
      </c>
      <c r="C595" s="20" t="s">
        <v>279</v>
      </c>
      <c r="D595" s="20" t="s">
        <v>228</v>
      </c>
      <c r="E595" s="20" t="s">
        <v>474</v>
      </c>
      <c r="F595" s="20" t="s">
        <v>288</v>
      </c>
      <c r="G595" s="27">
        <f>G596</f>
        <v>488.7</v>
      </c>
      <c r="H595" s="179"/>
    </row>
    <row r="596" spans="1:9" ht="15.75" x14ac:dyDescent="0.25">
      <c r="A596" s="25" t="s">
        <v>289</v>
      </c>
      <c r="B596" s="16">
        <v>906</v>
      </c>
      <c r="C596" s="20" t="s">
        <v>279</v>
      </c>
      <c r="D596" s="20" t="s">
        <v>228</v>
      </c>
      <c r="E596" s="20" t="s">
        <v>474</v>
      </c>
      <c r="F596" s="20" t="s">
        <v>290</v>
      </c>
      <c r="G596" s="27">
        <f>733.5-244.8</f>
        <v>488.7</v>
      </c>
      <c r="H596" s="179"/>
      <c r="I596" s="117"/>
    </row>
    <row r="597" spans="1:9" ht="94.5" x14ac:dyDescent="0.25">
      <c r="A597" s="31" t="s">
        <v>475</v>
      </c>
      <c r="B597" s="16">
        <v>906</v>
      </c>
      <c r="C597" s="20" t="s">
        <v>279</v>
      </c>
      <c r="D597" s="20" t="s">
        <v>228</v>
      </c>
      <c r="E597" s="20" t="s">
        <v>476</v>
      </c>
      <c r="F597" s="20"/>
      <c r="G597" s="26">
        <f>G598</f>
        <v>79753.600000000006</v>
      </c>
      <c r="H597" s="179"/>
    </row>
    <row r="598" spans="1:9" ht="47.25" x14ac:dyDescent="0.25">
      <c r="A598" s="25" t="s">
        <v>287</v>
      </c>
      <c r="B598" s="16">
        <v>906</v>
      </c>
      <c r="C598" s="20" t="s">
        <v>279</v>
      </c>
      <c r="D598" s="20" t="s">
        <v>228</v>
      </c>
      <c r="E598" s="20" t="s">
        <v>476</v>
      </c>
      <c r="F598" s="20" t="s">
        <v>288</v>
      </c>
      <c r="G598" s="26">
        <f>G599</f>
        <v>79753.600000000006</v>
      </c>
      <c r="H598" s="179"/>
    </row>
    <row r="599" spans="1:9" ht="15.75" x14ac:dyDescent="0.25">
      <c r="A599" s="25" t="s">
        <v>289</v>
      </c>
      <c r="B599" s="16">
        <v>906</v>
      </c>
      <c r="C599" s="20" t="s">
        <v>279</v>
      </c>
      <c r="D599" s="20" t="s">
        <v>228</v>
      </c>
      <c r="E599" s="20" t="s">
        <v>476</v>
      </c>
      <c r="F599" s="20" t="s">
        <v>290</v>
      </c>
      <c r="G599" s="27">
        <f>93568.6-13815</f>
        <v>79753.600000000006</v>
      </c>
      <c r="H599" s="179"/>
      <c r="I599" s="117"/>
    </row>
    <row r="600" spans="1:9" ht="63" x14ac:dyDescent="0.25">
      <c r="A600" s="31" t="s">
        <v>304</v>
      </c>
      <c r="B600" s="16">
        <v>906</v>
      </c>
      <c r="C600" s="20" t="s">
        <v>279</v>
      </c>
      <c r="D600" s="20" t="s">
        <v>228</v>
      </c>
      <c r="E600" s="20" t="s">
        <v>305</v>
      </c>
      <c r="F600" s="20"/>
      <c r="G600" s="26">
        <f>G601</f>
        <v>910.90000000000009</v>
      </c>
      <c r="H600" s="179"/>
    </row>
    <row r="601" spans="1:9" ht="47.25" x14ac:dyDescent="0.25">
      <c r="A601" s="25" t="s">
        <v>287</v>
      </c>
      <c r="B601" s="16">
        <v>906</v>
      </c>
      <c r="C601" s="20" t="s">
        <v>279</v>
      </c>
      <c r="D601" s="20" t="s">
        <v>228</v>
      </c>
      <c r="E601" s="20" t="s">
        <v>305</v>
      </c>
      <c r="F601" s="20" t="s">
        <v>288</v>
      </c>
      <c r="G601" s="26">
        <f>G602</f>
        <v>910.90000000000009</v>
      </c>
      <c r="H601" s="179"/>
    </row>
    <row r="602" spans="1:9" ht="15.75" x14ac:dyDescent="0.25">
      <c r="A602" s="25" t="s">
        <v>289</v>
      </c>
      <c r="B602" s="16">
        <v>906</v>
      </c>
      <c r="C602" s="20" t="s">
        <v>279</v>
      </c>
      <c r="D602" s="20" t="s">
        <v>228</v>
      </c>
      <c r="E602" s="20" t="s">
        <v>305</v>
      </c>
      <c r="F602" s="20" t="s">
        <v>290</v>
      </c>
      <c r="G602" s="27">
        <f>1101.7-190.8</f>
        <v>910.90000000000009</v>
      </c>
      <c r="H602" s="179"/>
      <c r="I602" s="117"/>
    </row>
    <row r="603" spans="1:9" ht="78.75" x14ac:dyDescent="0.25">
      <c r="A603" s="31" t="s">
        <v>306</v>
      </c>
      <c r="B603" s="16">
        <v>906</v>
      </c>
      <c r="C603" s="20" t="s">
        <v>279</v>
      </c>
      <c r="D603" s="20" t="s">
        <v>228</v>
      </c>
      <c r="E603" s="20" t="s">
        <v>307</v>
      </c>
      <c r="F603" s="20"/>
      <c r="G603" s="26">
        <f>G604</f>
        <v>2155.5</v>
      </c>
      <c r="H603" s="179"/>
    </row>
    <row r="604" spans="1:9" ht="47.25" x14ac:dyDescent="0.25">
      <c r="A604" s="25" t="s">
        <v>287</v>
      </c>
      <c r="B604" s="16">
        <v>906</v>
      </c>
      <c r="C604" s="20" t="s">
        <v>279</v>
      </c>
      <c r="D604" s="20" t="s">
        <v>228</v>
      </c>
      <c r="E604" s="20" t="s">
        <v>307</v>
      </c>
      <c r="F604" s="20" t="s">
        <v>288</v>
      </c>
      <c r="G604" s="26">
        <f>G605</f>
        <v>2155.5</v>
      </c>
      <c r="H604" s="179"/>
    </row>
    <row r="605" spans="1:9" ht="15.75" x14ac:dyDescent="0.25">
      <c r="A605" s="25" t="s">
        <v>289</v>
      </c>
      <c r="B605" s="16">
        <v>906</v>
      </c>
      <c r="C605" s="20" t="s">
        <v>279</v>
      </c>
      <c r="D605" s="20" t="s">
        <v>228</v>
      </c>
      <c r="E605" s="20" t="s">
        <v>307</v>
      </c>
      <c r="F605" s="20" t="s">
        <v>290</v>
      </c>
      <c r="G605" s="27">
        <f>2823.2-667.7</f>
        <v>2155.5</v>
      </c>
      <c r="H605" s="179"/>
      <c r="I605" s="117"/>
    </row>
    <row r="606" spans="1:9" ht="47.25" x14ac:dyDescent="0.25">
      <c r="A606" s="31" t="s">
        <v>477</v>
      </c>
      <c r="B606" s="16">
        <v>906</v>
      </c>
      <c r="C606" s="20" t="s">
        <v>279</v>
      </c>
      <c r="D606" s="20" t="s">
        <v>228</v>
      </c>
      <c r="E606" s="20" t="s">
        <v>478</v>
      </c>
      <c r="F606" s="20"/>
      <c r="G606" s="26">
        <f>G607</f>
        <v>886.5</v>
      </c>
      <c r="H606" s="179"/>
    </row>
    <row r="607" spans="1:9" ht="47.25" x14ac:dyDescent="0.25">
      <c r="A607" s="25" t="s">
        <v>287</v>
      </c>
      <c r="B607" s="16">
        <v>906</v>
      </c>
      <c r="C607" s="20" t="s">
        <v>279</v>
      </c>
      <c r="D607" s="20" t="s">
        <v>228</v>
      </c>
      <c r="E607" s="20" t="s">
        <v>478</v>
      </c>
      <c r="F607" s="20" t="s">
        <v>288</v>
      </c>
      <c r="G607" s="26">
        <f>G608</f>
        <v>886.5</v>
      </c>
      <c r="H607" s="179"/>
    </row>
    <row r="608" spans="1:9" ht="15.75" x14ac:dyDescent="0.25">
      <c r="A608" s="25" t="s">
        <v>289</v>
      </c>
      <c r="B608" s="16">
        <v>906</v>
      </c>
      <c r="C608" s="20" t="s">
        <v>279</v>
      </c>
      <c r="D608" s="20" t="s">
        <v>228</v>
      </c>
      <c r="E608" s="20" t="s">
        <v>478</v>
      </c>
      <c r="F608" s="20" t="s">
        <v>290</v>
      </c>
      <c r="G608" s="27">
        <f>998.4-111.9</f>
        <v>886.5</v>
      </c>
      <c r="H608" s="179"/>
      <c r="I608" s="117"/>
    </row>
    <row r="609" spans="1:9" ht="110.25" x14ac:dyDescent="0.25">
      <c r="A609" s="31" t="s">
        <v>479</v>
      </c>
      <c r="B609" s="16">
        <v>906</v>
      </c>
      <c r="C609" s="20" t="s">
        <v>279</v>
      </c>
      <c r="D609" s="20" t="s">
        <v>228</v>
      </c>
      <c r="E609" s="20" t="s">
        <v>309</v>
      </c>
      <c r="F609" s="20"/>
      <c r="G609" s="26">
        <f>G610</f>
        <v>4369</v>
      </c>
      <c r="H609" s="179"/>
    </row>
    <row r="610" spans="1:9" ht="47.25" x14ac:dyDescent="0.25">
      <c r="A610" s="25" t="s">
        <v>287</v>
      </c>
      <c r="B610" s="16">
        <v>906</v>
      </c>
      <c r="C610" s="20" t="s">
        <v>279</v>
      </c>
      <c r="D610" s="20" t="s">
        <v>228</v>
      </c>
      <c r="E610" s="20" t="s">
        <v>309</v>
      </c>
      <c r="F610" s="20" t="s">
        <v>288</v>
      </c>
      <c r="G610" s="26">
        <f>G611</f>
        <v>4369</v>
      </c>
      <c r="H610" s="179"/>
    </row>
    <row r="611" spans="1:9" ht="15.75" x14ac:dyDescent="0.25">
      <c r="A611" s="25" t="s">
        <v>289</v>
      </c>
      <c r="B611" s="16">
        <v>906</v>
      </c>
      <c r="C611" s="20" t="s">
        <v>279</v>
      </c>
      <c r="D611" s="20" t="s">
        <v>228</v>
      </c>
      <c r="E611" s="20" t="s">
        <v>309</v>
      </c>
      <c r="F611" s="20" t="s">
        <v>290</v>
      </c>
      <c r="G611" s="27">
        <f>5441.9-1072.9</f>
        <v>4369</v>
      </c>
      <c r="H611" s="179"/>
      <c r="I611" s="117"/>
    </row>
    <row r="612" spans="1:9" ht="15.75" x14ac:dyDescent="0.25">
      <c r="A612" s="23" t="s">
        <v>280</v>
      </c>
      <c r="B612" s="19">
        <v>906</v>
      </c>
      <c r="C612" s="24" t="s">
        <v>279</v>
      </c>
      <c r="D612" s="24" t="s">
        <v>230</v>
      </c>
      <c r="E612" s="24"/>
      <c r="F612" s="24"/>
      <c r="G612" s="44">
        <f>G613+G622</f>
        <v>23062.100000000002</v>
      </c>
      <c r="H612" s="179"/>
      <c r="I612" s="117"/>
    </row>
    <row r="613" spans="1:9" ht="47.25" x14ac:dyDescent="0.25">
      <c r="A613" s="25" t="s">
        <v>441</v>
      </c>
      <c r="B613" s="16">
        <v>906</v>
      </c>
      <c r="C613" s="20" t="s">
        <v>279</v>
      </c>
      <c r="D613" s="20" t="s">
        <v>230</v>
      </c>
      <c r="E613" s="20" t="s">
        <v>421</v>
      </c>
      <c r="F613" s="20"/>
      <c r="G613" s="27">
        <f>G614+G620</f>
        <v>21479.9</v>
      </c>
      <c r="H613" s="179"/>
      <c r="I613" s="117"/>
    </row>
    <row r="614" spans="1:9" ht="47.25" x14ac:dyDescent="0.25">
      <c r="A614" s="25" t="s">
        <v>422</v>
      </c>
      <c r="B614" s="16">
        <v>906</v>
      </c>
      <c r="C614" s="20" t="s">
        <v>279</v>
      </c>
      <c r="D614" s="20" t="s">
        <v>230</v>
      </c>
      <c r="E614" s="20" t="s">
        <v>423</v>
      </c>
      <c r="F614" s="20"/>
      <c r="G614" s="27">
        <f>G615</f>
        <v>21124</v>
      </c>
      <c r="H614" s="179"/>
      <c r="I614" s="117"/>
    </row>
    <row r="615" spans="1:9" ht="47.25" x14ac:dyDescent="0.25">
      <c r="A615" s="25" t="s">
        <v>285</v>
      </c>
      <c r="B615" s="16">
        <v>906</v>
      </c>
      <c r="C615" s="20" t="s">
        <v>279</v>
      </c>
      <c r="D615" s="20" t="s">
        <v>230</v>
      </c>
      <c r="E615" s="20" t="s">
        <v>444</v>
      </c>
      <c r="F615" s="20"/>
      <c r="G615" s="27">
        <f>G616</f>
        <v>21124</v>
      </c>
      <c r="H615" s="179"/>
      <c r="I615" s="117"/>
    </row>
    <row r="616" spans="1:9" ht="47.25" x14ac:dyDescent="0.25">
      <c r="A616" s="25" t="s">
        <v>287</v>
      </c>
      <c r="B616" s="16">
        <v>906</v>
      </c>
      <c r="C616" s="20" t="s">
        <v>279</v>
      </c>
      <c r="D616" s="20" t="s">
        <v>230</v>
      </c>
      <c r="E616" s="20" t="s">
        <v>444</v>
      </c>
      <c r="F616" s="20" t="s">
        <v>288</v>
      </c>
      <c r="G616" s="27">
        <f>G617</f>
        <v>21124</v>
      </c>
      <c r="H616" s="179"/>
      <c r="I616" s="117"/>
    </row>
    <row r="617" spans="1:9" ht="15.75" x14ac:dyDescent="0.25">
      <c r="A617" s="25" t="s">
        <v>289</v>
      </c>
      <c r="B617" s="16">
        <v>906</v>
      </c>
      <c r="C617" s="20" t="s">
        <v>279</v>
      </c>
      <c r="D617" s="20" t="s">
        <v>230</v>
      </c>
      <c r="E617" s="20" t="s">
        <v>444</v>
      </c>
      <c r="F617" s="20" t="s">
        <v>290</v>
      </c>
      <c r="G617" s="27">
        <f>21044+80</f>
        <v>21124</v>
      </c>
      <c r="H617" s="108"/>
      <c r="I617" s="127"/>
    </row>
    <row r="618" spans="1:9" ht="47.25" x14ac:dyDescent="0.25">
      <c r="A618" s="31" t="s">
        <v>720</v>
      </c>
      <c r="B618" s="16">
        <v>906</v>
      </c>
      <c r="C618" s="20" t="s">
        <v>279</v>
      </c>
      <c r="D618" s="20" t="s">
        <v>230</v>
      </c>
      <c r="E618" s="20" t="s">
        <v>462</v>
      </c>
      <c r="F618" s="20"/>
      <c r="G618" s="27">
        <f>G619</f>
        <v>355.9</v>
      </c>
      <c r="H618" s="179"/>
      <c r="I618" s="117"/>
    </row>
    <row r="619" spans="1:9" ht="31.5" x14ac:dyDescent="0.25">
      <c r="A619" s="45" t="s">
        <v>721</v>
      </c>
      <c r="B619" s="16">
        <v>906</v>
      </c>
      <c r="C619" s="20" t="s">
        <v>279</v>
      </c>
      <c r="D619" s="20" t="s">
        <v>230</v>
      </c>
      <c r="E619" s="20" t="s">
        <v>722</v>
      </c>
      <c r="F619" s="20"/>
      <c r="G619" s="27">
        <f>G620</f>
        <v>355.9</v>
      </c>
      <c r="H619" s="179"/>
      <c r="I619" s="117"/>
    </row>
    <row r="620" spans="1:9" ht="47.25" x14ac:dyDescent="0.25">
      <c r="A620" s="31" t="s">
        <v>287</v>
      </c>
      <c r="B620" s="16">
        <v>906</v>
      </c>
      <c r="C620" s="20" t="s">
        <v>279</v>
      </c>
      <c r="D620" s="20" t="s">
        <v>230</v>
      </c>
      <c r="E620" s="20" t="s">
        <v>722</v>
      </c>
      <c r="F620" s="20" t="s">
        <v>288</v>
      </c>
      <c r="G620" s="27">
        <f>G621</f>
        <v>355.9</v>
      </c>
      <c r="H620" s="108"/>
      <c r="I620" s="117"/>
    </row>
    <row r="621" spans="1:9" ht="15.75" x14ac:dyDescent="0.25">
      <c r="A621" s="31" t="s">
        <v>289</v>
      </c>
      <c r="B621" s="16">
        <v>906</v>
      </c>
      <c r="C621" s="20" t="s">
        <v>279</v>
      </c>
      <c r="D621" s="20" t="s">
        <v>230</v>
      </c>
      <c r="E621" s="20" t="s">
        <v>722</v>
      </c>
      <c r="F621" s="20" t="s">
        <v>290</v>
      </c>
      <c r="G621" s="27">
        <v>355.9</v>
      </c>
      <c r="H621" s="179"/>
      <c r="I621" s="117"/>
    </row>
    <row r="622" spans="1:9" ht="15.75" x14ac:dyDescent="0.25">
      <c r="A622" s="25" t="s">
        <v>480</v>
      </c>
      <c r="B622" s="16">
        <v>906</v>
      </c>
      <c r="C622" s="20" t="s">
        <v>279</v>
      </c>
      <c r="D622" s="20" t="s">
        <v>230</v>
      </c>
      <c r="E622" s="20" t="s">
        <v>137</v>
      </c>
      <c r="F622" s="20"/>
      <c r="G622" s="27">
        <f>G623</f>
        <v>1582.2</v>
      </c>
      <c r="H622" s="179"/>
      <c r="I622" s="117"/>
    </row>
    <row r="623" spans="1:9" ht="31.5" x14ac:dyDescent="0.25">
      <c r="A623" s="25" t="s">
        <v>200</v>
      </c>
      <c r="B623" s="16">
        <v>906</v>
      </c>
      <c r="C623" s="20" t="s">
        <v>279</v>
      </c>
      <c r="D623" s="20" t="s">
        <v>230</v>
      </c>
      <c r="E623" s="20" t="s">
        <v>201</v>
      </c>
      <c r="F623" s="20"/>
      <c r="G623" s="27">
        <f>G624+G627+G630</f>
        <v>1582.2</v>
      </c>
      <c r="H623" s="179"/>
      <c r="I623" s="117"/>
    </row>
    <row r="624" spans="1:9" ht="63" x14ac:dyDescent="0.25">
      <c r="A624" s="31" t="s">
        <v>304</v>
      </c>
      <c r="B624" s="16">
        <v>906</v>
      </c>
      <c r="C624" s="20" t="s">
        <v>279</v>
      </c>
      <c r="D624" s="20" t="s">
        <v>230</v>
      </c>
      <c r="E624" s="20" t="s">
        <v>305</v>
      </c>
      <c r="F624" s="20"/>
      <c r="G624" s="27">
        <f>G625</f>
        <v>110</v>
      </c>
      <c r="H624" s="179"/>
      <c r="I624" s="117"/>
    </row>
    <row r="625" spans="1:9" ht="47.25" x14ac:dyDescent="0.25">
      <c r="A625" s="25" t="s">
        <v>287</v>
      </c>
      <c r="B625" s="16">
        <v>906</v>
      </c>
      <c r="C625" s="20" t="s">
        <v>279</v>
      </c>
      <c r="D625" s="20" t="s">
        <v>230</v>
      </c>
      <c r="E625" s="20" t="s">
        <v>305</v>
      </c>
      <c r="F625" s="20" t="s">
        <v>288</v>
      </c>
      <c r="G625" s="27">
        <f>G626</f>
        <v>110</v>
      </c>
      <c r="H625" s="179"/>
      <c r="I625" s="117"/>
    </row>
    <row r="626" spans="1:9" ht="15.75" x14ac:dyDescent="0.25">
      <c r="A626" s="25" t="s">
        <v>289</v>
      </c>
      <c r="B626" s="16">
        <v>906</v>
      </c>
      <c r="C626" s="20" t="s">
        <v>279</v>
      </c>
      <c r="D626" s="20" t="s">
        <v>230</v>
      </c>
      <c r="E626" s="20" t="s">
        <v>305</v>
      </c>
      <c r="F626" s="20" t="s">
        <v>290</v>
      </c>
      <c r="G626" s="27">
        <v>110</v>
      </c>
      <c r="H626" s="179"/>
      <c r="I626" s="117"/>
    </row>
    <row r="627" spans="1:9" ht="78.75" x14ac:dyDescent="0.25">
      <c r="A627" s="31" t="s">
        <v>306</v>
      </c>
      <c r="B627" s="16">
        <v>906</v>
      </c>
      <c r="C627" s="20" t="s">
        <v>279</v>
      </c>
      <c r="D627" s="20" t="s">
        <v>230</v>
      </c>
      <c r="E627" s="20" t="s">
        <v>307</v>
      </c>
      <c r="F627" s="20"/>
      <c r="G627" s="27">
        <f>G628</f>
        <v>572.20000000000005</v>
      </c>
      <c r="H627" s="179"/>
      <c r="I627" s="117"/>
    </row>
    <row r="628" spans="1:9" ht="47.25" x14ac:dyDescent="0.25">
      <c r="A628" s="25" t="s">
        <v>287</v>
      </c>
      <c r="B628" s="16">
        <v>906</v>
      </c>
      <c r="C628" s="20" t="s">
        <v>279</v>
      </c>
      <c r="D628" s="20" t="s">
        <v>230</v>
      </c>
      <c r="E628" s="20" t="s">
        <v>307</v>
      </c>
      <c r="F628" s="20" t="s">
        <v>288</v>
      </c>
      <c r="G628" s="27">
        <f>G629</f>
        <v>572.20000000000005</v>
      </c>
      <c r="H628" s="179"/>
      <c r="I628" s="117"/>
    </row>
    <row r="629" spans="1:9" ht="15.75" x14ac:dyDescent="0.25">
      <c r="A629" s="25" t="s">
        <v>289</v>
      </c>
      <c r="B629" s="16">
        <v>906</v>
      </c>
      <c r="C629" s="20" t="s">
        <v>279</v>
      </c>
      <c r="D629" s="20" t="s">
        <v>230</v>
      </c>
      <c r="E629" s="20" t="s">
        <v>307</v>
      </c>
      <c r="F629" s="20" t="s">
        <v>290</v>
      </c>
      <c r="G629" s="27">
        <v>572.20000000000005</v>
      </c>
      <c r="H629" s="179"/>
      <c r="I629" s="117"/>
    </row>
    <row r="630" spans="1:9" ht="110.25" x14ac:dyDescent="0.25">
      <c r="A630" s="31" t="s">
        <v>308</v>
      </c>
      <c r="B630" s="16">
        <v>906</v>
      </c>
      <c r="C630" s="20" t="s">
        <v>279</v>
      </c>
      <c r="D630" s="20" t="s">
        <v>230</v>
      </c>
      <c r="E630" s="20" t="s">
        <v>309</v>
      </c>
      <c r="F630" s="20"/>
      <c r="G630" s="27">
        <f>G631</f>
        <v>900</v>
      </c>
      <c r="H630" s="179"/>
      <c r="I630" s="117"/>
    </row>
    <row r="631" spans="1:9" ht="47.25" x14ac:dyDescent="0.25">
      <c r="A631" s="25" t="s">
        <v>287</v>
      </c>
      <c r="B631" s="16">
        <v>906</v>
      </c>
      <c r="C631" s="20" t="s">
        <v>279</v>
      </c>
      <c r="D631" s="20" t="s">
        <v>230</v>
      </c>
      <c r="E631" s="20" t="s">
        <v>309</v>
      </c>
      <c r="F631" s="20" t="s">
        <v>288</v>
      </c>
      <c r="G631" s="27">
        <f>G632</f>
        <v>900</v>
      </c>
      <c r="H631" s="179"/>
      <c r="I631" s="117"/>
    </row>
    <row r="632" spans="1:9" ht="15.75" x14ac:dyDescent="0.25">
      <c r="A632" s="25" t="s">
        <v>289</v>
      </c>
      <c r="B632" s="16">
        <v>906</v>
      </c>
      <c r="C632" s="20" t="s">
        <v>279</v>
      </c>
      <c r="D632" s="20" t="s">
        <v>230</v>
      </c>
      <c r="E632" s="20" t="s">
        <v>309</v>
      </c>
      <c r="F632" s="20" t="s">
        <v>290</v>
      </c>
      <c r="G632" s="27">
        <v>900</v>
      </c>
      <c r="H632" s="179"/>
      <c r="I632" s="117"/>
    </row>
    <row r="633" spans="1:9" ht="31.5" x14ac:dyDescent="0.25">
      <c r="A633" s="23" t="s">
        <v>481</v>
      </c>
      <c r="B633" s="19">
        <v>906</v>
      </c>
      <c r="C633" s="24" t="s">
        <v>279</v>
      </c>
      <c r="D633" s="24" t="s">
        <v>279</v>
      </c>
      <c r="E633" s="24"/>
      <c r="F633" s="24"/>
      <c r="G633" s="21">
        <f>G634+G639</f>
        <v>4788.6000000000004</v>
      </c>
      <c r="H633" s="179"/>
    </row>
    <row r="634" spans="1:9" ht="47.25" x14ac:dyDescent="0.25">
      <c r="A634" s="25" t="s">
        <v>441</v>
      </c>
      <c r="B634" s="16">
        <v>906</v>
      </c>
      <c r="C634" s="20" t="s">
        <v>279</v>
      </c>
      <c r="D634" s="20" t="s">
        <v>279</v>
      </c>
      <c r="E634" s="20" t="s">
        <v>421</v>
      </c>
      <c r="F634" s="20"/>
      <c r="G634" s="26">
        <f>G635</f>
        <v>3484.8</v>
      </c>
      <c r="H634" s="179"/>
    </row>
    <row r="635" spans="1:9" ht="31.5" x14ac:dyDescent="0.25">
      <c r="A635" s="25" t="s">
        <v>482</v>
      </c>
      <c r="B635" s="16">
        <v>906</v>
      </c>
      <c r="C635" s="20" t="s">
        <v>279</v>
      </c>
      <c r="D635" s="20" t="s">
        <v>483</v>
      </c>
      <c r="E635" s="20" t="s">
        <v>484</v>
      </c>
      <c r="F635" s="20"/>
      <c r="G635" s="26">
        <f>G636</f>
        <v>3484.8</v>
      </c>
      <c r="H635" s="179"/>
    </row>
    <row r="636" spans="1:9" ht="47.25" x14ac:dyDescent="0.25">
      <c r="A636" s="25" t="s">
        <v>485</v>
      </c>
      <c r="B636" s="16">
        <v>906</v>
      </c>
      <c r="C636" s="20" t="s">
        <v>279</v>
      </c>
      <c r="D636" s="20" t="s">
        <v>279</v>
      </c>
      <c r="E636" s="20" t="s">
        <v>486</v>
      </c>
      <c r="F636" s="20"/>
      <c r="G636" s="26">
        <f>G637</f>
        <v>3484.8</v>
      </c>
      <c r="H636" s="179"/>
    </row>
    <row r="637" spans="1:9" ht="47.25" x14ac:dyDescent="0.25">
      <c r="A637" s="25" t="s">
        <v>287</v>
      </c>
      <c r="B637" s="16">
        <v>906</v>
      </c>
      <c r="C637" s="20" t="s">
        <v>279</v>
      </c>
      <c r="D637" s="20" t="s">
        <v>279</v>
      </c>
      <c r="E637" s="20" t="s">
        <v>486</v>
      </c>
      <c r="F637" s="20" t="s">
        <v>288</v>
      </c>
      <c r="G637" s="26">
        <f t="shared" ref="G637:G642" si="3">G638</f>
        <v>3484.8</v>
      </c>
      <c r="H637" s="179"/>
    </row>
    <row r="638" spans="1:9" ht="15.75" x14ac:dyDescent="0.25">
      <c r="A638" s="25" t="s">
        <v>289</v>
      </c>
      <c r="B638" s="16">
        <v>906</v>
      </c>
      <c r="C638" s="20" t="s">
        <v>279</v>
      </c>
      <c r="D638" s="20" t="s">
        <v>279</v>
      </c>
      <c r="E638" s="20" t="s">
        <v>486</v>
      </c>
      <c r="F638" s="20" t="s">
        <v>290</v>
      </c>
      <c r="G638" s="27">
        <v>3484.8</v>
      </c>
      <c r="H638" s="179"/>
    </row>
    <row r="639" spans="1:9" ht="15.75" x14ac:dyDescent="0.25">
      <c r="A639" s="25" t="s">
        <v>136</v>
      </c>
      <c r="B639" s="16">
        <v>906</v>
      </c>
      <c r="C639" s="20" t="s">
        <v>279</v>
      </c>
      <c r="D639" s="20" t="s">
        <v>279</v>
      </c>
      <c r="E639" s="20" t="s">
        <v>137</v>
      </c>
      <c r="F639" s="20"/>
      <c r="G639" s="26">
        <f>G640</f>
        <v>1303.8000000000002</v>
      </c>
      <c r="H639" s="179"/>
    </row>
    <row r="640" spans="1:9" ht="31.5" x14ac:dyDescent="0.25">
      <c r="A640" s="25" t="s">
        <v>200</v>
      </c>
      <c r="B640" s="16">
        <v>906</v>
      </c>
      <c r="C640" s="20" t="s">
        <v>279</v>
      </c>
      <c r="D640" s="20" t="s">
        <v>279</v>
      </c>
      <c r="E640" s="20" t="s">
        <v>201</v>
      </c>
      <c r="F640" s="20"/>
      <c r="G640" s="26">
        <f>G642</f>
        <v>1303.8000000000002</v>
      </c>
      <c r="H640" s="179"/>
    </row>
    <row r="641" spans="1:9" ht="63" hidden="1" x14ac:dyDescent="0.25">
      <c r="A641" s="25" t="s">
        <v>487</v>
      </c>
      <c r="B641" s="16">
        <v>906</v>
      </c>
      <c r="C641" s="20" t="s">
        <v>279</v>
      </c>
      <c r="D641" s="20" t="s">
        <v>279</v>
      </c>
      <c r="E641" s="20" t="s">
        <v>488</v>
      </c>
      <c r="F641" s="20"/>
      <c r="G641" s="26">
        <f t="shared" si="3"/>
        <v>1303.8000000000002</v>
      </c>
      <c r="H641" s="179"/>
    </row>
    <row r="642" spans="1:9" ht="31.5" x14ac:dyDescent="0.25">
      <c r="A642" s="31" t="s">
        <v>489</v>
      </c>
      <c r="B642" s="16">
        <v>906</v>
      </c>
      <c r="C642" s="20" t="s">
        <v>279</v>
      </c>
      <c r="D642" s="20" t="s">
        <v>279</v>
      </c>
      <c r="E642" s="20" t="s">
        <v>490</v>
      </c>
      <c r="F642" s="20"/>
      <c r="G642" s="26">
        <f t="shared" si="3"/>
        <v>1303.8000000000002</v>
      </c>
      <c r="H642" s="179"/>
    </row>
    <row r="643" spans="1:9" ht="47.25" x14ac:dyDescent="0.25">
      <c r="A643" s="25" t="s">
        <v>287</v>
      </c>
      <c r="B643" s="16">
        <v>906</v>
      </c>
      <c r="C643" s="20" t="s">
        <v>279</v>
      </c>
      <c r="D643" s="20" t="s">
        <v>279</v>
      </c>
      <c r="E643" s="20" t="s">
        <v>490</v>
      </c>
      <c r="F643" s="20" t="s">
        <v>288</v>
      </c>
      <c r="G643" s="26">
        <f>G644</f>
        <v>1303.8000000000002</v>
      </c>
      <c r="H643" s="179"/>
    </row>
    <row r="644" spans="1:9" ht="15.75" x14ac:dyDescent="0.25">
      <c r="A644" s="25" t="s">
        <v>289</v>
      </c>
      <c r="B644" s="16">
        <v>906</v>
      </c>
      <c r="C644" s="20" t="s">
        <v>279</v>
      </c>
      <c r="D644" s="20" t="s">
        <v>279</v>
      </c>
      <c r="E644" s="20" t="s">
        <v>490</v>
      </c>
      <c r="F644" s="20" t="s">
        <v>290</v>
      </c>
      <c r="G644" s="27">
        <f>1660.4-356.6</f>
        <v>1303.8000000000002</v>
      </c>
      <c r="H644" s="179"/>
      <c r="I644" s="117"/>
    </row>
    <row r="645" spans="1:9" ht="15.75" x14ac:dyDescent="0.25">
      <c r="A645" s="23" t="s">
        <v>310</v>
      </c>
      <c r="B645" s="19">
        <v>906</v>
      </c>
      <c r="C645" s="24" t="s">
        <v>279</v>
      </c>
      <c r="D645" s="24" t="s">
        <v>234</v>
      </c>
      <c r="E645" s="24"/>
      <c r="F645" s="24"/>
      <c r="G645" s="21">
        <f>G646+G655</f>
        <v>18322.300000000003</v>
      </c>
      <c r="H645" s="179"/>
    </row>
    <row r="646" spans="1:9" ht="47.25" x14ac:dyDescent="0.25">
      <c r="A646" s="25" t="s">
        <v>349</v>
      </c>
      <c r="B646" s="16">
        <v>906</v>
      </c>
      <c r="C646" s="20" t="s">
        <v>279</v>
      </c>
      <c r="D646" s="20" t="s">
        <v>234</v>
      </c>
      <c r="E646" s="20" t="s">
        <v>350</v>
      </c>
      <c r="F646" s="20"/>
      <c r="G646" s="26">
        <f>G647+G650</f>
        <v>20</v>
      </c>
      <c r="H646" s="179"/>
      <c r="I646" s="117"/>
    </row>
    <row r="647" spans="1:9" ht="31.5" hidden="1" x14ac:dyDescent="0.25">
      <c r="A647" s="25" t="s">
        <v>351</v>
      </c>
      <c r="B647" s="16">
        <v>906</v>
      </c>
      <c r="C647" s="20" t="s">
        <v>279</v>
      </c>
      <c r="D647" s="20" t="s">
        <v>234</v>
      </c>
      <c r="E647" s="20" t="s">
        <v>352</v>
      </c>
      <c r="F647" s="20"/>
      <c r="G647" s="26">
        <f>G648</f>
        <v>0</v>
      </c>
      <c r="H647" s="179"/>
    </row>
    <row r="648" spans="1:9" ht="31.5" hidden="1" x14ac:dyDescent="0.25">
      <c r="A648" s="25" t="s">
        <v>146</v>
      </c>
      <c r="B648" s="16">
        <v>906</v>
      </c>
      <c r="C648" s="20" t="s">
        <v>279</v>
      </c>
      <c r="D648" s="20" t="s">
        <v>234</v>
      </c>
      <c r="E648" s="20" t="s">
        <v>352</v>
      </c>
      <c r="F648" s="20" t="s">
        <v>147</v>
      </c>
      <c r="G648" s="26">
        <f>G649</f>
        <v>0</v>
      </c>
      <c r="H648" s="179"/>
    </row>
    <row r="649" spans="1:9" ht="47.25" hidden="1" x14ac:dyDescent="0.25">
      <c r="A649" s="25" t="s">
        <v>148</v>
      </c>
      <c r="B649" s="16">
        <v>906</v>
      </c>
      <c r="C649" s="20" t="s">
        <v>279</v>
      </c>
      <c r="D649" s="20" t="s">
        <v>234</v>
      </c>
      <c r="E649" s="20" t="s">
        <v>352</v>
      </c>
      <c r="F649" s="20" t="s">
        <v>149</v>
      </c>
      <c r="G649" s="26">
        <f>50-50</f>
        <v>0</v>
      </c>
      <c r="H649" s="108"/>
      <c r="I649" s="126"/>
    </row>
    <row r="650" spans="1:9" ht="63" x14ac:dyDescent="0.25">
      <c r="A650" s="25" t="s">
        <v>491</v>
      </c>
      <c r="B650" s="16">
        <v>906</v>
      </c>
      <c r="C650" s="20" t="s">
        <v>279</v>
      </c>
      <c r="D650" s="20" t="s">
        <v>234</v>
      </c>
      <c r="E650" s="20" t="s">
        <v>492</v>
      </c>
      <c r="F650" s="20"/>
      <c r="G650" s="26">
        <f>G651+G653</f>
        <v>20</v>
      </c>
      <c r="H650" s="179"/>
    </row>
    <row r="651" spans="1:9" ht="94.5" x14ac:dyDescent="0.25">
      <c r="A651" s="25" t="s">
        <v>142</v>
      </c>
      <c r="B651" s="16">
        <v>906</v>
      </c>
      <c r="C651" s="20" t="s">
        <v>279</v>
      </c>
      <c r="D651" s="20" t="s">
        <v>234</v>
      </c>
      <c r="E651" s="20" t="s">
        <v>492</v>
      </c>
      <c r="F651" s="20" t="s">
        <v>143</v>
      </c>
      <c r="G651" s="26">
        <f>G652</f>
        <v>5</v>
      </c>
      <c r="H651" s="179"/>
    </row>
    <row r="652" spans="1:9" ht="31.5" x14ac:dyDescent="0.25">
      <c r="A652" s="25" t="s">
        <v>357</v>
      </c>
      <c r="B652" s="16">
        <v>906</v>
      </c>
      <c r="C652" s="20" t="s">
        <v>279</v>
      </c>
      <c r="D652" s="20" t="s">
        <v>234</v>
      </c>
      <c r="E652" s="20" t="s">
        <v>492</v>
      </c>
      <c r="F652" s="20" t="s">
        <v>224</v>
      </c>
      <c r="G652" s="26">
        <v>5</v>
      </c>
      <c r="H652" s="179"/>
    </row>
    <row r="653" spans="1:9" ht="31.5" x14ac:dyDescent="0.25">
      <c r="A653" s="25" t="s">
        <v>146</v>
      </c>
      <c r="B653" s="16">
        <v>906</v>
      </c>
      <c r="C653" s="20" t="s">
        <v>279</v>
      </c>
      <c r="D653" s="20" t="s">
        <v>234</v>
      </c>
      <c r="E653" s="20" t="s">
        <v>492</v>
      </c>
      <c r="F653" s="20" t="s">
        <v>147</v>
      </c>
      <c r="G653" s="26">
        <f>G654</f>
        <v>15</v>
      </c>
      <c r="H653" s="179"/>
    </row>
    <row r="654" spans="1:9" ht="47.25" x14ac:dyDescent="0.25">
      <c r="A654" s="25" t="s">
        <v>148</v>
      </c>
      <c r="B654" s="16">
        <v>906</v>
      </c>
      <c r="C654" s="20" t="s">
        <v>279</v>
      </c>
      <c r="D654" s="20" t="s">
        <v>234</v>
      </c>
      <c r="E654" s="20" t="s">
        <v>492</v>
      </c>
      <c r="F654" s="20" t="s">
        <v>149</v>
      </c>
      <c r="G654" s="26">
        <v>15</v>
      </c>
      <c r="H654" s="179"/>
    </row>
    <row r="655" spans="1:9" ht="15.75" x14ac:dyDescent="0.25">
      <c r="A655" s="25" t="s">
        <v>136</v>
      </c>
      <c r="B655" s="16">
        <v>906</v>
      </c>
      <c r="C655" s="20" t="s">
        <v>279</v>
      </c>
      <c r="D655" s="20" t="s">
        <v>234</v>
      </c>
      <c r="E655" s="20" t="s">
        <v>137</v>
      </c>
      <c r="F655" s="20"/>
      <c r="G655" s="26">
        <f>G656+G662</f>
        <v>18302.300000000003</v>
      </c>
      <c r="H655" s="179"/>
    </row>
    <row r="656" spans="1:9" ht="31.5" x14ac:dyDescent="0.25">
      <c r="A656" s="25" t="s">
        <v>138</v>
      </c>
      <c r="B656" s="16">
        <v>906</v>
      </c>
      <c r="C656" s="20" t="s">
        <v>279</v>
      </c>
      <c r="D656" s="20" t="s">
        <v>234</v>
      </c>
      <c r="E656" s="20" t="s">
        <v>139</v>
      </c>
      <c r="F656" s="20"/>
      <c r="G656" s="26">
        <f>G657</f>
        <v>5138.7</v>
      </c>
      <c r="H656" s="179"/>
    </row>
    <row r="657" spans="1:11" ht="47.25" x14ac:dyDescent="0.25">
      <c r="A657" s="25" t="s">
        <v>140</v>
      </c>
      <c r="B657" s="16">
        <v>906</v>
      </c>
      <c r="C657" s="20" t="s">
        <v>279</v>
      </c>
      <c r="D657" s="20" t="s">
        <v>234</v>
      </c>
      <c r="E657" s="20" t="s">
        <v>141</v>
      </c>
      <c r="F657" s="20"/>
      <c r="G657" s="26">
        <f>G658+G660</f>
        <v>5138.7</v>
      </c>
      <c r="H657" s="179"/>
    </row>
    <row r="658" spans="1:11" ht="94.5" x14ac:dyDescent="0.25">
      <c r="A658" s="25" t="s">
        <v>142</v>
      </c>
      <c r="B658" s="16">
        <v>906</v>
      </c>
      <c r="C658" s="20" t="s">
        <v>279</v>
      </c>
      <c r="D658" s="20" t="s">
        <v>234</v>
      </c>
      <c r="E658" s="20" t="s">
        <v>141</v>
      </c>
      <c r="F658" s="20" t="s">
        <v>143</v>
      </c>
      <c r="G658" s="26">
        <f>G659</f>
        <v>4981.5</v>
      </c>
      <c r="H658" s="179"/>
    </row>
    <row r="659" spans="1:11" ht="31.5" x14ac:dyDescent="0.25">
      <c r="A659" s="25" t="s">
        <v>144</v>
      </c>
      <c r="B659" s="16">
        <v>906</v>
      </c>
      <c r="C659" s="20" t="s">
        <v>279</v>
      </c>
      <c r="D659" s="20" t="s">
        <v>234</v>
      </c>
      <c r="E659" s="20" t="s">
        <v>141</v>
      </c>
      <c r="F659" s="20" t="s">
        <v>145</v>
      </c>
      <c r="G659" s="158">
        <f>4975.7+5.8</f>
        <v>4981.5</v>
      </c>
      <c r="H659" s="159" t="s">
        <v>746</v>
      </c>
    </row>
    <row r="660" spans="1:11" ht="31.5" x14ac:dyDescent="0.25">
      <c r="A660" s="25" t="s">
        <v>146</v>
      </c>
      <c r="B660" s="16">
        <v>906</v>
      </c>
      <c r="C660" s="20" t="s">
        <v>279</v>
      </c>
      <c r="D660" s="20" t="s">
        <v>234</v>
      </c>
      <c r="E660" s="20" t="s">
        <v>141</v>
      </c>
      <c r="F660" s="20" t="s">
        <v>147</v>
      </c>
      <c r="G660" s="26">
        <f>G661</f>
        <v>157.19999999999999</v>
      </c>
      <c r="H660" s="179"/>
    </row>
    <row r="661" spans="1:11" ht="47.25" x14ac:dyDescent="0.25">
      <c r="A661" s="25" t="s">
        <v>148</v>
      </c>
      <c r="B661" s="16">
        <v>906</v>
      </c>
      <c r="C661" s="20" t="s">
        <v>279</v>
      </c>
      <c r="D661" s="20" t="s">
        <v>234</v>
      </c>
      <c r="E661" s="20" t="s">
        <v>141</v>
      </c>
      <c r="F661" s="20" t="s">
        <v>149</v>
      </c>
      <c r="G661" s="160">
        <f>163-5.8</f>
        <v>157.19999999999999</v>
      </c>
      <c r="H661" s="159" t="s">
        <v>745</v>
      </c>
    </row>
    <row r="662" spans="1:11" ht="15.75" x14ac:dyDescent="0.25">
      <c r="A662" s="25" t="s">
        <v>156</v>
      </c>
      <c r="B662" s="16">
        <v>906</v>
      </c>
      <c r="C662" s="20" t="s">
        <v>279</v>
      </c>
      <c r="D662" s="20" t="s">
        <v>234</v>
      </c>
      <c r="E662" s="20" t="s">
        <v>157</v>
      </c>
      <c r="F662" s="20"/>
      <c r="G662" s="26">
        <f>G666+G663</f>
        <v>13163.600000000002</v>
      </c>
      <c r="H662" s="179"/>
    </row>
    <row r="663" spans="1:11" ht="15.75" x14ac:dyDescent="0.25">
      <c r="A663" s="25" t="s">
        <v>493</v>
      </c>
      <c r="B663" s="16">
        <v>906</v>
      </c>
      <c r="C663" s="20" t="s">
        <v>279</v>
      </c>
      <c r="D663" s="20" t="s">
        <v>234</v>
      </c>
      <c r="E663" s="20" t="s">
        <v>494</v>
      </c>
      <c r="F663" s="20"/>
      <c r="G663" s="26">
        <f>G664</f>
        <v>375</v>
      </c>
      <c r="H663" s="179"/>
    </row>
    <row r="664" spans="1:11" ht="31.5" x14ac:dyDescent="0.25">
      <c r="A664" s="25" t="s">
        <v>146</v>
      </c>
      <c r="B664" s="16">
        <v>906</v>
      </c>
      <c r="C664" s="20" t="s">
        <v>279</v>
      </c>
      <c r="D664" s="20" t="s">
        <v>234</v>
      </c>
      <c r="E664" s="20" t="s">
        <v>494</v>
      </c>
      <c r="F664" s="20" t="s">
        <v>147</v>
      </c>
      <c r="G664" s="26">
        <f>G665</f>
        <v>375</v>
      </c>
      <c r="H664" s="179"/>
    </row>
    <row r="665" spans="1:11" ht="47.25" x14ac:dyDescent="0.25">
      <c r="A665" s="25" t="s">
        <v>148</v>
      </c>
      <c r="B665" s="16">
        <v>906</v>
      </c>
      <c r="C665" s="20" t="s">
        <v>279</v>
      </c>
      <c r="D665" s="20" t="s">
        <v>234</v>
      </c>
      <c r="E665" s="20" t="s">
        <v>494</v>
      </c>
      <c r="F665" s="20" t="s">
        <v>149</v>
      </c>
      <c r="G665" s="164">
        <f>206.3+143.7+25</f>
        <v>375</v>
      </c>
      <c r="H665" s="159" t="s">
        <v>762</v>
      </c>
      <c r="I665" s="117"/>
    </row>
    <row r="666" spans="1:11" ht="31.5" x14ac:dyDescent="0.25">
      <c r="A666" s="25" t="s">
        <v>355</v>
      </c>
      <c r="B666" s="16">
        <v>906</v>
      </c>
      <c r="C666" s="20" t="s">
        <v>279</v>
      </c>
      <c r="D666" s="20" t="s">
        <v>234</v>
      </c>
      <c r="E666" s="20" t="s">
        <v>356</v>
      </c>
      <c r="F666" s="20"/>
      <c r="G666" s="26">
        <f>G667+G669+G671</f>
        <v>12788.600000000002</v>
      </c>
      <c r="H666" s="179"/>
      <c r="J666" s="476"/>
      <c r="K666" s="476"/>
    </row>
    <row r="667" spans="1:11" ht="94.5" x14ac:dyDescent="0.25">
      <c r="A667" s="25" t="s">
        <v>142</v>
      </c>
      <c r="B667" s="16">
        <v>906</v>
      </c>
      <c r="C667" s="20" t="s">
        <v>279</v>
      </c>
      <c r="D667" s="20" t="s">
        <v>234</v>
      </c>
      <c r="E667" s="20" t="s">
        <v>356</v>
      </c>
      <c r="F667" s="20" t="s">
        <v>143</v>
      </c>
      <c r="G667" s="26">
        <f>G668</f>
        <v>11519.300000000001</v>
      </c>
      <c r="H667" s="179"/>
      <c r="J667" s="476"/>
      <c r="K667" s="476"/>
    </row>
    <row r="668" spans="1:11" ht="31.5" x14ac:dyDescent="0.25">
      <c r="A668" s="25" t="s">
        <v>357</v>
      </c>
      <c r="B668" s="16">
        <v>906</v>
      </c>
      <c r="C668" s="20" t="s">
        <v>279</v>
      </c>
      <c r="D668" s="20" t="s">
        <v>234</v>
      </c>
      <c r="E668" s="20" t="s">
        <v>356</v>
      </c>
      <c r="F668" s="20" t="s">
        <v>224</v>
      </c>
      <c r="G668" s="27">
        <f>11988.7-469.4</f>
        <v>11519.300000000001</v>
      </c>
      <c r="H668" s="108"/>
      <c r="I668" s="126"/>
      <c r="J668" s="476"/>
      <c r="K668" s="476"/>
    </row>
    <row r="669" spans="1:11" ht="31.5" x14ac:dyDescent="0.25">
      <c r="A669" s="25" t="s">
        <v>146</v>
      </c>
      <c r="B669" s="16">
        <v>906</v>
      </c>
      <c r="C669" s="20" t="s">
        <v>279</v>
      </c>
      <c r="D669" s="20" t="s">
        <v>234</v>
      </c>
      <c r="E669" s="20" t="s">
        <v>356</v>
      </c>
      <c r="F669" s="20" t="s">
        <v>147</v>
      </c>
      <c r="G669" s="26">
        <f>G670</f>
        <v>1264.0999999999999</v>
      </c>
      <c r="H669" s="179"/>
      <c r="J669" s="476"/>
      <c r="K669" s="476"/>
    </row>
    <row r="670" spans="1:11" ht="47.25" x14ac:dyDescent="0.25">
      <c r="A670" s="25" t="s">
        <v>148</v>
      </c>
      <c r="B670" s="16">
        <v>906</v>
      </c>
      <c r="C670" s="20" t="s">
        <v>279</v>
      </c>
      <c r="D670" s="20" t="s">
        <v>234</v>
      </c>
      <c r="E670" s="20" t="s">
        <v>356</v>
      </c>
      <c r="F670" s="20" t="s">
        <v>149</v>
      </c>
      <c r="G670" s="26">
        <f>1416.8-152.7</f>
        <v>1264.0999999999999</v>
      </c>
      <c r="H670" s="108"/>
      <c r="I670" s="126"/>
      <c r="J670" s="476"/>
      <c r="K670" s="476"/>
    </row>
    <row r="671" spans="1:11" ht="15.75" x14ac:dyDescent="0.25">
      <c r="A671" s="25" t="s">
        <v>150</v>
      </c>
      <c r="B671" s="16">
        <v>906</v>
      </c>
      <c r="C671" s="20" t="s">
        <v>279</v>
      </c>
      <c r="D671" s="20" t="s">
        <v>234</v>
      </c>
      <c r="E671" s="20" t="s">
        <v>356</v>
      </c>
      <c r="F671" s="20" t="s">
        <v>160</v>
      </c>
      <c r="G671" s="26">
        <f>G672</f>
        <v>5.2</v>
      </c>
      <c r="H671" s="179"/>
      <c r="J671" s="476"/>
      <c r="K671" s="476"/>
    </row>
    <row r="672" spans="1:11" ht="15.75" x14ac:dyDescent="0.25">
      <c r="A672" s="25" t="s">
        <v>583</v>
      </c>
      <c r="B672" s="16">
        <v>906</v>
      </c>
      <c r="C672" s="20" t="s">
        <v>279</v>
      </c>
      <c r="D672" s="20" t="s">
        <v>234</v>
      </c>
      <c r="E672" s="20" t="s">
        <v>356</v>
      </c>
      <c r="F672" s="20" t="s">
        <v>153</v>
      </c>
      <c r="G672" s="26">
        <f>7-1.8</f>
        <v>5.2</v>
      </c>
      <c r="H672" s="108"/>
      <c r="I672" s="126"/>
      <c r="J672" s="476"/>
      <c r="K672" s="476"/>
    </row>
    <row r="673" spans="1:10" ht="47.25" x14ac:dyDescent="0.25">
      <c r="A673" s="19" t="s">
        <v>495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9"/>
    </row>
    <row r="674" spans="1:10" ht="15.75" x14ac:dyDescent="0.25">
      <c r="A674" s="23" t="s">
        <v>278</v>
      </c>
      <c r="B674" s="19">
        <v>907</v>
      </c>
      <c r="C674" s="24" t="s">
        <v>483</v>
      </c>
      <c r="D674" s="24"/>
      <c r="E674" s="24"/>
      <c r="F674" s="24"/>
      <c r="G674" s="21">
        <f>G675</f>
        <v>11485.1</v>
      </c>
      <c r="H674" s="179"/>
    </row>
    <row r="675" spans="1:10" ht="15.75" x14ac:dyDescent="0.25">
      <c r="A675" s="23" t="s">
        <v>280</v>
      </c>
      <c r="B675" s="19">
        <v>907</v>
      </c>
      <c r="C675" s="24" t="s">
        <v>279</v>
      </c>
      <c r="D675" s="24" t="s">
        <v>230</v>
      </c>
      <c r="E675" s="24"/>
      <c r="F675" s="24"/>
      <c r="G675" s="21">
        <f>G676+G693</f>
        <v>11485.1</v>
      </c>
      <c r="H675" s="179"/>
      <c r="J675" s="118"/>
    </row>
    <row r="676" spans="1:10" ht="47.25" x14ac:dyDescent="0.25">
      <c r="A676" s="25" t="s">
        <v>496</v>
      </c>
      <c r="B676" s="16">
        <v>907</v>
      </c>
      <c r="C676" s="20" t="s">
        <v>279</v>
      </c>
      <c r="D676" s="20" t="s">
        <v>230</v>
      </c>
      <c r="E676" s="20" t="s">
        <v>497</v>
      </c>
      <c r="F676" s="20"/>
      <c r="G676" s="26">
        <f>G677</f>
        <v>10758</v>
      </c>
      <c r="H676" s="179"/>
    </row>
    <row r="677" spans="1:10" ht="47.25" x14ac:dyDescent="0.25">
      <c r="A677" s="25" t="s">
        <v>498</v>
      </c>
      <c r="B677" s="16">
        <v>907</v>
      </c>
      <c r="C677" s="20" t="s">
        <v>279</v>
      </c>
      <c r="D677" s="20" t="s">
        <v>230</v>
      </c>
      <c r="E677" s="20" t="s">
        <v>499</v>
      </c>
      <c r="F677" s="20"/>
      <c r="G677" s="26">
        <f>G678+G681+G684+G690+G687</f>
        <v>10758</v>
      </c>
      <c r="H677" s="179"/>
    </row>
    <row r="678" spans="1:10" ht="47.25" x14ac:dyDescent="0.25">
      <c r="A678" s="25" t="s">
        <v>285</v>
      </c>
      <c r="B678" s="16">
        <v>907</v>
      </c>
      <c r="C678" s="20" t="s">
        <v>279</v>
      </c>
      <c r="D678" s="20" t="s">
        <v>230</v>
      </c>
      <c r="E678" s="20" t="s">
        <v>500</v>
      </c>
      <c r="F678" s="20"/>
      <c r="G678" s="26">
        <f>G679</f>
        <v>10722</v>
      </c>
      <c r="H678" s="179"/>
    </row>
    <row r="679" spans="1:10" ht="47.25" x14ac:dyDescent="0.25">
      <c r="A679" s="25" t="s">
        <v>287</v>
      </c>
      <c r="B679" s="16">
        <v>907</v>
      </c>
      <c r="C679" s="20" t="s">
        <v>279</v>
      </c>
      <c r="D679" s="20" t="s">
        <v>230</v>
      </c>
      <c r="E679" s="20" t="s">
        <v>500</v>
      </c>
      <c r="F679" s="20" t="s">
        <v>288</v>
      </c>
      <c r="G679" s="26">
        <f>G680</f>
        <v>10722</v>
      </c>
      <c r="H679" s="179"/>
    </row>
    <row r="680" spans="1:10" ht="15.75" x14ac:dyDescent="0.25">
      <c r="A680" s="25" t="s">
        <v>289</v>
      </c>
      <c r="B680" s="16">
        <v>907</v>
      </c>
      <c r="C680" s="20" t="s">
        <v>279</v>
      </c>
      <c r="D680" s="20" t="s">
        <v>230</v>
      </c>
      <c r="E680" s="20" t="s">
        <v>500</v>
      </c>
      <c r="F680" s="20" t="s">
        <v>290</v>
      </c>
      <c r="G680" s="27">
        <f>10500+753.9-531.9</f>
        <v>10722</v>
      </c>
      <c r="H680" s="108"/>
      <c r="I680" s="127"/>
    </row>
    <row r="681" spans="1:10" ht="47.25" hidden="1" x14ac:dyDescent="0.25">
      <c r="A681" s="25" t="s">
        <v>293</v>
      </c>
      <c r="B681" s="16">
        <v>907</v>
      </c>
      <c r="C681" s="20" t="s">
        <v>279</v>
      </c>
      <c r="D681" s="20" t="s">
        <v>228</v>
      </c>
      <c r="E681" s="20" t="s">
        <v>501</v>
      </c>
      <c r="F681" s="20"/>
      <c r="G681" s="26">
        <f>G682</f>
        <v>0</v>
      </c>
      <c r="H681" s="179"/>
    </row>
    <row r="682" spans="1:10" ht="47.25" hidden="1" x14ac:dyDescent="0.25">
      <c r="A682" s="25" t="s">
        <v>287</v>
      </c>
      <c r="B682" s="16">
        <v>907</v>
      </c>
      <c r="C682" s="20" t="s">
        <v>279</v>
      </c>
      <c r="D682" s="20" t="s">
        <v>228</v>
      </c>
      <c r="E682" s="20" t="s">
        <v>501</v>
      </c>
      <c r="F682" s="20" t="s">
        <v>288</v>
      </c>
      <c r="G682" s="26">
        <f>G683</f>
        <v>0</v>
      </c>
      <c r="H682" s="179"/>
    </row>
    <row r="683" spans="1:10" ht="15.75" hidden="1" x14ac:dyDescent="0.25">
      <c r="A683" s="25" t="s">
        <v>289</v>
      </c>
      <c r="B683" s="16">
        <v>907</v>
      </c>
      <c r="C683" s="20" t="s">
        <v>279</v>
      </c>
      <c r="D683" s="20" t="s">
        <v>228</v>
      </c>
      <c r="E683" s="20" t="s">
        <v>501</v>
      </c>
      <c r="F683" s="20" t="s">
        <v>290</v>
      </c>
      <c r="G683" s="26">
        <v>0</v>
      </c>
      <c r="H683" s="179"/>
    </row>
    <row r="684" spans="1:10" ht="31.5" hidden="1" x14ac:dyDescent="0.25">
      <c r="A684" s="25" t="s">
        <v>295</v>
      </c>
      <c r="B684" s="16">
        <v>907</v>
      </c>
      <c r="C684" s="20" t="s">
        <v>279</v>
      </c>
      <c r="D684" s="20" t="s">
        <v>228</v>
      </c>
      <c r="E684" s="20" t="s">
        <v>502</v>
      </c>
      <c r="F684" s="20"/>
      <c r="G684" s="26">
        <f>G685</f>
        <v>0</v>
      </c>
      <c r="H684" s="179"/>
    </row>
    <row r="685" spans="1:10" ht="47.25" hidden="1" x14ac:dyDescent="0.25">
      <c r="A685" s="25" t="s">
        <v>287</v>
      </c>
      <c r="B685" s="16">
        <v>907</v>
      </c>
      <c r="C685" s="20" t="s">
        <v>279</v>
      </c>
      <c r="D685" s="20" t="s">
        <v>228</v>
      </c>
      <c r="E685" s="20" t="s">
        <v>502</v>
      </c>
      <c r="F685" s="20" t="s">
        <v>288</v>
      </c>
      <c r="G685" s="26">
        <f>G686</f>
        <v>0</v>
      </c>
      <c r="H685" s="179"/>
    </row>
    <row r="686" spans="1:10" ht="15.75" hidden="1" x14ac:dyDescent="0.25">
      <c r="A686" s="25" t="s">
        <v>289</v>
      </c>
      <c r="B686" s="16">
        <v>907</v>
      </c>
      <c r="C686" s="20" t="s">
        <v>279</v>
      </c>
      <c r="D686" s="20" t="s">
        <v>228</v>
      </c>
      <c r="E686" s="20" t="s">
        <v>502</v>
      </c>
      <c r="F686" s="20" t="s">
        <v>290</v>
      </c>
      <c r="G686" s="26">
        <v>0</v>
      </c>
      <c r="H686" s="179"/>
    </row>
    <row r="687" spans="1:10" ht="47.25" x14ac:dyDescent="0.25">
      <c r="A687" s="25" t="s">
        <v>297</v>
      </c>
      <c r="B687" s="16">
        <v>907</v>
      </c>
      <c r="C687" s="20" t="s">
        <v>279</v>
      </c>
      <c r="D687" s="20" t="s">
        <v>230</v>
      </c>
      <c r="E687" s="20" t="s">
        <v>503</v>
      </c>
      <c r="F687" s="20"/>
      <c r="G687" s="26">
        <f>G688</f>
        <v>36</v>
      </c>
      <c r="H687" s="179"/>
    </row>
    <row r="688" spans="1:10" ht="47.25" x14ac:dyDescent="0.25">
      <c r="A688" s="25" t="s">
        <v>287</v>
      </c>
      <c r="B688" s="16">
        <v>907</v>
      </c>
      <c r="C688" s="20" t="s">
        <v>279</v>
      </c>
      <c r="D688" s="20" t="s">
        <v>230</v>
      </c>
      <c r="E688" s="20" t="s">
        <v>503</v>
      </c>
      <c r="F688" s="20" t="s">
        <v>288</v>
      </c>
      <c r="G688" s="26">
        <f>G689</f>
        <v>36</v>
      </c>
      <c r="H688" s="179"/>
    </row>
    <row r="689" spans="1:10" ht="15.75" x14ac:dyDescent="0.25">
      <c r="A689" s="25" t="s">
        <v>289</v>
      </c>
      <c r="B689" s="16">
        <v>907</v>
      </c>
      <c r="C689" s="20" t="s">
        <v>279</v>
      </c>
      <c r="D689" s="20" t="s">
        <v>230</v>
      </c>
      <c r="E689" s="20" t="s">
        <v>503</v>
      </c>
      <c r="F689" s="20" t="s">
        <v>290</v>
      </c>
      <c r="G689" s="26">
        <v>36</v>
      </c>
      <c r="H689" s="179"/>
    </row>
    <row r="690" spans="1:10" ht="31.5" hidden="1" x14ac:dyDescent="0.25">
      <c r="A690" s="25" t="s">
        <v>299</v>
      </c>
      <c r="B690" s="16">
        <v>907</v>
      </c>
      <c r="C690" s="20" t="s">
        <v>279</v>
      </c>
      <c r="D690" s="20" t="s">
        <v>228</v>
      </c>
      <c r="E690" s="20" t="s">
        <v>504</v>
      </c>
      <c r="F690" s="20"/>
      <c r="G690" s="26">
        <f>G691</f>
        <v>0</v>
      </c>
      <c r="H690" s="179"/>
    </row>
    <row r="691" spans="1:10" ht="47.25" hidden="1" x14ac:dyDescent="0.25">
      <c r="A691" s="25" t="s">
        <v>287</v>
      </c>
      <c r="B691" s="16">
        <v>907</v>
      </c>
      <c r="C691" s="20" t="s">
        <v>279</v>
      </c>
      <c r="D691" s="20" t="s">
        <v>228</v>
      </c>
      <c r="E691" s="20" t="s">
        <v>504</v>
      </c>
      <c r="F691" s="20" t="s">
        <v>288</v>
      </c>
      <c r="G691" s="26">
        <f>G692</f>
        <v>0</v>
      </c>
      <c r="H691" s="179"/>
    </row>
    <row r="692" spans="1:10" ht="15.75" hidden="1" x14ac:dyDescent="0.25">
      <c r="A692" s="25" t="s">
        <v>289</v>
      </c>
      <c r="B692" s="16">
        <v>907</v>
      </c>
      <c r="C692" s="20" t="s">
        <v>279</v>
      </c>
      <c r="D692" s="20" t="s">
        <v>228</v>
      </c>
      <c r="E692" s="20" t="s">
        <v>504</v>
      </c>
      <c r="F692" s="20" t="s">
        <v>290</v>
      </c>
      <c r="G692" s="26">
        <v>0</v>
      </c>
      <c r="H692" s="179"/>
    </row>
    <row r="693" spans="1:10" ht="15.75" x14ac:dyDescent="0.25">
      <c r="A693" s="25" t="s">
        <v>136</v>
      </c>
      <c r="B693" s="16">
        <v>907</v>
      </c>
      <c r="C693" s="20" t="s">
        <v>279</v>
      </c>
      <c r="D693" s="20" t="s">
        <v>230</v>
      </c>
      <c r="E693" s="20" t="s">
        <v>137</v>
      </c>
      <c r="F693" s="20"/>
      <c r="G693" s="26">
        <f>G694</f>
        <v>727.1</v>
      </c>
      <c r="H693" s="179"/>
    </row>
    <row r="694" spans="1:10" ht="31.5" x14ac:dyDescent="0.25">
      <c r="A694" s="25" t="s">
        <v>200</v>
      </c>
      <c r="B694" s="16">
        <v>907</v>
      </c>
      <c r="C694" s="20" t="s">
        <v>279</v>
      </c>
      <c r="D694" s="20" t="s">
        <v>230</v>
      </c>
      <c r="E694" s="20" t="s">
        <v>201</v>
      </c>
      <c r="F694" s="20"/>
      <c r="G694" s="26">
        <f>G695+G698+G701</f>
        <v>727.1</v>
      </c>
      <c r="H694" s="179"/>
    </row>
    <row r="695" spans="1:10" ht="63" x14ac:dyDescent="0.25">
      <c r="A695" s="31" t="s">
        <v>304</v>
      </c>
      <c r="B695" s="16">
        <v>907</v>
      </c>
      <c r="C695" s="20" t="s">
        <v>279</v>
      </c>
      <c r="D695" s="20" t="s">
        <v>230</v>
      </c>
      <c r="E695" s="20" t="s">
        <v>305</v>
      </c>
      <c r="F695" s="20"/>
      <c r="G695" s="26">
        <f>G696</f>
        <v>50</v>
      </c>
      <c r="H695" s="179"/>
    </row>
    <row r="696" spans="1:10" ht="47.25" x14ac:dyDescent="0.25">
      <c r="A696" s="25" t="s">
        <v>287</v>
      </c>
      <c r="B696" s="16">
        <v>907</v>
      </c>
      <c r="C696" s="20" t="s">
        <v>279</v>
      </c>
      <c r="D696" s="20" t="s">
        <v>230</v>
      </c>
      <c r="E696" s="20" t="s">
        <v>305</v>
      </c>
      <c r="F696" s="20" t="s">
        <v>288</v>
      </c>
      <c r="G696" s="26">
        <f>G697</f>
        <v>50</v>
      </c>
      <c r="H696" s="179"/>
    </row>
    <row r="697" spans="1:10" ht="15.75" x14ac:dyDescent="0.25">
      <c r="A697" s="25" t="s">
        <v>289</v>
      </c>
      <c r="B697" s="16">
        <v>907</v>
      </c>
      <c r="C697" s="20" t="s">
        <v>279</v>
      </c>
      <c r="D697" s="20" t="s">
        <v>230</v>
      </c>
      <c r="E697" s="20" t="s">
        <v>305</v>
      </c>
      <c r="F697" s="20" t="s">
        <v>290</v>
      </c>
      <c r="G697" s="26">
        <v>50</v>
      </c>
      <c r="H697" s="179"/>
    </row>
    <row r="698" spans="1:10" ht="78.75" x14ac:dyDescent="0.25">
      <c r="A698" s="31" t="s">
        <v>306</v>
      </c>
      <c r="B698" s="16">
        <v>907</v>
      </c>
      <c r="C698" s="20" t="s">
        <v>279</v>
      </c>
      <c r="D698" s="20" t="s">
        <v>230</v>
      </c>
      <c r="E698" s="20" t="s">
        <v>307</v>
      </c>
      <c r="F698" s="20"/>
      <c r="G698" s="26">
        <f>G699</f>
        <v>197.3</v>
      </c>
      <c r="H698" s="179"/>
    </row>
    <row r="699" spans="1:10" ht="47.25" x14ac:dyDescent="0.25">
      <c r="A699" s="25" t="s">
        <v>287</v>
      </c>
      <c r="B699" s="16">
        <v>907</v>
      </c>
      <c r="C699" s="20" t="s">
        <v>279</v>
      </c>
      <c r="D699" s="20" t="s">
        <v>230</v>
      </c>
      <c r="E699" s="20" t="s">
        <v>307</v>
      </c>
      <c r="F699" s="20" t="s">
        <v>288</v>
      </c>
      <c r="G699" s="26">
        <f>G700</f>
        <v>197.3</v>
      </c>
      <c r="H699" s="179"/>
    </row>
    <row r="700" spans="1:10" ht="15.75" x14ac:dyDescent="0.25">
      <c r="A700" s="25" t="s">
        <v>289</v>
      </c>
      <c r="B700" s="16">
        <v>907</v>
      </c>
      <c r="C700" s="20" t="s">
        <v>279</v>
      </c>
      <c r="D700" s="20" t="s">
        <v>230</v>
      </c>
      <c r="E700" s="20" t="s">
        <v>307</v>
      </c>
      <c r="F700" s="20" t="s">
        <v>290</v>
      </c>
      <c r="G700" s="26">
        <f>200-2.7</f>
        <v>197.3</v>
      </c>
      <c r="H700" s="179"/>
      <c r="I700" s="117"/>
      <c r="J700" s="118"/>
    </row>
    <row r="701" spans="1:10" ht="110.25" x14ac:dyDescent="0.25">
      <c r="A701" s="31" t="s">
        <v>479</v>
      </c>
      <c r="B701" s="16">
        <v>907</v>
      </c>
      <c r="C701" s="20" t="s">
        <v>279</v>
      </c>
      <c r="D701" s="20" t="s">
        <v>230</v>
      </c>
      <c r="E701" s="20" t="s">
        <v>309</v>
      </c>
      <c r="F701" s="20"/>
      <c r="G701" s="26">
        <f>G702</f>
        <v>479.8</v>
      </c>
      <c r="H701" s="179"/>
    </row>
    <row r="702" spans="1:10" ht="47.25" x14ac:dyDescent="0.25">
      <c r="A702" s="25" t="s">
        <v>287</v>
      </c>
      <c r="B702" s="16">
        <v>907</v>
      </c>
      <c r="C702" s="20" t="s">
        <v>279</v>
      </c>
      <c r="D702" s="20" t="s">
        <v>230</v>
      </c>
      <c r="E702" s="20" t="s">
        <v>309</v>
      </c>
      <c r="F702" s="20" t="s">
        <v>288</v>
      </c>
      <c r="G702" s="26">
        <f>G703</f>
        <v>479.8</v>
      </c>
      <c r="H702" s="179"/>
    </row>
    <row r="703" spans="1:10" ht="15.75" x14ac:dyDescent="0.25">
      <c r="A703" s="25" t="s">
        <v>289</v>
      </c>
      <c r="B703" s="16">
        <v>907</v>
      </c>
      <c r="C703" s="20" t="s">
        <v>279</v>
      </c>
      <c r="D703" s="20" t="s">
        <v>230</v>
      </c>
      <c r="E703" s="20" t="s">
        <v>309</v>
      </c>
      <c r="F703" s="20" t="s">
        <v>290</v>
      </c>
      <c r="G703" s="26">
        <f>500-20.2</f>
        <v>479.8</v>
      </c>
      <c r="H703" s="179"/>
      <c r="I703" s="117"/>
    </row>
    <row r="704" spans="1:10" ht="15.75" x14ac:dyDescent="0.25">
      <c r="A704" s="23" t="s">
        <v>505</v>
      </c>
      <c r="B704" s="19">
        <v>907</v>
      </c>
      <c r="C704" s="24" t="s">
        <v>506</v>
      </c>
      <c r="D704" s="20"/>
      <c r="E704" s="20"/>
      <c r="F704" s="20"/>
      <c r="G704" s="21">
        <f>G705+G725</f>
        <v>34702.699999999997</v>
      </c>
      <c r="H704" s="179"/>
    </row>
    <row r="705" spans="1:9" ht="15.75" x14ac:dyDescent="0.25">
      <c r="A705" s="23" t="s">
        <v>507</v>
      </c>
      <c r="B705" s="19">
        <v>907</v>
      </c>
      <c r="C705" s="24" t="s">
        <v>506</v>
      </c>
      <c r="D705" s="24" t="s">
        <v>133</v>
      </c>
      <c r="E705" s="20"/>
      <c r="F705" s="20"/>
      <c r="G705" s="21">
        <f>G706+G721</f>
        <v>23173.9</v>
      </c>
      <c r="H705" s="179"/>
    </row>
    <row r="706" spans="1:9" ht="47.25" x14ac:dyDescent="0.25">
      <c r="A706" s="25" t="s">
        <v>496</v>
      </c>
      <c r="B706" s="16">
        <v>907</v>
      </c>
      <c r="C706" s="20" t="s">
        <v>506</v>
      </c>
      <c r="D706" s="20" t="s">
        <v>133</v>
      </c>
      <c r="E706" s="20" t="s">
        <v>497</v>
      </c>
      <c r="F706" s="20"/>
      <c r="G706" s="26">
        <f>G707</f>
        <v>22673.9</v>
      </c>
      <c r="H706" s="179"/>
    </row>
    <row r="707" spans="1:9" ht="47.25" x14ac:dyDescent="0.25">
      <c r="A707" s="25" t="s">
        <v>508</v>
      </c>
      <c r="B707" s="16">
        <v>907</v>
      </c>
      <c r="C707" s="20" t="s">
        <v>506</v>
      </c>
      <c r="D707" s="20" t="s">
        <v>133</v>
      </c>
      <c r="E707" s="20" t="s">
        <v>509</v>
      </c>
      <c r="F707" s="20"/>
      <c r="G707" s="26">
        <f>G708+G711+G714+G717</f>
        <v>22673.9</v>
      </c>
      <c r="H707" s="179"/>
    </row>
    <row r="708" spans="1:9" ht="47.25" x14ac:dyDescent="0.25">
      <c r="A708" s="25" t="s">
        <v>510</v>
      </c>
      <c r="B708" s="16">
        <v>907</v>
      </c>
      <c r="C708" s="20" t="s">
        <v>506</v>
      </c>
      <c r="D708" s="20" t="s">
        <v>133</v>
      </c>
      <c r="E708" s="20" t="s">
        <v>511</v>
      </c>
      <c r="F708" s="20"/>
      <c r="G708" s="26">
        <f>G709</f>
        <v>22376.400000000001</v>
      </c>
      <c r="H708" s="179"/>
    </row>
    <row r="709" spans="1:9" ht="47.25" x14ac:dyDescent="0.25">
      <c r="A709" s="25" t="s">
        <v>287</v>
      </c>
      <c r="B709" s="16">
        <v>907</v>
      </c>
      <c r="C709" s="20" t="s">
        <v>506</v>
      </c>
      <c r="D709" s="20" t="s">
        <v>133</v>
      </c>
      <c r="E709" s="20" t="s">
        <v>511</v>
      </c>
      <c r="F709" s="20" t="s">
        <v>288</v>
      </c>
      <c r="G709" s="26">
        <f>G710</f>
        <v>22376.400000000001</v>
      </c>
      <c r="H709" s="179"/>
    </row>
    <row r="710" spans="1:9" ht="15.75" x14ac:dyDescent="0.25">
      <c r="A710" s="25" t="s">
        <v>289</v>
      </c>
      <c r="B710" s="16">
        <v>907</v>
      </c>
      <c r="C710" s="20" t="s">
        <v>506</v>
      </c>
      <c r="D710" s="20" t="s">
        <v>133</v>
      </c>
      <c r="E710" s="20" t="s">
        <v>511</v>
      </c>
      <c r="F710" s="20" t="s">
        <v>290</v>
      </c>
      <c r="G710" s="165">
        <f>10890+1490.1+9887.3-199+308</f>
        <v>22376.400000000001</v>
      </c>
      <c r="H710" s="108" t="s">
        <v>755</v>
      </c>
      <c r="I710" s="127"/>
    </row>
    <row r="711" spans="1:9" ht="47.25" x14ac:dyDescent="0.25">
      <c r="A711" s="25" t="s">
        <v>293</v>
      </c>
      <c r="B711" s="16">
        <v>907</v>
      </c>
      <c r="C711" s="20" t="s">
        <v>506</v>
      </c>
      <c r="D711" s="20" t="s">
        <v>133</v>
      </c>
      <c r="E711" s="20" t="s">
        <v>512</v>
      </c>
      <c r="F711" s="20"/>
      <c r="G711" s="26">
        <f>G712</f>
        <v>297.5</v>
      </c>
      <c r="H711" s="179"/>
    </row>
    <row r="712" spans="1:9" ht="47.25" x14ac:dyDescent="0.25">
      <c r="A712" s="25" t="s">
        <v>287</v>
      </c>
      <c r="B712" s="16">
        <v>907</v>
      </c>
      <c r="C712" s="20" t="s">
        <v>506</v>
      </c>
      <c r="D712" s="20" t="s">
        <v>133</v>
      </c>
      <c r="E712" s="20" t="s">
        <v>512</v>
      </c>
      <c r="F712" s="20" t="s">
        <v>288</v>
      </c>
      <c r="G712" s="26">
        <f>G713</f>
        <v>297.5</v>
      </c>
      <c r="H712" s="179"/>
    </row>
    <row r="713" spans="1:9" ht="15.75" x14ac:dyDescent="0.25">
      <c r="A713" s="25" t="s">
        <v>289</v>
      </c>
      <c r="B713" s="16">
        <v>907</v>
      </c>
      <c r="C713" s="20" t="s">
        <v>506</v>
      </c>
      <c r="D713" s="20" t="s">
        <v>133</v>
      </c>
      <c r="E713" s="20" t="s">
        <v>512</v>
      </c>
      <c r="F713" s="20" t="s">
        <v>290</v>
      </c>
      <c r="G713" s="160">
        <f>797.5-500</f>
        <v>297.5</v>
      </c>
      <c r="H713" s="159" t="s">
        <v>753</v>
      </c>
    </row>
    <row r="714" spans="1:9" ht="31.5" hidden="1" x14ac:dyDescent="0.25">
      <c r="A714" s="25" t="s">
        <v>295</v>
      </c>
      <c r="B714" s="16">
        <v>907</v>
      </c>
      <c r="C714" s="20" t="s">
        <v>506</v>
      </c>
      <c r="D714" s="20" t="s">
        <v>133</v>
      </c>
      <c r="E714" s="20" t="s">
        <v>513</v>
      </c>
      <c r="F714" s="20"/>
      <c r="G714" s="26">
        <f>G715</f>
        <v>0</v>
      </c>
      <c r="H714" s="179"/>
    </row>
    <row r="715" spans="1:9" ht="47.25" hidden="1" x14ac:dyDescent="0.25">
      <c r="A715" s="25" t="s">
        <v>287</v>
      </c>
      <c r="B715" s="16">
        <v>907</v>
      </c>
      <c r="C715" s="20" t="s">
        <v>506</v>
      </c>
      <c r="D715" s="20" t="s">
        <v>133</v>
      </c>
      <c r="E715" s="20" t="s">
        <v>513</v>
      </c>
      <c r="F715" s="20" t="s">
        <v>288</v>
      </c>
      <c r="G715" s="26">
        <f>G716</f>
        <v>0</v>
      </c>
      <c r="H715" s="179"/>
    </row>
    <row r="716" spans="1:9" ht="15.75" hidden="1" x14ac:dyDescent="0.25">
      <c r="A716" s="25" t="s">
        <v>289</v>
      </c>
      <c r="B716" s="16">
        <v>907</v>
      </c>
      <c r="C716" s="20" t="s">
        <v>506</v>
      </c>
      <c r="D716" s="20" t="s">
        <v>133</v>
      </c>
      <c r="E716" s="20" t="s">
        <v>513</v>
      </c>
      <c r="F716" s="20" t="s">
        <v>290</v>
      </c>
      <c r="G716" s="26">
        <v>0</v>
      </c>
      <c r="H716" s="179"/>
    </row>
    <row r="717" spans="1:9" ht="31.5" hidden="1" x14ac:dyDescent="0.25">
      <c r="A717" s="25" t="s">
        <v>299</v>
      </c>
      <c r="B717" s="16">
        <v>907</v>
      </c>
      <c r="C717" s="20" t="s">
        <v>506</v>
      </c>
      <c r="D717" s="20" t="s">
        <v>133</v>
      </c>
      <c r="E717" s="20" t="s">
        <v>514</v>
      </c>
      <c r="F717" s="20"/>
      <c r="G717" s="26">
        <f>G718</f>
        <v>0</v>
      </c>
      <c r="H717" s="179"/>
    </row>
    <row r="718" spans="1:9" ht="47.25" hidden="1" x14ac:dyDescent="0.25">
      <c r="A718" s="25" t="s">
        <v>287</v>
      </c>
      <c r="B718" s="16">
        <v>907</v>
      </c>
      <c r="C718" s="20" t="s">
        <v>506</v>
      </c>
      <c r="D718" s="20" t="s">
        <v>133</v>
      </c>
      <c r="E718" s="20" t="s">
        <v>514</v>
      </c>
      <c r="F718" s="20" t="s">
        <v>288</v>
      </c>
      <c r="G718" s="26">
        <f>G719</f>
        <v>0</v>
      </c>
      <c r="H718" s="179"/>
    </row>
    <row r="719" spans="1:9" ht="15.75" hidden="1" x14ac:dyDescent="0.25">
      <c r="A719" s="25" t="s">
        <v>289</v>
      </c>
      <c r="B719" s="16">
        <v>907</v>
      </c>
      <c r="C719" s="20" t="s">
        <v>506</v>
      </c>
      <c r="D719" s="20" t="s">
        <v>133</v>
      </c>
      <c r="E719" s="20" t="s">
        <v>514</v>
      </c>
      <c r="F719" s="20" t="s">
        <v>290</v>
      </c>
      <c r="G719" s="26">
        <v>0</v>
      </c>
      <c r="H719" s="179"/>
    </row>
    <row r="720" spans="1:9" ht="15.75" x14ac:dyDescent="0.25">
      <c r="A720" s="25" t="s">
        <v>136</v>
      </c>
      <c r="B720" s="16">
        <v>907</v>
      </c>
      <c r="C720" s="20" t="s">
        <v>506</v>
      </c>
      <c r="D720" s="20" t="s">
        <v>133</v>
      </c>
      <c r="E720" s="20" t="s">
        <v>137</v>
      </c>
      <c r="F720" s="20"/>
      <c r="G720" s="26">
        <f>G721</f>
        <v>500</v>
      </c>
      <c r="H720" s="179"/>
    </row>
    <row r="721" spans="1:9" ht="31.5" x14ac:dyDescent="0.25">
      <c r="A721" s="25" t="s">
        <v>200</v>
      </c>
      <c r="B721" s="16">
        <v>907</v>
      </c>
      <c r="C721" s="20" t="s">
        <v>506</v>
      </c>
      <c r="D721" s="20" t="s">
        <v>133</v>
      </c>
      <c r="E721" s="20" t="s">
        <v>201</v>
      </c>
      <c r="F721" s="20"/>
      <c r="G721" s="26">
        <f>G722</f>
        <v>500</v>
      </c>
      <c r="H721" s="179"/>
    </row>
    <row r="722" spans="1:9" ht="31.5" x14ac:dyDescent="0.25">
      <c r="A722" s="25" t="s">
        <v>752</v>
      </c>
      <c r="B722" s="16">
        <v>907</v>
      </c>
      <c r="C722" s="20" t="s">
        <v>506</v>
      </c>
      <c r="D722" s="20" t="s">
        <v>133</v>
      </c>
      <c r="E722" s="20" t="s">
        <v>750</v>
      </c>
      <c r="F722" s="20"/>
      <c r="G722" s="26">
        <f>G724</f>
        <v>500</v>
      </c>
      <c r="H722" s="179"/>
    </row>
    <row r="723" spans="1:9" ht="47.25" x14ac:dyDescent="0.25">
      <c r="A723" s="25" t="s">
        <v>287</v>
      </c>
      <c r="B723" s="16">
        <v>907</v>
      </c>
      <c r="C723" s="20" t="s">
        <v>506</v>
      </c>
      <c r="D723" s="20" t="s">
        <v>133</v>
      </c>
      <c r="E723" s="20" t="s">
        <v>750</v>
      </c>
      <c r="F723" s="20" t="s">
        <v>288</v>
      </c>
      <c r="G723" s="26">
        <f>G724</f>
        <v>500</v>
      </c>
      <c r="H723" s="179"/>
    </row>
    <row r="724" spans="1:9" ht="15.75" x14ac:dyDescent="0.25">
      <c r="A724" s="25" t="s">
        <v>289</v>
      </c>
      <c r="B724" s="16">
        <v>907</v>
      </c>
      <c r="C724" s="20" t="s">
        <v>506</v>
      </c>
      <c r="D724" s="20" t="s">
        <v>133</v>
      </c>
      <c r="E724" s="20" t="s">
        <v>750</v>
      </c>
      <c r="F724" s="20" t="s">
        <v>290</v>
      </c>
      <c r="G724" s="160">
        <v>500</v>
      </c>
      <c r="H724" s="159" t="s">
        <v>754</v>
      </c>
    </row>
    <row r="725" spans="1:9" ht="31.5" x14ac:dyDescent="0.25">
      <c r="A725" s="23" t="s">
        <v>515</v>
      </c>
      <c r="B725" s="19">
        <v>907</v>
      </c>
      <c r="C725" s="24" t="s">
        <v>506</v>
      </c>
      <c r="D725" s="24" t="s">
        <v>249</v>
      </c>
      <c r="E725" s="24"/>
      <c r="F725" s="24"/>
      <c r="G725" s="21">
        <f>G733+G726</f>
        <v>11528.8</v>
      </c>
      <c r="H725" s="179"/>
    </row>
    <row r="726" spans="1:9" ht="47.25" x14ac:dyDescent="0.25">
      <c r="A726" s="29" t="s">
        <v>496</v>
      </c>
      <c r="B726" s="16">
        <v>907</v>
      </c>
      <c r="C726" s="20" t="s">
        <v>506</v>
      </c>
      <c r="D726" s="20" t="s">
        <v>249</v>
      </c>
      <c r="E726" s="40" t="s">
        <v>497</v>
      </c>
      <c r="F726" s="20"/>
      <c r="G726" s="26">
        <f>G727</f>
        <v>3047</v>
      </c>
      <c r="H726" s="179"/>
    </row>
    <row r="727" spans="1:9" ht="47.25" x14ac:dyDescent="0.25">
      <c r="A727" s="45" t="s">
        <v>516</v>
      </c>
      <c r="B727" s="16">
        <v>907</v>
      </c>
      <c r="C727" s="20" t="s">
        <v>506</v>
      </c>
      <c r="D727" s="20" t="s">
        <v>249</v>
      </c>
      <c r="E727" s="40" t="s">
        <v>517</v>
      </c>
      <c r="F727" s="20"/>
      <c r="G727" s="26">
        <f>G728</f>
        <v>3047</v>
      </c>
      <c r="H727" s="179"/>
    </row>
    <row r="728" spans="1:9" ht="31.5" x14ac:dyDescent="0.25">
      <c r="A728" s="29" t="s">
        <v>172</v>
      </c>
      <c r="B728" s="16">
        <v>907</v>
      </c>
      <c r="C728" s="20" t="s">
        <v>506</v>
      </c>
      <c r="D728" s="20" t="s">
        <v>249</v>
      </c>
      <c r="E728" s="40" t="s">
        <v>518</v>
      </c>
      <c r="F728" s="20"/>
      <c r="G728" s="26">
        <f>G731+G729</f>
        <v>3047</v>
      </c>
      <c r="H728" s="179"/>
    </row>
    <row r="729" spans="1:9" ht="94.5" x14ac:dyDescent="0.25">
      <c r="A729" s="25" t="s">
        <v>142</v>
      </c>
      <c r="B729" s="16">
        <v>907</v>
      </c>
      <c r="C729" s="20" t="s">
        <v>506</v>
      </c>
      <c r="D729" s="20" t="s">
        <v>249</v>
      </c>
      <c r="E729" s="40" t="s">
        <v>518</v>
      </c>
      <c r="F729" s="20" t="s">
        <v>143</v>
      </c>
      <c r="G729" s="26">
        <f>G730</f>
        <v>2111</v>
      </c>
      <c r="H729" s="179"/>
    </row>
    <row r="730" spans="1:9" ht="31.5" x14ac:dyDescent="0.25">
      <c r="A730" s="25" t="s">
        <v>144</v>
      </c>
      <c r="B730" s="16">
        <v>907</v>
      </c>
      <c r="C730" s="20" t="s">
        <v>506</v>
      </c>
      <c r="D730" s="20" t="s">
        <v>249</v>
      </c>
      <c r="E730" s="40" t="s">
        <v>518</v>
      </c>
      <c r="F730" s="20" t="s">
        <v>145</v>
      </c>
      <c r="G730" s="26">
        <v>2111</v>
      </c>
      <c r="H730" s="179"/>
      <c r="I730" s="117"/>
    </row>
    <row r="731" spans="1:9" ht="31.5" x14ac:dyDescent="0.25">
      <c r="A731" s="29" t="s">
        <v>146</v>
      </c>
      <c r="B731" s="16">
        <v>907</v>
      </c>
      <c r="C731" s="20" t="s">
        <v>506</v>
      </c>
      <c r="D731" s="20" t="s">
        <v>249</v>
      </c>
      <c r="E731" s="40" t="s">
        <v>518</v>
      </c>
      <c r="F731" s="20" t="s">
        <v>147</v>
      </c>
      <c r="G731" s="26">
        <f>G732</f>
        <v>936</v>
      </c>
      <c r="H731" s="179"/>
    </row>
    <row r="732" spans="1:9" ht="47.25" x14ac:dyDescent="0.25">
      <c r="A732" s="29" t="s">
        <v>148</v>
      </c>
      <c r="B732" s="16">
        <v>907</v>
      </c>
      <c r="C732" s="20" t="s">
        <v>506</v>
      </c>
      <c r="D732" s="20" t="s">
        <v>249</v>
      </c>
      <c r="E732" s="40" t="s">
        <v>518</v>
      </c>
      <c r="F732" s="20" t="s">
        <v>149</v>
      </c>
      <c r="G732" s="26">
        <f>3047-2111</f>
        <v>936</v>
      </c>
      <c r="H732" s="179"/>
      <c r="I732" s="117"/>
    </row>
    <row r="733" spans="1:9" ht="15.75" x14ac:dyDescent="0.25">
      <c r="A733" s="25" t="s">
        <v>136</v>
      </c>
      <c r="B733" s="16">
        <v>907</v>
      </c>
      <c r="C733" s="20" t="s">
        <v>506</v>
      </c>
      <c r="D733" s="20" t="s">
        <v>249</v>
      </c>
      <c r="E733" s="20" t="s">
        <v>137</v>
      </c>
      <c r="F733" s="20"/>
      <c r="G733" s="26">
        <f>G734+G740</f>
        <v>8481.7999999999993</v>
      </c>
      <c r="H733" s="179"/>
    </row>
    <row r="734" spans="1:9" ht="31.5" x14ac:dyDescent="0.25">
      <c r="A734" s="25" t="s">
        <v>138</v>
      </c>
      <c r="B734" s="16">
        <v>907</v>
      </c>
      <c r="C734" s="20" t="s">
        <v>506</v>
      </c>
      <c r="D734" s="20" t="s">
        <v>249</v>
      </c>
      <c r="E734" s="20" t="s">
        <v>139</v>
      </c>
      <c r="F734" s="20"/>
      <c r="G734" s="26">
        <f>G735</f>
        <v>3599.8</v>
      </c>
      <c r="H734" s="179"/>
    </row>
    <row r="735" spans="1:9" ht="47.25" x14ac:dyDescent="0.25">
      <c r="A735" s="25" t="s">
        <v>140</v>
      </c>
      <c r="B735" s="16">
        <v>907</v>
      </c>
      <c r="C735" s="20" t="s">
        <v>506</v>
      </c>
      <c r="D735" s="20" t="s">
        <v>249</v>
      </c>
      <c r="E735" s="20" t="s">
        <v>141</v>
      </c>
      <c r="F735" s="20"/>
      <c r="G735" s="26">
        <f>G736+G738</f>
        <v>3599.8</v>
      </c>
      <c r="H735" s="179"/>
    </row>
    <row r="736" spans="1:9" ht="94.5" x14ac:dyDescent="0.25">
      <c r="A736" s="25" t="s">
        <v>142</v>
      </c>
      <c r="B736" s="16">
        <v>907</v>
      </c>
      <c r="C736" s="20" t="s">
        <v>506</v>
      </c>
      <c r="D736" s="20" t="s">
        <v>249</v>
      </c>
      <c r="E736" s="20" t="s">
        <v>141</v>
      </c>
      <c r="F736" s="20" t="s">
        <v>143</v>
      </c>
      <c r="G736" s="26">
        <f>G737</f>
        <v>3599.8</v>
      </c>
      <c r="H736" s="179"/>
    </row>
    <row r="737" spans="1:12" ht="31.5" x14ac:dyDescent="0.25">
      <c r="A737" s="25" t="s">
        <v>144</v>
      </c>
      <c r="B737" s="16">
        <v>907</v>
      </c>
      <c r="C737" s="20" t="s">
        <v>506</v>
      </c>
      <c r="D737" s="20" t="s">
        <v>249</v>
      </c>
      <c r="E737" s="20" t="s">
        <v>141</v>
      </c>
      <c r="F737" s="20" t="s">
        <v>145</v>
      </c>
      <c r="G737" s="27">
        <v>3599.8</v>
      </c>
      <c r="H737" s="179"/>
    </row>
    <row r="738" spans="1:12" ht="31.5" hidden="1" x14ac:dyDescent="0.25">
      <c r="A738" s="25" t="s">
        <v>146</v>
      </c>
      <c r="B738" s="16">
        <v>907</v>
      </c>
      <c r="C738" s="20" t="s">
        <v>506</v>
      </c>
      <c r="D738" s="20" t="s">
        <v>249</v>
      </c>
      <c r="E738" s="20" t="s">
        <v>141</v>
      </c>
      <c r="F738" s="20" t="s">
        <v>147</v>
      </c>
      <c r="G738" s="26">
        <f>G739</f>
        <v>0</v>
      </c>
      <c r="H738" s="179"/>
    </row>
    <row r="739" spans="1:12" ht="47.25" hidden="1" x14ac:dyDescent="0.25">
      <c r="A739" s="25" t="s">
        <v>148</v>
      </c>
      <c r="B739" s="16">
        <v>907</v>
      </c>
      <c r="C739" s="20" t="s">
        <v>506</v>
      </c>
      <c r="D739" s="20" t="s">
        <v>249</v>
      </c>
      <c r="E739" s="20" t="s">
        <v>141</v>
      </c>
      <c r="F739" s="20" t="s">
        <v>149</v>
      </c>
      <c r="G739" s="26"/>
      <c r="H739" s="179"/>
    </row>
    <row r="740" spans="1:12" ht="15.75" x14ac:dyDescent="0.25">
      <c r="A740" s="25" t="s">
        <v>156</v>
      </c>
      <c r="B740" s="16">
        <v>907</v>
      </c>
      <c r="C740" s="20" t="s">
        <v>506</v>
      </c>
      <c r="D740" s="20" t="s">
        <v>249</v>
      </c>
      <c r="E740" s="20" t="s">
        <v>157</v>
      </c>
      <c r="F740" s="20"/>
      <c r="G740" s="26">
        <f>G741</f>
        <v>4882</v>
      </c>
      <c r="H740" s="179"/>
    </row>
    <row r="741" spans="1:12" ht="31.5" x14ac:dyDescent="0.25">
      <c r="A741" s="25" t="s">
        <v>355</v>
      </c>
      <c r="B741" s="16">
        <v>907</v>
      </c>
      <c r="C741" s="20" t="s">
        <v>506</v>
      </c>
      <c r="D741" s="20" t="s">
        <v>249</v>
      </c>
      <c r="E741" s="20" t="s">
        <v>356</v>
      </c>
      <c r="F741" s="20"/>
      <c r="G741" s="26">
        <f>G742+G744+G746</f>
        <v>4882</v>
      </c>
      <c r="H741" s="179"/>
      <c r="J741" s="476"/>
      <c r="K741" s="476"/>
    </row>
    <row r="742" spans="1:12" ht="94.5" x14ac:dyDescent="0.25">
      <c r="A742" s="25" t="s">
        <v>142</v>
      </c>
      <c r="B742" s="16">
        <v>907</v>
      </c>
      <c r="C742" s="20" t="s">
        <v>506</v>
      </c>
      <c r="D742" s="20" t="s">
        <v>249</v>
      </c>
      <c r="E742" s="20" t="s">
        <v>356</v>
      </c>
      <c r="F742" s="20" t="s">
        <v>143</v>
      </c>
      <c r="G742" s="26">
        <f>G743</f>
        <v>3660.7</v>
      </c>
      <c r="H742" s="179"/>
      <c r="J742" s="476"/>
      <c r="K742" s="476"/>
    </row>
    <row r="743" spans="1:12" ht="31.5" x14ac:dyDescent="0.25">
      <c r="A743" s="25" t="s">
        <v>357</v>
      </c>
      <c r="B743" s="16">
        <v>907</v>
      </c>
      <c r="C743" s="20" t="s">
        <v>506</v>
      </c>
      <c r="D743" s="20" t="s">
        <v>249</v>
      </c>
      <c r="E743" s="20" t="s">
        <v>356</v>
      </c>
      <c r="F743" s="20" t="s">
        <v>224</v>
      </c>
      <c r="G743" s="27">
        <f>4240.2-579.5</f>
        <v>3660.7</v>
      </c>
      <c r="H743" s="108"/>
      <c r="I743" s="126"/>
      <c r="J743" s="476"/>
      <c r="K743" s="476"/>
    </row>
    <row r="744" spans="1:12" ht="31.5" x14ac:dyDescent="0.25">
      <c r="A744" s="25" t="s">
        <v>146</v>
      </c>
      <c r="B744" s="16">
        <v>907</v>
      </c>
      <c r="C744" s="20" t="s">
        <v>506</v>
      </c>
      <c r="D744" s="20" t="s">
        <v>249</v>
      </c>
      <c r="E744" s="20" t="s">
        <v>356</v>
      </c>
      <c r="F744" s="20" t="s">
        <v>147</v>
      </c>
      <c r="G744" s="26">
        <f>G745</f>
        <v>1194.1999999999998</v>
      </c>
      <c r="H744" s="179"/>
      <c r="J744" s="476"/>
      <c r="K744" s="476"/>
    </row>
    <row r="745" spans="1:12" ht="47.25" x14ac:dyDescent="0.25">
      <c r="A745" s="25" t="s">
        <v>148</v>
      </c>
      <c r="B745" s="16">
        <v>907</v>
      </c>
      <c r="C745" s="20" t="s">
        <v>506</v>
      </c>
      <c r="D745" s="20" t="s">
        <v>249</v>
      </c>
      <c r="E745" s="20" t="s">
        <v>356</v>
      </c>
      <c r="F745" s="20" t="s">
        <v>149</v>
      </c>
      <c r="G745" s="27">
        <f>1339.6-145.4</f>
        <v>1194.1999999999998</v>
      </c>
      <c r="H745" s="108"/>
      <c r="I745" s="126"/>
      <c r="J745" s="476"/>
      <c r="K745" s="476"/>
    </row>
    <row r="746" spans="1:12" ht="15.75" x14ac:dyDescent="0.25">
      <c r="A746" s="25" t="s">
        <v>150</v>
      </c>
      <c r="B746" s="16">
        <v>907</v>
      </c>
      <c r="C746" s="20" t="s">
        <v>506</v>
      </c>
      <c r="D746" s="20" t="s">
        <v>249</v>
      </c>
      <c r="E746" s="20" t="s">
        <v>356</v>
      </c>
      <c r="F746" s="20" t="s">
        <v>160</v>
      </c>
      <c r="G746" s="26">
        <f>G747</f>
        <v>27.1</v>
      </c>
      <c r="H746" s="179"/>
      <c r="J746" s="476"/>
      <c r="K746" s="476"/>
    </row>
    <row r="747" spans="1:12" ht="15.75" x14ac:dyDescent="0.25">
      <c r="A747" s="25" t="s">
        <v>583</v>
      </c>
      <c r="B747" s="16">
        <v>907</v>
      </c>
      <c r="C747" s="20" t="s">
        <v>506</v>
      </c>
      <c r="D747" s="20" t="s">
        <v>249</v>
      </c>
      <c r="E747" s="20" t="s">
        <v>356</v>
      </c>
      <c r="F747" s="20" t="s">
        <v>153</v>
      </c>
      <c r="G747" s="26">
        <f>27.1</f>
        <v>27.1</v>
      </c>
      <c r="H747" s="108"/>
      <c r="I747" s="126"/>
      <c r="J747" s="476"/>
      <c r="K747" s="476"/>
    </row>
    <row r="748" spans="1:12" ht="47.25" x14ac:dyDescent="0.25">
      <c r="A748" s="19" t="s">
        <v>519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9"/>
      <c r="L748" s="118"/>
    </row>
    <row r="749" spans="1:12" ht="15.75" x14ac:dyDescent="0.25">
      <c r="A749" s="34" t="s">
        <v>132</v>
      </c>
      <c r="B749" s="19">
        <v>908</v>
      </c>
      <c r="C749" s="24" t="s">
        <v>133</v>
      </c>
      <c r="D749" s="20"/>
      <c r="E749" s="20"/>
      <c r="F749" s="20"/>
      <c r="G749" s="21">
        <f>G750</f>
        <v>16714.8</v>
      </c>
      <c r="H749" s="179"/>
      <c r="L749" s="118"/>
    </row>
    <row r="750" spans="1:12" ht="15.75" x14ac:dyDescent="0.25">
      <c r="A750" s="34" t="s">
        <v>154</v>
      </c>
      <c r="B750" s="19">
        <v>908</v>
      </c>
      <c r="C750" s="24" t="s">
        <v>133</v>
      </c>
      <c r="D750" s="24" t="s">
        <v>155</v>
      </c>
      <c r="E750" s="20"/>
      <c r="F750" s="20"/>
      <c r="G750" s="21">
        <f>G752+G755</f>
        <v>16714.8</v>
      </c>
      <c r="H750" s="179"/>
      <c r="L750" s="118"/>
    </row>
    <row r="751" spans="1:12" ht="15.75" x14ac:dyDescent="0.25">
      <c r="A751" s="25" t="s">
        <v>156</v>
      </c>
      <c r="B751" s="16">
        <v>908</v>
      </c>
      <c r="C751" s="20" t="s">
        <v>133</v>
      </c>
      <c r="D751" s="20" t="s">
        <v>155</v>
      </c>
      <c r="E751" s="20" t="s">
        <v>157</v>
      </c>
      <c r="F751" s="20"/>
      <c r="G751" s="26">
        <f>G752</f>
        <v>262.5</v>
      </c>
      <c r="H751" s="179"/>
      <c r="L751" s="118"/>
    </row>
    <row r="752" spans="1:12" ht="15.75" x14ac:dyDescent="0.25">
      <c r="A752" s="25" t="s">
        <v>158</v>
      </c>
      <c r="B752" s="16">
        <v>908</v>
      </c>
      <c r="C752" s="20" t="s">
        <v>133</v>
      </c>
      <c r="D752" s="20" t="s">
        <v>155</v>
      </c>
      <c r="E752" s="20" t="s">
        <v>159</v>
      </c>
      <c r="F752" s="20"/>
      <c r="G752" s="26">
        <f>G753</f>
        <v>262.5</v>
      </c>
      <c r="H752" s="179"/>
      <c r="L752" s="118"/>
    </row>
    <row r="753" spans="1:12" ht="15.75" x14ac:dyDescent="0.25">
      <c r="A753" s="25" t="s">
        <v>150</v>
      </c>
      <c r="B753" s="16">
        <v>908</v>
      </c>
      <c r="C753" s="20" t="s">
        <v>133</v>
      </c>
      <c r="D753" s="20" t="s">
        <v>155</v>
      </c>
      <c r="E753" s="20" t="s">
        <v>159</v>
      </c>
      <c r="F753" s="20" t="s">
        <v>160</v>
      </c>
      <c r="G753" s="26">
        <f>G754</f>
        <v>262.5</v>
      </c>
      <c r="H753" s="179"/>
      <c r="L753" s="118"/>
    </row>
    <row r="754" spans="1:12" ht="15.75" x14ac:dyDescent="0.25">
      <c r="A754" s="25" t="s">
        <v>583</v>
      </c>
      <c r="B754" s="16">
        <v>908</v>
      </c>
      <c r="C754" s="20" t="s">
        <v>133</v>
      </c>
      <c r="D754" s="20" t="s">
        <v>155</v>
      </c>
      <c r="E754" s="20" t="s">
        <v>159</v>
      </c>
      <c r="F754" s="20" t="s">
        <v>153</v>
      </c>
      <c r="G754" s="26">
        <v>262.5</v>
      </c>
      <c r="H754" s="108"/>
      <c r="I754" s="126"/>
      <c r="L754" s="118"/>
    </row>
    <row r="755" spans="1:12" ht="31.5" x14ac:dyDescent="0.25">
      <c r="A755" s="25" t="s">
        <v>599</v>
      </c>
      <c r="B755" s="16">
        <v>908</v>
      </c>
      <c r="C755" s="20" t="s">
        <v>133</v>
      </c>
      <c r="D755" s="20" t="s">
        <v>155</v>
      </c>
      <c r="E755" s="20" t="s">
        <v>600</v>
      </c>
      <c r="F755" s="20"/>
      <c r="G755" s="27">
        <f>G756</f>
        <v>16452.3</v>
      </c>
      <c r="H755" s="179"/>
    </row>
    <row r="756" spans="1:12" ht="31.5" x14ac:dyDescent="0.25">
      <c r="A756" s="25" t="s">
        <v>325</v>
      </c>
      <c r="B756" s="16">
        <v>908</v>
      </c>
      <c r="C756" s="20" t="s">
        <v>133</v>
      </c>
      <c r="D756" s="20" t="s">
        <v>155</v>
      </c>
      <c r="E756" s="20" t="s">
        <v>601</v>
      </c>
      <c r="F756" s="20"/>
      <c r="G756" s="27">
        <f>G757+G759+G761</f>
        <v>16452.3</v>
      </c>
      <c r="H756" s="179"/>
    </row>
    <row r="757" spans="1:12" ht="94.5" x14ac:dyDescent="0.25">
      <c r="A757" s="25" t="s">
        <v>142</v>
      </c>
      <c r="B757" s="16">
        <v>908</v>
      </c>
      <c r="C757" s="20" t="s">
        <v>133</v>
      </c>
      <c r="D757" s="20" t="s">
        <v>155</v>
      </c>
      <c r="E757" s="20" t="s">
        <v>601</v>
      </c>
      <c r="F757" s="20" t="s">
        <v>143</v>
      </c>
      <c r="G757" s="27">
        <f>G758</f>
        <v>13760</v>
      </c>
      <c r="H757" s="179"/>
    </row>
    <row r="758" spans="1:12" ht="31.5" x14ac:dyDescent="0.25">
      <c r="A758" s="46" t="s">
        <v>357</v>
      </c>
      <c r="B758" s="16">
        <v>908</v>
      </c>
      <c r="C758" s="20" t="s">
        <v>133</v>
      </c>
      <c r="D758" s="20" t="s">
        <v>155</v>
      </c>
      <c r="E758" s="20" t="s">
        <v>601</v>
      </c>
      <c r="F758" s="20" t="s">
        <v>224</v>
      </c>
      <c r="G758" s="168">
        <f>13403.8+356.2</f>
        <v>13760</v>
      </c>
      <c r="H758" s="108" t="s">
        <v>764</v>
      </c>
      <c r="I758" s="126"/>
      <c r="L758" s="118"/>
    </row>
    <row r="759" spans="1:12" ht="31.5" x14ac:dyDescent="0.25">
      <c r="A759" s="25" t="s">
        <v>146</v>
      </c>
      <c r="B759" s="16">
        <v>908</v>
      </c>
      <c r="C759" s="20" t="s">
        <v>133</v>
      </c>
      <c r="D759" s="20" t="s">
        <v>155</v>
      </c>
      <c r="E759" s="20" t="s">
        <v>601</v>
      </c>
      <c r="F759" s="20" t="s">
        <v>147</v>
      </c>
      <c r="G759" s="27">
        <f>G760</f>
        <v>2678</v>
      </c>
      <c r="H759" s="179"/>
      <c r="L759" s="118"/>
    </row>
    <row r="760" spans="1:12" ht="47.25" x14ac:dyDescent="0.25">
      <c r="A760" s="25" t="s">
        <v>148</v>
      </c>
      <c r="B760" s="16">
        <v>908</v>
      </c>
      <c r="C760" s="20" t="s">
        <v>133</v>
      </c>
      <c r="D760" s="20" t="s">
        <v>155</v>
      </c>
      <c r="E760" s="20" t="s">
        <v>601</v>
      </c>
      <c r="F760" s="20" t="s">
        <v>149</v>
      </c>
      <c r="G760" s="168">
        <f>3034.2-356.2</f>
        <v>2678</v>
      </c>
      <c r="H760" s="108" t="s">
        <v>765</v>
      </c>
      <c r="I760" s="126"/>
      <c r="L760" s="118"/>
    </row>
    <row r="761" spans="1:12" ht="15.75" x14ac:dyDescent="0.25">
      <c r="A761" s="25" t="s">
        <v>150</v>
      </c>
      <c r="B761" s="16">
        <v>908</v>
      </c>
      <c r="C761" s="20" t="s">
        <v>133</v>
      </c>
      <c r="D761" s="20" t="s">
        <v>155</v>
      </c>
      <c r="E761" s="20" t="s">
        <v>601</v>
      </c>
      <c r="F761" s="20" t="s">
        <v>160</v>
      </c>
      <c r="G761" s="27">
        <f>G762</f>
        <v>14.3</v>
      </c>
      <c r="H761" s="179"/>
      <c r="L761" s="118"/>
    </row>
    <row r="762" spans="1:12" ht="15.75" x14ac:dyDescent="0.25">
      <c r="A762" s="25" t="s">
        <v>726</v>
      </c>
      <c r="B762" s="16">
        <v>908</v>
      </c>
      <c r="C762" s="20" t="s">
        <v>133</v>
      </c>
      <c r="D762" s="20" t="s">
        <v>155</v>
      </c>
      <c r="E762" s="20" t="s">
        <v>601</v>
      </c>
      <c r="F762" s="20" t="s">
        <v>153</v>
      </c>
      <c r="G762" s="27">
        <v>14.3</v>
      </c>
      <c r="H762" s="108"/>
      <c r="I762" s="126"/>
      <c r="L762" s="118"/>
    </row>
    <row r="763" spans="1:12" ht="31.5" x14ac:dyDescent="0.25">
      <c r="A763" s="23" t="s">
        <v>237</v>
      </c>
      <c r="B763" s="19">
        <v>908</v>
      </c>
      <c r="C763" s="24" t="s">
        <v>230</v>
      </c>
      <c r="D763" s="24"/>
      <c r="E763" s="24"/>
      <c r="F763" s="24"/>
      <c r="G763" s="21">
        <f t="shared" ref="G763:G768" si="4">G764</f>
        <v>50</v>
      </c>
      <c r="H763" s="179"/>
    </row>
    <row r="764" spans="1:12" ht="63" x14ac:dyDescent="0.25">
      <c r="A764" s="23" t="s">
        <v>238</v>
      </c>
      <c r="B764" s="19">
        <v>908</v>
      </c>
      <c r="C764" s="24" t="s">
        <v>230</v>
      </c>
      <c r="D764" s="24" t="s">
        <v>234</v>
      </c>
      <c r="E764" s="24"/>
      <c r="F764" s="24"/>
      <c r="G764" s="21">
        <f t="shared" si="4"/>
        <v>50</v>
      </c>
      <c r="H764" s="179"/>
    </row>
    <row r="765" spans="1:12" ht="21.75" customHeight="1" x14ac:dyDescent="0.25">
      <c r="A765" s="25" t="s">
        <v>136</v>
      </c>
      <c r="B765" s="16">
        <v>908</v>
      </c>
      <c r="C765" s="20" t="s">
        <v>230</v>
      </c>
      <c r="D765" s="20" t="s">
        <v>234</v>
      </c>
      <c r="E765" s="20" t="s">
        <v>137</v>
      </c>
      <c r="F765" s="20"/>
      <c r="G765" s="26">
        <f t="shared" si="4"/>
        <v>50</v>
      </c>
      <c r="H765" s="179"/>
    </row>
    <row r="766" spans="1:12" ht="15.75" x14ac:dyDescent="0.25">
      <c r="A766" s="25" t="s">
        <v>156</v>
      </c>
      <c r="B766" s="16">
        <v>908</v>
      </c>
      <c r="C766" s="20" t="s">
        <v>230</v>
      </c>
      <c r="D766" s="20" t="s">
        <v>234</v>
      </c>
      <c r="E766" s="20" t="s">
        <v>157</v>
      </c>
      <c r="F766" s="20"/>
      <c r="G766" s="26">
        <f t="shared" si="4"/>
        <v>50</v>
      </c>
      <c r="H766" s="179"/>
    </row>
    <row r="767" spans="1:12" ht="15.75" x14ac:dyDescent="0.25">
      <c r="A767" s="25" t="s">
        <v>245</v>
      </c>
      <c r="B767" s="16">
        <v>908</v>
      </c>
      <c r="C767" s="20" t="s">
        <v>230</v>
      </c>
      <c r="D767" s="20" t="s">
        <v>234</v>
      </c>
      <c r="E767" s="20" t="s">
        <v>246</v>
      </c>
      <c r="F767" s="20"/>
      <c r="G767" s="26">
        <f t="shared" si="4"/>
        <v>50</v>
      </c>
      <c r="H767" s="179"/>
    </row>
    <row r="768" spans="1:12" ht="31.5" x14ac:dyDescent="0.25">
      <c r="A768" s="25" t="s">
        <v>146</v>
      </c>
      <c r="B768" s="16">
        <v>908</v>
      </c>
      <c r="C768" s="20" t="s">
        <v>230</v>
      </c>
      <c r="D768" s="20" t="s">
        <v>234</v>
      </c>
      <c r="E768" s="20" t="s">
        <v>246</v>
      </c>
      <c r="F768" s="20" t="s">
        <v>147</v>
      </c>
      <c r="G768" s="26">
        <f t="shared" si="4"/>
        <v>50</v>
      </c>
      <c r="H768" s="179"/>
    </row>
    <row r="769" spans="1:9" ht="47.25" x14ac:dyDescent="0.25">
      <c r="A769" s="25" t="s">
        <v>148</v>
      </c>
      <c r="B769" s="16">
        <v>908</v>
      </c>
      <c r="C769" s="20" t="s">
        <v>230</v>
      </c>
      <c r="D769" s="20" t="s">
        <v>234</v>
      </c>
      <c r="E769" s="20" t="s">
        <v>246</v>
      </c>
      <c r="F769" s="20" t="s">
        <v>149</v>
      </c>
      <c r="G769" s="26">
        <v>50</v>
      </c>
      <c r="H769" s="179"/>
    </row>
    <row r="770" spans="1:9" ht="15.75" x14ac:dyDescent="0.25">
      <c r="A770" s="23" t="s">
        <v>247</v>
      </c>
      <c r="B770" s="19">
        <v>908</v>
      </c>
      <c r="C770" s="24" t="s">
        <v>165</v>
      </c>
      <c r="D770" s="24"/>
      <c r="E770" s="24"/>
      <c r="F770" s="24"/>
      <c r="G770" s="21">
        <f>G771+G777</f>
        <v>18331.8</v>
      </c>
      <c r="H770" s="179"/>
    </row>
    <row r="771" spans="1:9" ht="15.75" x14ac:dyDescent="0.25">
      <c r="A771" s="23" t="s">
        <v>520</v>
      </c>
      <c r="B771" s="19">
        <v>908</v>
      </c>
      <c r="C771" s="24" t="s">
        <v>165</v>
      </c>
      <c r="D771" s="24" t="s">
        <v>314</v>
      </c>
      <c r="E771" s="24"/>
      <c r="F771" s="24"/>
      <c r="G771" s="21">
        <f>G772</f>
        <v>3207.7</v>
      </c>
      <c r="H771" s="179"/>
    </row>
    <row r="772" spans="1:9" ht="15.75" x14ac:dyDescent="0.25">
      <c r="A772" s="25" t="s">
        <v>136</v>
      </c>
      <c r="B772" s="16">
        <v>908</v>
      </c>
      <c r="C772" s="20" t="s">
        <v>165</v>
      </c>
      <c r="D772" s="20" t="s">
        <v>314</v>
      </c>
      <c r="E772" s="20" t="s">
        <v>137</v>
      </c>
      <c r="F772" s="24"/>
      <c r="G772" s="26">
        <f>G773</f>
        <v>3207.7</v>
      </c>
      <c r="H772" s="179"/>
    </row>
    <row r="773" spans="1:9" ht="15.75" x14ac:dyDescent="0.25">
      <c r="A773" s="25" t="s">
        <v>156</v>
      </c>
      <c r="B773" s="16">
        <v>908</v>
      </c>
      <c r="C773" s="20" t="s">
        <v>165</v>
      </c>
      <c r="D773" s="20" t="s">
        <v>314</v>
      </c>
      <c r="E773" s="20" t="s">
        <v>157</v>
      </c>
      <c r="F773" s="24"/>
      <c r="G773" s="26">
        <f>G774</f>
        <v>3207.7</v>
      </c>
      <c r="H773" s="179"/>
    </row>
    <row r="774" spans="1:9" ht="39" customHeight="1" x14ac:dyDescent="0.25">
      <c r="A774" s="25" t="s">
        <v>521</v>
      </c>
      <c r="B774" s="16">
        <v>908</v>
      </c>
      <c r="C774" s="20" t="s">
        <v>165</v>
      </c>
      <c r="D774" s="20" t="s">
        <v>314</v>
      </c>
      <c r="E774" s="20" t="s">
        <v>522</v>
      </c>
      <c r="F774" s="20"/>
      <c r="G774" s="26">
        <f>G775</f>
        <v>3207.7</v>
      </c>
      <c r="H774" s="179"/>
    </row>
    <row r="775" spans="1:9" ht="31.5" x14ac:dyDescent="0.25">
      <c r="A775" s="25" t="s">
        <v>146</v>
      </c>
      <c r="B775" s="16">
        <v>908</v>
      </c>
      <c r="C775" s="20" t="s">
        <v>165</v>
      </c>
      <c r="D775" s="20" t="s">
        <v>314</v>
      </c>
      <c r="E775" s="20" t="s">
        <v>522</v>
      </c>
      <c r="F775" s="20" t="s">
        <v>147</v>
      </c>
      <c r="G775" s="26">
        <f>G776</f>
        <v>3207.7</v>
      </c>
      <c r="H775" s="179"/>
    </row>
    <row r="776" spans="1:9" ht="47.25" x14ac:dyDescent="0.25">
      <c r="A776" s="25" t="s">
        <v>148</v>
      </c>
      <c r="B776" s="16">
        <v>908</v>
      </c>
      <c r="C776" s="20" t="s">
        <v>165</v>
      </c>
      <c r="D776" s="20" t="s">
        <v>314</v>
      </c>
      <c r="E776" s="20" t="s">
        <v>522</v>
      </c>
      <c r="F776" s="20" t="s">
        <v>149</v>
      </c>
      <c r="G776" s="26">
        <v>3207.7</v>
      </c>
      <c r="H776" s="179"/>
    </row>
    <row r="777" spans="1:9" ht="15.75" x14ac:dyDescent="0.25">
      <c r="A777" s="23" t="s">
        <v>523</v>
      </c>
      <c r="B777" s="19">
        <v>908</v>
      </c>
      <c r="C777" s="24" t="s">
        <v>165</v>
      </c>
      <c r="D777" s="24" t="s">
        <v>234</v>
      </c>
      <c r="E777" s="20"/>
      <c r="F777" s="24"/>
      <c r="G777" s="21">
        <f>G778</f>
        <v>15124.1</v>
      </c>
      <c r="H777" s="179"/>
    </row>
    <row r="778" spans="1:9" ht="47.25" x14ac:dyDescent="0.25">
      <c r="A778" s="31" t="s">
        <v>524</v>
      </c>
      <c r="B778" s="16">
        <v>908</v>
      </c>
      <c r="C778" s="20" t="s">
        <v>165</v>
      </c>
      <c r="D778" s="20" t="s">
        <v>234</v>
      </c>
      <c r="E778" s="20" t="s">
        <v>525</v>
      </c>
      <c r="F778" s="20"/>
      <c r="G778" s="26">
        <f>G779</f>
        <v>15124.1</v>
      </c>
      <c r="H778" s="179"/>
    </row>
    <row r="779" spans="1:9" ht="15.75" x14ac:dyDescent="0.25">
      <c r="A779" s="29" t="s">
        <v>526</v>
      </c>
      <c r="B779" s="16">
        <v>908</v>
      </c>
      <c r="C779" s="20" t="s">
        <v>165</v>
      </c>
      <c r="D779" s="20" t="s">
        <v>234</v>
      </c>
      <c r="E779" s="40" t="s">
        <v>527</v>
      </c>
      <c r="F779" s="20"/>
      <c r="G779" s="26">
        <f>G780+G782</f>
        <v>15124.1</v>
      </c>
      <c r="H779" s="179"/>
    </row>
    <row r="780" spans="1:9" ht="31.5" x14ac:dyDescent="0.25">
      <c r="A780" s="25" t="s">
        <v>146</v>
      </c>
      <c r="B780" s="16">
        <v>908</v>
      </c>
      <c r="C780" s="20" t="s">
        <v>165</v>
      </c>
      <c r="D780" s="20" t="s">
        <v>234</v>
      </c>
      <c r="E780" s="40" t="s">
        <v>527</v>
      </c>
      <c r="F780" s="20" t="s">
        <v>147</v>
      </c>
      <c r="G780" s="26">
        <f>G781</f>
        <v>15108.1</v>
      </c>
      <c r="H780" s="179"/>
    </row>
    <row r="781" spans="1:9" ht="47.25" x14ac:dyDescent="0.25">
      <c r="A781" s="25" t="s">
        <v>148</v>
      </c>
      <c r="B781" s="16">
        <v>908</v>
      </c>
      <c r="C781" s="20" t="s">
        <v>165</v>
      </c>
      <c r="D781" s="20" t="s">
        <v>234</v>
      </c>
      <c r="E781" s="40" t="s">
        <v>527</v>
      </c>
      <c r="F781" s="20" t="s">
        <v>149</v>
      </c>
      <c r="G781" s="26">
        <f>15124.1-10-6</f>
        <v>15108.1</v>
      </c>
      <c r="H781" s="122" t="s">
        <v>784</v>
      </c>
    </row>
    <row r="782" spans="1:9" ht="15.75" x14ac:dyDescent="0.25">
      <c r="A782" s="25" t="s">
        <v>150</v>
      </c>
      <c r="B782" s="16">
        <v>908</v>
      </c>
      <c r="C782" s="20" t="s">
        <v>165</v>
      </c>
      <c r="D782" s="20" t="s">
        <v>234</v>
      </c>
      <c r="E782" s="40" t="s">
        <v>527</v>
      </c>
      <c r="F782" s="20" t="s">
        <v>160</v>
      </c>
      <c r="G782" s="26">
        <f>G783</f>
        <v>16</v>
      </c>
      <c r="H782" s="179"/>
    </row>
    <row r="783" spans="1:9" ht="15.75" x14ac:dyDescent="0.25">
      <c r="A783" s="25" t="s">
        <v>583</v>
      </c>
      <c r="B783" s="16">
        <v>908</v>
      </c>
      <c r="C783" s="20" t="s">
        <v>165</v>
      </c>
      <c r="D783" s="20" t="s">
        <v>234</v>
      </c>
      <c r="E783" s="40" t="s">
        <v>527</v>
      </c>
      <c r="F783" s="20" t="s">
        <v>153</v>
      </c>
      <c r="G783" s="26">
        <f>10+6</f>
        <v>16</v>
      </c>
      <c r="H783" s="159" t="s">
        <v>785</v>
      </c>
    </row>
    <row r="784" spans="1:9" ht="15.75" x14ac:dyDescent="0.25">
      <c r="A784" s="23" t="s">
        <v>405</v>
      </c>
      <c r="B784" s="19">
        <v>908</v>
      </c>
      <c r="C784" s="24" t="s">
        <v>249</v>
      </c>
      <c r="D784" s="24"/>
      <c r="E784" s="24"/>
      <c r="F784" s="24"/>
      <c r="G784" s="21">
        <f>G785+G800+G847+G899</f>
        <v>108065.79000000001</v>
      </c>
      <c r="H784" s="179"/>
      <c r="I784" s="116"/>
    </row>
    <row r="785" spans="1:12" ht="15.75" x14ac:dyDescent="0.25">
      <c r="A785" s="23" t="s">
        <v>406</v>
      </c>
      <c r="B785" s="19">
        <v>908</v>
      </c>
      <c r="C785" s="24" t="s">
        <v>249</v>
      </c>
      <c r="D785" s="24" t="s">
        <v>133</v>
      </c>
      <c r="E785" s="24"/>
      <c r="F785" s="24"/>
      <c r="G785" s="21">
        <f>G786</f>
        <v>7765.4000000000005</v>
      </c>
      <c r="H785" s="179"/>
    </row>
    <row r="786" spans="1:12" ht="15.75" x14ac:dyDescent="0.25">
      <c r="A786" s="25" t="s">
        <v>136</v>
      </c>
      <c r="B786" s="16">
        <v>908</v>
      </c>
      <c r="C786" s="20" t="s">
        <v>249</v>
      </c>
      <c r="D786" s="20" t="s">
        <v>133</v>
      </c>
      <c r="E786" s="20" t="s">
        <v>137</v>
      </c>
      <c r="F786" s="20"/>
      <c r="G786" s="26">
        <f>G791</f>
        <v>7765.4000000000005</v>
      </c>
      <c r="H786" s="179"/>
    </row>
    <row r="787" spans="1:12" ht="31.5" hidden="1" x14ac:dyDescent="0.25">
      <c r="A787" s="25" t="s">
        <v>200</v>
      </c>
      <c r="B787" s="16">
        <v>908</v>
      </c>
      <c r="C787" s="20" t="s">
        <v>249</v>
      </c>
      <c r="D787" s="20" t="s">
        <v>133</v>
      </c>
      <c r="E787" s="20" t="s">
        <v>201</v>
      </c>
      <c r="F787" s="20"/>
      <c r="G787" s="26">
        <f>G788</f>
        <v>0</v>
      </c>
      <c r="H787" s="179"/>
    </row>
    <row r="788" spans="1:12" ht="15.75" hidden="1" x14ac:dyDescent="0.25">
      <c r="A788" s="25" t="s">
        <v>528</v>
      </c>
      <c r="B788" s="16">
        <v>908</v>
      </c>
      <c r="C788" s="20" t="s">
        <v>249</v>
      </c>
      <c r="D788" s="20" t="s">
        <v>133</v>
      </c>
      <c r="E788" s="20" t="s">
        <v>529</v>
      </c>
      <c r="F788" s="20"/>
      <c r="G788" s="26">
        <f>G789</f>
        <v>0</v>
      </c>
      <c r="H788" s="179"/>
    </row>
    <row r="789" spans="1:12" ht="15.75" hidden="1" x14ac:dyDescent="0.25">
      <c r="A789" s="25" t="s">
        <v>150</v>
      </c>
      <c r="B789" s="16">
        <v>908</v>
      </c>
      <c r="C789" s="20" t="s">
        <v>249</v>
      </c>
      <c r="D789" s="20" t="s">
        <v>133</v>
      </c>
      <c r="E789" s="20" t="s">
        <v>529</v>
      </c>
      <c r="F789" s="20" t="s">
        <v>160</v>
      </c>
      <c r="G789" s="26">
        <f>G790</f>
        <v>0</v>
      </c>
      <c r="H789" s="179"/>
    </row>
    <row r="790" spans="1:12" ht="63" hidden="1" x14ac:dyDescent="0.25">
      <c r="A790" s="25" t="s">
        <v>199</v>
      </c>
      <c r="B790" s="16">
        <v>908</v>
      </c>
      <c r="C790" s="20" t="s">
        <v>249</v>
      </c>
      <c r="D790" s="20" t="s">
        <v>133</v>
      </c>
      <c r="E790" s="20" t="s">
        <v>529</v>
      </c>
      <c r="F790" s="20" t="s">
        <v>175</v>
      </c>
      <c r="G790" s="26">
        <v>0</v>
      </c>
      <c r="H790" s="179"/>
    </row>
    <row r="791" spans="1:12" ht="15.75" x14ac:dyDescent="0.25">
      <c r="A791" s="25" t="s">
        <v>156</v>
      </c>
      <c r="B791" s="16">
        <v>908</v>
      </c>
      <c r="C791" s="20" t="s">
        <v>249</v>
      </c>
      <c r="D791" s="20" t="s">
        <v>133</v>
      </c>
      <c r="E791" s="20" t="s">
        <v>157</v>
      </c>
      <c r="F791" s="24"/>
      <c r="G791" s="26">
        <f>G792+G797</f>
        <v>7765.4000000000005</v>
      </c>
      <c r="H791" s="179"/>
    </row>
    <row r="792" spans="1:12" ht="15.75" x14ac:dyDescent="0.25">
      <c r="A792" s="25" t="s">
        <v>530</v>
      </c>
      <c r="B792" s="16">
        <v>908</v>
      </c>
      <c r="C792" s="20" t="s">
        <v>249</v>
      </c>
      <c r="D792" s="20" t="s">
        <v>133</v>
      </c>
      <c r="E792" s="20" t="s">
        <v>531</v>
      </c>
      <c r="F792" s="24"/>
      <c r="G792" s="26">
        <f>G795+G793</f>
        <v>3531.3</v>
      </c>
      <c r="H792" s="179"/>
    </row>
    <row r="793" spans="1:12" ht="31.5" x14ac:dyDescent="0.25">
      <c r="A793" s="25" t="s">
        <v>146</v>
      </c>
      <c r="B793" s="16">
        <v>908</v>
      </c>
      <c r="C793" s="20" t="s">
        <v>249</v>
      </c>
      <c r="D793" s="20" t="s">
        <v>133</v>
      </c>
      <c r="E793" s="20" t="s">
        <v>531</v>
      </c>
      <c r="F793" s="20" t="s">
        <v>147</v>
      </c>
      <c r="G793" s="26">
        <f>G794</f>
        <v>1131.3</v>
      </c>
      <c r="H793" s="179"/>
    </row>
    <row r="794" spans="1:12" ht="47.25" x14ac:dyDescent="0.25">
      <c r="A794" s="25" t="s">
        <v>148</v>
      </c>
      <c r="B794" s="16">
        <v>908</v>
      </c>
      <c r="C794" s="20" t="s">
        <v>249</v>
      </c>
      <c r="D794" s="20" t="s">
        <v>133</v>
      </c>
      <c r="E794" s="20" t="s">
        <v>531</v>
      </c>
      <c r="F794" s="20" t="s">
        <v>149</v>
      </c>
      <c r="G794" s="26">
        <v>1131.3</v>
      </c>
      <c r="H794" s="108"/>
      <c r="I794" s="127"/>
    </row>
    <row r="795" spans="1:12" ht="15.75" x14ac:dyDescent="0.25">
      <c r="A795" s="25" t="s">
        <v>150</v>
      </c>
      <c r="B795" s="16">
        <v>908</v>
      </c>
      <c r="C795" s="20" t="s">
        <v>249</v>
      </c>
      <c r="D795" s="20" t="s">
        <v>133</v>
      </c>
      <c r="E795" s="20" t="s">
        <v>531</v>
      </c>
      <c r="F795" s="20" t="s">
        <v>160</v>
      </c>
      <c r="G795" s="26">
        <f>G796</f>
        <v>2400</v>
      </c>
      <c r="H795" s="179"/>
    </row>
    <row r="796" spans="1:12" ht="63" x14ac:dyDescent="0.25">
      <c r="A796" s="25" t="s">
        <v>199</v>
      </c>
      <c r="B796" s="16">
        <v>908</v>
      </c>
      <c r="C796" s="20" t="s">
        <v>249</v>
      </c>
      <c r="D796" s="20" t="s">
        <v>133</v>
      </c>
      <c r="E796" s="20" t="s">
        <v>531</v>
      </c>
      <c r="F796" s="20" t="s">
        <v>175</v>
      </c>
      <c r="G796" s="26">
        <f>1500+900</f>
        <v>2400</v>
      </c>
      <c r="H796" s="179"/>
      <c r="I796" s="117"/>
    </row>
    <row r="797" spans="1:12" ht="31.5" x14ac:dyDescent="0.25">
      <c r="A797" s="29" t="s">
        <v>413</v>
      </c>
      <c r="B797" s="16">
        <v>908</v>
      </c>
      <c r="C797" s="20" t="s">
        <v>249</v>
      </c>
      <c r="D797" s="20" t="s">
        <v>133</v>
      </c>
      <c r="E797" s="20" t="s">
        <v>414</v>
      </c>
      <c r="F797" s="24"/>
      <c r="G797" s="26">
        <f>G798</f>
        <v>4234.1000000000004</v>
      </c>
      <c r="H797" s="179"/>
    </row>
    <row r="798" spans="1:12" ht="31.5" x14ac:dyDescent="0.25">
      <c r="A798" s="25" t="s">
        <v>146</v>
      </c>
      <c r="B798" s="16">
        <v>908</v>
      </c>
      <c r="C798" s="20" t="s">
        <v>249</v>
      </c>
      <c r="D798" s="20" t="s">
        <v>133</v>
      </c>
      <c r="E798" s="20" t="s">
        <v>414</v>
      </c>
      <c r="F798" s="20" t="s">
        <v>147</v>
      </c>
      <c r="G798" s="26">
        <f>G799</f>
        <v>4234.1000000000004</v>
      </c>
      <c r="H798" s="179"/>
    </row>
    <row r="799" spans="1:12" ht="47.25" x14ac:dyDescent="0.25">
      <c r="A799" s="25" t="s">
        <v>148</v>
      </c>
      <c r="B799" s="16">
        <v>908</v>
      </c>
      <c r="C799" s="20" t="s">
        <v>249</v>
      </c>
      <c r="D799" s="20" t="s">
        <v>133</v>
      </c>
      <c r="E799" s="20" t="s">
        <v>414</v>
      </c>
      <c r="F799" s="20" t="s">
        <v>149</v>
      </c>
      <c r="G799" s="27">
        <f>3811.8+422.3</f>
        <v>4234.1000000000004</v>
      </c>
      <c r="H799" s="179"/>
    </row>
    <row r="800" spans="1:12" ht="15.75" x14ac:dyDescent="0.25">
      <c r="A800" s="23" t="s">
        <v>532</v>
      </c>
      <c r="B800" s="19">
        <v>908</v>
      </c>
      <c r="C800" s="24" t="s">
        <v>249</v>
      </c>
      <c r="D800" s="24" t="s">
        <v>228</v>
      </c>
      <c r="E800" s="24"/>
      <c r="F800" s="24"/>
      <c r="G800" s="21">
        <f>G801+G826</f>
        <v>53711.1</v>
      </c>
      <c r="H800" s="179"/>
      <c r="I800" s="117"/>
      <c r="L800" s="118"/>
    </row>
    <row r="801" spans="1:10" ht="82.5" customHeight="1" x14ac:dyDescent="0.25">
      <c r="A801" s="25" t="s">
        <v>610</v>
      </c>
      <c r="B801" s="16">
        <v>908</v>
      </c>
      <c r="C801" s="20" t="s">
        <v>249</v>
      </c>
      <c r="D801" s="20" t="s">
        <v>228</v>
      </c>
      <c r="E801" s="20" t="s">
        <v>533</v>
      </c>
      <c r="F801" s="24"/>
      <c r="G801" s="26">
        <f>G805+G808+G811+G814+G817+G823</f>
        <v>5567.9000000000005</v>
      </c>
      <c r="H801" s="181"/>
      <c r="I801" s="117"/>
    </row>
    <row r="802" spans="1:10" ht="47.25" hidden="1" x14ac:dyDescent="0.25">
      <c r="A802" s="35" t="s">
        <v>534</v>
      </c>
      <c r="B802" s="16">
        <v>908</v>
      </c>
      <c r="C802" s="20" t="s">
        <v>249</v>
      </c>
      <c r="D802" s="20" t="s">
        <v>228</v>
      </c>
      <c r="E802" s="20" t="s">
        <v>535</v>
      </c>
      <c r="F802" s="20"/>
      <c r="G802" s="26">
        <f>G803</f>
        <v>0</v>
      </c>
      <c r="H802" s="179"/>
    </row>
    <row r="803" spans="1:10" ht="31.5" hidden="1" x14ac:dyDescent="0.25">
      <c r="A803" s="25" t="s">
        <v>146</v>
      </c>
      <c r="B803" s="16">
        <v>908</v>
      </c>
      <c r="C803" s="20" t="s">
        <v>249</v>
      </c>
      <c r="D803" s="20" t="s">
        <v>228</v>
      </c>
      <c r="E803" s="20" t="s">
        <v>535</v>
      </c>
      <c r="F803" s="20" t="s">
        <v>147</v>
      </c>
      <c r="G803" s="26">
        <f>G804</f>
        <v>0</v>
      </c>
      <c r="H803" s="179"/>
    </row>
    <row r="804" spans="1:10" ht="47.25" hidden="1" x14ac:dyDescent="0.25">
      <c r="A804" s="25" t="s">
        <v>148</v>
      </c>
      <c r="B804" s="16">
        <v>908</v>
      </c>
      <c r="C804" s="20" t="s">
        <v>249</v>
      </c>
      <c r="D804" s="20" t="s">
        <v>228</v>
      </c>
      <c r="E804" s="20" t="s">
        <v>535</v>
      </c>
      <c r="F804" s="20" t="s">
        <v>149</v>
      </c>
      <c r="G804" s="26">
        <v>0</v>
      </c>
      <c r="H804" s="179"/>
    </row>
    <row r="805" spans="1:10" ht="15.75" x14ac:dyDescent="0.25">
      <c r="A805" s="45" t="s">
        <v>536</v>
      </c>
      <c r="B805" s="16">
        <v>908</v>
      </c>
      <c r="C805" s="40" t="s">
        <v>249</v>
      </c>
      <c r="D805" s="40" t="s">
        <v>228</v>
      </c>
      <c r="E805" s="20" t="s">
        <v>537</v>
      </c>
      <c r="F805" s="40"/>
      <c r="G805" s="26">
        <f>G806</f>
        <v>450</v>
      </c>
      <c r="H805" s="179"/>
    </row>
    <row r="806" spans="1:10" ht="31.5" x14ac:dyDescent="0.25">
      <c r="A806" s="31" t="s">
        <v>146</v>
      </c>
      <c r="B806" s="16">
        <v>908</v>
      </c>
      <c r="C806" s="40" t="s">
        <v>249</v>
      </c>
      <c r="D806" s="40" t="s">
        <v>228</v>
      </c>
      <c r="E806" s="20" t="s">
        <v>537</v>
      </c>
      <c r="F806" s="40" t="s">
        <v>147</v>
      </c>
      <c r="G806" s="26">
        <f>G807</f>
        <v>450</v>
      </c>
      <c r="H806" s="179"/>
    </row>
    <row r="807" spans="1:10" ht="47.25" x14ac:dyDescent="0.25">
      <c r="A807" s="31" t="s">
        <v>148</v>
      </c>
      <c r="B807" s="16">
        <v>908</v>
      </c>
      <c r="C807" s="40" t="s">
        <v>249</v>
      </c>
      <c r="D807" s="40" t="s">
        <v>228</v>
      </c>
      <c r="E807" s="20" t="s">
        <v>537</v>
      </c>
      <c r="F807" s="40" t="s">
        <v>149</v>
      </c>
      <c r="G807" s="26">
        <v>450</v>
      </c>
      <c r="H807" s="179"/>
    </row>
    <row r="808" spans="1:10" ht="15.75" x14ac:dyDescent="0.25">
      <c r="A808" s="45" t="s">
        <v>538</v>
      </c>
      <c r="B808" s="16">
        <v>908</v>
      </c>
      <c r="C808" s="40" t="s">
        <v>249</v>
      </c>
      <c r="D808" s="40" t="s">
        <v>228</v>
      </c>
      <c r="E808" s="20" t="s">
        <v>539</v>
      </c>
      <c r="F808" s="40"/>
      <c r="G808" s="26">
        <f>G809</f>
        <v>3107</v>
      </c>
      <c r="H808" s="179"/>
    </row>
    <row r="809" spans="1:10" ht="31.5" x14ac:dyDescent="0.25">
      <c r="A809" s="31" t="s">
        <v>146</v>
      </c>
      <c r="B809" s="16">
        <v>908</v>
      </c>
      <c r="C809" s="40" t="s">
        <v>249</v>
      </c>
      <c r="D809" s="40" t="s">
        <v>228</v>
      </c>
      <c r="E809" s="20" t="s">
        <v>539</v>
      </c>
      <c r="F809" s="40" t="s">
        <v>147</v>
      </c>
      <c r="G809" s="26">
        <f>G810</f>
        <v>3107</v>
      </c>
      <c r="H809" s="179"/>
    </row>
    <row r="810" spans="1:10" ht="47.25" x14ac:dyDescent="0.25">
      <c r="A810" s="31" t="s">
        <v>148</v>
      </c>
      <c r="B810" s="16">
        <v>908</v>
      </c>
      <c r="C810" s="40" t="s">
        <v>249</v>
      </c>
      <c r="D810" s="40" t="s">
        <v>228</v>
      </c>
      <c r="E810" s="20" t="s">
        <v>539</v>
      </c>
      <c r="F810" s="40" t="s">
        <v>149</v>
      </c>
      <c r="G810" s="169">
        <f>110+20+2977</f>
        <v>3107</v>
      </c>
      <c r="H810" s="163" t="s">
        <v>766</v>
      </c>
    </row>
    <row r="811" spans="1:10" ht="15.75" x14ac:dyDescent="0.25">
      <c r="A811" s="45" t="s">
        <v>540</v>
      </c>
      <c r="B811" s="16">
        <v>908</v>
      </c>
      <c r="C811" s="40" t="s">
        <v>249</v>
      </c>
      <c r="D811" s="40" t="s">
        <v>228</v>
      </c>
      <c r="E811" s="20" t="s">
        <v>541</v>
      </c>
      <c r="F811" s="40"/>
      <c r="G811" s="26">
        <f>G812</f>
        <v>1374.6</v>
      </c>
      <c r="H811" s="179"/>
    </row>
    <row r="812" spans="1:10" ht="31.5" x14ac:dyDescent="0.25">
      <c r="A812" s="31" t="s">
        <v>146</v>
      </c>
      <c r="B812" s="16">
        <v>908</v>
      </c>
      <c r="C812" s="40" t="s">
        <v>249</v>
      </c>
      <c r="D812" s="40" t="s">
        <v>228</v>
      </c>
      <c r="E812" s="20" t="s">
        <v>541</v>
      </c>
      <c r="F812" s="40" t="s">
        <v>147</v>
      </c>
      <c r="G812" s="26">
        <f>G813</f>
        <v>1374.6</v>
      </c>
      <c r="H812" s="179"/>
    </row>
    <row r="813" spans="1:10" ht="47.25" x14ac:dyDescent="0.25">
      <c r="A813" s="31" t="s">
        <v>148</v>
      </c>
      <c r="B813" s="16">
        <v>908</v>
      </c>
      <c r="C813" s="40" t="s">
        <v>249</v>
      </c>
      <c r="D813" s="40" t="s">
        <v>228</v>
      </c>
      <c r="E813" s="20" t="s">
        <v>541</v>
      </c>
      <c r="F813" s="40" t="s">
        <v>149</v>
      </c>
      <c r="G813" s="169">
        <f>10+30+3534.6-2200</f>
        <v>1374.6</v>
      </c>
      <c r="H813" s="115" t="s">
        <v>772</v>
      </c>
      <c r="J813" s="171" t="s">
        <v>773</v>
      </c>
    </row>
    <row r="814" spans="1:10" ht="15.75" x14ac:dyDescent="0.25">
      <c r="A814" s="45" t="s">
        <v>542</v>
      </c>
      <c r="B814" s="16">
        <v>908</v>
      </c>
      <c r="C814" s="40" t="s">
        <v>249</v>
      </c>
      <c r="D814" s="40" t="s">
        <v>228</v>
      </c>
      <c r="E814" s="20" t="s">
        <v>543</v>
      </c>
      <c r="F814" s="40"/>
      <c r="G814" s="26">
        <f>G815</f>
        <v>159.10000000000002</v>
      </c>
      <c r="H814" s="179"/>
    </row>
    <row r="815" spans="1:10" ht="31.5" x14ac:dyDescent="0.25">
      <c r="A815" s="31" t="s">
        <v>146</v>
      </c>
      <c r="B815" s="16">
        <v>908</v>
      </c>
      <c r="C815" s="40" t="s">
        <v>249</v>
      </c>
      <c r="D815" s="40" t="s">
        <v>228</v>
      </c>
      <c r="E815" s="20" t="s">
        <v>543</v>
      </c>
      <c r="F815" s="40" t="s">
        <v>147</v>
      </c>
      <c r="G815" s="26">
        <f>G816</f>
        <v>159.10000000000002</v>
      </c>
      <c r="H815" s="179"/>
    </row>
    <row r="816" spans="1:10" ht="47.25" x14ac:dyDescent="0.25">
      <c r="A816" s="31" t="s">
        <v>148</v>
      </c>
      <c r="B816" s="16">
        <v>908</v>
      </c>
      <c r="C816" s="40" t="s">
        <v>249</v>
      </c>
      <c r="D816" s="40" t="s">
        <v>228</v>
      </c>
      <c r="E816" s="20" t="s">
        <v>543</v>
      </c>
      <c r="F816" s="40" t="s">
        <v>149</v>
      </c>
      <c r="G816" s="169">
        <f>250+5+681.1-522-255</f>
        <v>159.10000000000002</v>
      </c>
      <c r="H816" s="115" t="s">
        <v>767</v>
      </c>
    </row>
    <row r="817" spans="1:10" ht="15.75" x14ac:dyDescent="0.25">
      <c r="A817" s="45" t="s">
        <v>544</v>
      </c>
      <c r="B817" s="16">
        <v>908</v>
      </c>
      <c r="C817" s="40" t="s">
        <v>249</v>
      </c>
      <c r="D817" s="40" t="s">
        <v>228</v>
      </c>
      <c r="E817" s="20" t="s">
        <v>545</v>
      </c>
      <c r="F817" s="40"/>
      <c r="G817" s="26">
        <f>G818</f>
        <v>288.2</v>
      </c>
      <c r="H817" s="179"/>
    </row>
    <row r="818" spans="1:10" ht="31.5" x14ac:dyDescent="0.25">
      <c r="A818" s="31" t="s">
        <v>146</v>
      </c>
      <c r="B818" s="16">
        <v>908</v>
      </c>
      <c r="C818" s="40" t="s">
        <v>249</v>
      </c>
      <c r="D818" s="40" t="s">
        <v>228</v>
      </c>
      <c r="E818" s="20" t="s">
        <v>545</v>
      </c>
      <c r="F818" s="40" t="s">
        <v>147</v>
      </c>
      <c r="G818" s="26">
        <f>G819</f>
        <v>288.2</v>
      </c>
      <c r="H818" s="179"/>
    </row>
    <row r="819" spans="1:10" ht="47.25" x14ac:dyDescent="0.25">
      <c r="A819" s="31" t="s">
        <v>148</v>
      </c>
      <c r="B819" s="16">
        <v>908</v>
      </c>
      <c r="C819" s="40" t="s">
        <v>249</v>
      </c>
      <c r="D819" s="40" t="s">
        <v>228</v>
      </c>
      <c r="E819" s="20" t="s">
        <v>545</v>
      </c>
      <c r="F819" s="40" t="s">
        <v>149</v>
      </c>
      <c r="G819" s="26">
        <f>2+286.2</f>
        <v>288.2</v>
      </c>
      <c r="H819" s="115"/>
      <c r="J819" s="172" t="s">
        <v>774</v>
      </c>
    </row>
    <row r="820" spans="1:10" ht="31.5" hidden="1" x14ac:dyDescent="0.25">
      <c r="A820" s="180" t="s">
        <v>546</v>
      </c>
      <c r="B820" s="16">
        <v>908</v>
      </c>
      <c r="C820" s="40" t="s">
        <v>249</v>
      </c>
      <c r="D820" s="40" t="s">
        <v>228</v>
      </c>
      <c r="E820" s="20" t="s">
        <v>547</v>
      </c>
      <c r="F820" s="40"/>
      <c r="G820" s="26">
        <f>G821</f>
        <v>0</v>
      </c>
      <c r="H820" s="179"/>
    </row>
    <row r="821" spans="1:10" ht="31.5" hidden="1" x14ac:dyDescent="0.25">
      <c r="A821" s="31" t="s">
        <v>146</v>
      </c>
      <c r="B821" s="16">
        <v>908</v>
      </c>
      <c r="C821" s="40" t="s">
        <v>249</v>
      </c>
      <c r="D821" s="40" t="s">
        <v>228</v>
      </c>
      <c r="E821" s="20" t="s">
        <v>547</v>
      </c>
      <c r="F821" s="40" t="s">
        <v>147</v>
      </c>
      <c r="G821" s="26">
        <f>G822</f>
        <v>0</v>
      </c>
      <c r="H821" s="179"/>
    </row>
    <row r="822" spans="1:10" ht="47.25" hidden="1" x14ac:dyDescent="0.25">
      <c r="A822" s="31" t="s">
        <v>148</v>
      </c>
      <c r="B822" s="16">
        <v>908</v>
      </c>
      <c r="C822" s="40" t="s">
        <v>249</v>
      </c>
      <c r="D822" s="40" t="s">
        <v>228</v>
      </c>
      <c r="E822" s="20" t="s">
        <v>547</v>
      </c>
      <c r="F822" s="40" t="s">
        <v>149</v>
      </c>
      <c r="G822" s="26">
        <v>0</v>
      </c>
      <c r="H822" s="179"/>
    </row>
    <row r="823" spans="1:10" ht="15.75" x14ac:dyDescent="0.25">
      <c r="A823" s="180" t="s">
        <v>548</v>
      </c>
      <c r="B823" s="16">
        <v>908</v>
      </c>
      <c r="C823" s="40" t="s">
        <v>249</v>
      </c>
      <c r="D823" s="40" t="s">
        <v>228</v>
      </c>
      <c r="E823" s="20" t="s">
        <v>549</v>
      </c>
      <c r="F823" s="40"/>
      <c r="G823" s="26">
        <f>G824</f>
        <v>189</v>
      </c>
      <c r="H823" s="179"/>
    </row>
    <row r="824" spans="1:10" ht="31.5" x14ac:dyDescent="0.25">
      <c r="A824" s="25" t="s">
        <v>146</v>
      </c>
      <c r="B824" s="16">
        <v>908</v>
      </c>
      <c r="C824" s="40" t="s">
        <v>249</v>
      </c>
      <c r="D824" s="40" t="s">
        <v>228</v>
      </c>
      <c r="E824" s="20" t="s">
        <v>549</v>
      </c>
      <c r="F824" s="40" t="s">
        <v>147</v>
      </c>
      <c r="G824" s="26">
        <f>G825</f>
        <v>189</v>
      </c>
      <c r="H824" s="179"/>
    </row>
    <row r="825" spans="1:10" ht="47.25" x14ac:dyDescent="0.25">
      <c r="A825" s="25" t="s">
        <v>148</v>
      </c>
      <c r="B825" s="16">
        <v>908</v>
      </c>
      <c r="C825" s="40" t="s">
        <v>249</v>
      </c>
      <c r="D825" s="40" t="s">
        <v>228</v>
      </c>
      <c r="E825" s="20" t="s">
        <v>549</v>
      </c>
      <c r="F825" s="40" t="s">
        <v>149</v>
      </c>
      <c r="G825" s="26">
        <f>15+174</f>
        <v>189</v>
      </c>
      <c r="H825" s="115"/>
      <c r="J825" s="172" t="s">
        <v>775</v>
      </c>
    </row>
    <row r="826" spans="1:10" ht="15.75" x14ac:dyDescent="0.25">
      <c r="A826" s="25" t="s">
        <v>136</v>
      </c>
      <c r="B826" s="16">
        <v>908</v>
      </c>
      <c r="C826" s="20" t="s">
        <v>249</v>
      </c>
      <c r="D826" s="20" t="s">
        <v>228</v>
      </c>
      <c r="E826" s="20" t="s">
        <v>137</v>
      </c>
      <c r="F826" s="20"/>
      <c r="G826" s="26">
        <f>G827+G837</f>
        <v>48143.199999999997</v>
      </c>
      <c r="H826" s="179"/>
    </row>
    <row r="827" spans="1:10" ht="31.5" x14ac:dyDescent="0.25">
      <c r="A827" s="25" t="s">
        <v>200</v>
      </c>
      <c r="B827" s="16">
        <v>908</v>
      </c>
      <c r="C827" s="20" t="s">
        <v>249</v>
      </c>
      <c r="D827" s="20" t="s">
        <v>228</v>
      </c>
      <c r="E827" s="20" t="s">
        <v>201</v>
      </c>
      <c r="F827" s="20"/>
      <c r="G827" s="26">
        <f>G828+G831+G834</f>
        <v>25111.200000000001</v>
      </c>
      <c r="H827" s="179"/>
    </row>
    <row r="828" spans="1:10" ht="47.25" x14ac:dyDescent="0.25">
      <c r="A828" s="102" t="s">
        <v>697</v>
      </c>
      <c r="B828" s="16">
        <v>908</v>
      </c>
      <c r="C828" s="20" t="s">
        <v>249</v>
      </c>
      <c r="D828" s="20" t="s">
        <v>228</v>
      </c>
      <c r="E828" s="20" t="s">
        <v>550</v>
      </c>
      <c r="F828" s="20"/>
      <c r="G828" s="26">
        <f>G829</f>
        <v>5000</v>
      </c>
      <c r="H828" s="179"/>
    </row>
    <row r="829" spans="1:10" ht="31.5" x14ac:dyDescent="0.25">
      <c r="A829" s="25" t="s">
        <v>146</v>
      </c>
      <c r="B829" s="16">
        <v>908</v>
      </c>
      <c r="C829" s="20" t="s">
        <v>249</v>
      </c>
      <c r="D829" s="20" t="s">
        <v>228</v>
      </c>
      <c r="E829" s="20" t="s">
        <v>550</v>
      </c>
      <c r="F829" s="20" t="s">
        <v>147</v>
      </c>
      <c r="G829" s="26">
        <f>G830</f>
        <v>5000</v>
      </c>
      <c r="H829" s="179"/>
    </row>
    <row r="830" spans="1:10" ht="47.25" x14ac:dyDescent="0.25">
      <c r="A830" s="25" t="s">
        <v>148</v>
      </c>
      <c r="B830" s="16">
        <v>908</v>
      </c>
      <c r="C830" s="20" t="s">
        <v>249</v>
      </c>
      <c r="D830" s="20" t="s">
        <v>228</v>
      </c>
      <c r="E830" s="20" t="s">
        <v>550</v>
      </c>
      <c r="F830" s="20" t="s">
        <v>149</v>
      </c>
      <c r="G830" s="26">
        <f>5000</f>
        <v>5000</v>
      </c>
      <c r="H830" s="179"/>
      <c r="I830" s="117"/>
    </row>
    <row r="831" spans="1:10" ht="31.5" x14ac:dyDescent="0.25">
      <c r="A831" s="35" t="s">
        <v>703</v>
      </c>
      <c r="B831" s="16">
        <v>908</v>
      </c>
      <c r="C831" s="20" t="s">
        <v>249</v>
      </c>
      <c r="D831" s="20" t="s">
        <v>228</v>
      </c>
      <c r="E831" s="20" t="s">
        <v>551</v>
      </c>
      <c r="F831" s="20"/>
      <c r="G831" s="26">
        <f>G832</f>
        <v>20000</v>
      </c>
      <c r="H831" s="179"/>
    </row>
    <row r="832" spans="1:10" ht="31.5" x14ac:dyDescent="0.25">
      <c r="A832" s="25" t="s">
        <v>146</v>
      </c>
      <c r="B832" s="16">
        <v>908</v>
      </c>
      <c r="C832" s="20" t="s">
        <v>249</v>
      </c>
      <c r="D832" s="20" t="s">
        <v>228</v>
      </c>
      <c r="E832" s="20" t="s">
        <v>551</v>
      </c>
      <c r="F832" s="20" t="s">
        <v>147</v>
      </c>
      <c r="G832" s="26">
        <f>G833</f>
        <v>20000</v>
      </c>
      <c r="H832" s="179"/>
    </row>
    <row r="833" spans="1:10" ht="47.25" x14ac:dyDescent="0.25">
      <c r="A833" s="25" t="s">
        <v>148</v>
      </c>
      <c r="B833" s="16">
        <v>908</v>
      </c>
      <c r="C833" s="20" t="s">
        <v>249</v>
      </c>
      <c r="D833" s="20" t="s">
        <v>228</v>
      </c>
      <c r="E833" s="20" t="s">
        <v>551</v>
      </c>
      <c r="F833" s="20" t="s">
        <v>149</v>
      </c>
      <c r="G833" s="26">
        <v>20000</v>
      </c>
      <c r="H833" s="108"/>
    </row>
    <row r="834" spans="1:10" ht="47.25" x14ac:dyDescent="0.25">
      <c r="A834" s="25" t="s">
        <v>704</v>
      </c>
      <c r="B834" s="16">
        <v>908</v>
      </c>
      <c r="C834" s="20" t="s">
        <v>249</v>
      </c>
      <c r="D834" s="20" t="s">
        <v>228</v>
      </c>
      <c r="E834" s="20" t="s">
        <v>705</v>
      </c>
      <c r="F834" s="20"/>
      <c r="G834" s="26">
        <f>G835</f>
        <v>111.2</v>
      </c>
      <c r="H834" s="110"/>
    </row>
    <row r="835" spans="1:10" ht="31.5" x14ac:dyDescent="0.25">
      <c r="A835" s="25" t="s">
        <v>146</v>
      </c>
      <c r="B835" s="16">
        <v>908</v>
      </c>
      <c r="C835" s="20" t="s">
        <v>249</v>
      </c>
      <c r="D835" s="20" t="s">
        <v>228</v>
      </c>
      <c r="E835" s="20" t="s">
        <v>705</v>
      </c>
      <c r="F835" s="20" t="s">
        <v>147</v>
      </c>
      <c r="G835" s="26">
        <f>G836</f>
        <v>111.2</v>
      </c>
      <c r="H835" s="110"/>
    </row>
    <row r="836" spans="1:10" ht="47.25" x14ac:dyDescent="0.25">
      <c r="A836" s="25" t="s">
        <v>148</v>
      </c>
      <c r="B836" s="16">
        <v>908</v>
      </c>
      <c r="C836" s="20" t="s">
        <v>249</v>
      </c>
      <c r="D836" s="20" t="s">
        <v>228</v>
      </c>
      <c r="E836" s="20" t="s">
        <v>705</v>
      </c>
      <c r="F836" s="20" t="s">
        <v>149</v>
      </c>
      <c r="G836" s="26">
        <v>111.2</v>
      </c>
      <c r="H836" s="110"/>
    </row>
    <row r="837" spans="1:10" ht="15.75" x14ac:dyDescent="0.25">
      <c r="A837" s="25" t="s">
        <v>156</v>
      </c>
      <c r="B837" s="16">
        <v>908</v>
      </c>
      <c r="C837" s="20" t="s">
        <v>249</v>
      </c>
      <c r="D837" s="20" t="s">
        <v>228</v>
      </c>
      <c r="E837" s="20" t="s">
        <v>157</v>
      </c>
      <c r="F837" s="20"/>
      <c r="G837" s="26">
        <f>G838+G844</f>
        <v>23031.999999999996</v>
      </c>
      <c r="H837" s="179"/>
    </row>
    <row r="838" spans="1:10" ht="31.5" x14ac:dyDescent="0.25">
      <c r="A838" s="35" t="s">
        <v>552</v>
      </c>
      <c r="B838" s="16">
        <v>908</v>
      </c>
      <c r="C838" s="20" t="s">
        <v>249</v>
      </c>
      <c r="D838" s="20" t="s">
        <v>228</v>
      </c>
      <c r="E838" s="20" t="s">
        <v>553</v>
      </c>
      <c r="F838" s="20"/>
      <c r="G838" s="26">
        <f>G839+G841</f>
        <v>20353.699999999997</v>
      </c>
      <c r="H838" s="179"/>
    </row>
    <row r="839" spans="1:10" ht="31.5" x14ac:dyDescent="0.25">
      <c r="A839" s="25" t="s">
        <v>146</v>
      </c>
      <c r="B839" s="16">
        <v>908</v>
      </c>
      <c r="C839" s="20" t="s">
        <v>249</v>
      </c>
      <c r="D839" s="20" t="s">
        <v>228</v>
      </c>
      <c r="E839" s="20" t="s">
        <v>553</v>
      </c>
      <c r="F839" s="20" t="s">
        <v>147</v>
      </c>
      <c r="G839" s="26">
        <f>G840</f>
        <v>20322.099999999999</v>
      </c>
      <c r="H839" s="179"/>
    </row>
    <row r="840" spans="1:10" ht="47.25" x14ac:dyDescent="0.25">
      <c r="A840" s="25" t="s">
        <v>148</v>
      </c>
      <c r="B840" s="16">
        <v>908</v>
      </c>
      <c r="C840" s="20" t="s">
        <v>249</v>
      </c>
      <c r="D840" s="20" t="s">
        <v>228</v>
      </c>
      <c r="E840" s="20" t="s">
        <v>553</v>
      </c>
      <c r="F840" s="20" t="s">
        <v>149</v>
      </c>
      <c r="G840" s="164">
        <f>10880-5000-2230+172.1+16500</f>
        <v>20322.099999999999</v>
      </c>
      <c r="H840" s="108" t="s">
        <v>771</v>
      </c>
      <c r="I840" s="117"/>
      <c r="J840" s="173" t="s">
        <v>740</v>
      </c>
    </row>
    <row r="841" spans="1:10" ht="15.75" x14ac:dyDescent="0.25">
      <c r="A841" s="25" t="s">
        <v>150</v>
      </c>
      <c r="B841" s="16">
        <v>908</v>
      </c>
      <c r="C841" s="20" t="s">
        <v>249</v>
      </c>
      <c r="D841" s="20" t="s">
        <v>228</v>
      </c>
      <c r="E841" s="20" t="s">
        <v>553</v>
      </c>
      <c r="F841" s="20" t="s">
        <v>160</v>
      </c>
      <c r="G841" s="26">
        <f>G842+G843</f>
        <v>31.6</v>
      </c>
      <c r="H841" s="179"/>
    </row>
    <row r="842" spans="1:10" ht="63" hidden="1" x14ac:dyDescent="0.25">
      <c r="A842" s="25" t="s">
        <v>199</v>
      </c>
      <c r="B842" s="16">
        <v>908</v>
      </c>
      <c r="C842" s="20" t="s">
        <v>249</v>
      </c>
      <c r="D842" s="20" t="s">
        <v>228</v>
      </c>
      <c r="E842" s="20" t="s">
        <v>553</v>
      </c>
      <c r="F842" s="20" t="s">
        <v>175</v>
      </c>
      <c r="G842" s="26">
        <v>0</v>
      </c>
      <c r="H842" s="179"/>
    </row>
    <row r="843" spans="1:10" ht="15.75" x14ac:dyDescent="0.25">
      <c r="A843" s="25" t="s">
        <v>583</v>
      </c>
      <c r="B843" s="16">
        <v>908</v>
      </c>
      <c r="C843" s="20" t="s">
        <v>249</v>
      </c>
      <c r="D843" s="20" t="s">
        <v>228</v>
      </c>
      <c r="E843" s="20" t="s">
        <v>553</v>
      </c>
      <c r="F843" s="20" t="s">
        <v>153</v>
      </c>
      <c r="G843" s="26">
        <v>31.6</v>
      </c>
      <c r="H843" s="108"/>
      <c r="I843" s="126"/>
    </row>
    <row r="844" spans="1:10" ht="15.75" x14ac:dyDescent="0.25">
      <c r="A844" s="25" t="s">
        <v>554</v>
      </c>
      <c r="B844" s="16">
        <v>908</v>
      </c>
      <c r="C844" s="20" t="s">
        <v>249</v>
      </c>
      <c r="D844" s="20" t="s">
        <v>228</v>
      </c>
      <c r="E844" s="20" t="s">
        <v>555</v>
      </c>
      <c r="F844" s="20"/>
      <c r="G844" s="26">
        <f>G845</f>
        <v>2678.3</v>
      </c>
      <c r="H844" s="179"/>
    </row>
    <row r="845" spans="1:10" ht="15.75" x14ac:dyDescent="0.25">
      <c r="A845" s="25" t="s">
        <v>150</v>
      </c>
      <c r="B845" s="16">
        <v>908</v>
      </c>
      <c r="C845" s="20" t="s">
        <v>249</v>
      </c>
      <c r="D845" s="20" t="s">
        <v>228</v>
      </c>
      <c r="E845" s="20" t="s">
        <v>555</v>
      </c>
      <c r="F845" s="20" t="s">
        <v>160</v>
      </c>
      <c r="G845" s="26">
        <f>G846</f>
        <v>2678.3</v>
      </c>
      <c r="H845" s="179"/>
    </row>
    <row r="846" spans="1:10" ht="15.75" x14ac:dyDescent="0.25">
      <c r="A846" s="25" t="s">
        <v>161</v>
      </c>
      <c r="B846" s="16">
        <v>908</v>
      </c>
      <c r="C846" s="20" t="s">
        <v>249</v>
      </c>
      <c r="D846" s="20" t="s">
        <v>228</v>
      </c>
      <c r="E846" s="20" t="s">
        <v>555</v>
      </c>
      <c r="F846" s="20" t="s">
        <v>162</v>
      </c>
      <c r="G846" s="26">
        <v>2678.3</v>
      </c>
      <c r="H846" s="179"/>
      <c r="I846" s="117"/>
    </row>
    <row r="847" spans="1:10" ht="15.75" x14ac:dyDescent="0.25">
      <c r="A847" s="23" t="s">
        <v>556</v>
      </c>
      <c r="B847" s="19">
        <v>908</v>
      </c>
      <c r="C847" s="24" t="s">
        <v>249</v>
      </c>
      <c r="D847" s="24" t="s">
        <v>230</v>
      </c>
      <c r="E847" s="24"/>
      <c r="F847" s="24"/>
      <c r="G847" s="21">
        <f>G848++G878+G874</f>
        <v>25464.6</v>
      </c>
      <c r="H847" s="179"/>
    </row>
    <row r="848" spans="1:10" ht="47.25" x14ac:dyDescent="0.25">
      <c r="A848" s="25" t="s">
        <v>557</v>
      </c>
      <c r="B848" s="16">
        <v>908</v>
      </c>
      <c r="C848" s="20" t="s">
        <v>249</v>
      </c>
      <c r="D848" s="20" t="s">
        <v>230</v>
      </c>
      <c r="E848" s="20" t="s">
        <v>558</v>
      </c>
      <c r="F848" s="20"/>
      <c r="G848" s="26">
        <f>G849+G859</f>
        <v>12375.499999999998</v>
      </c>
      <c r="H848" s="179"/>
    </row>
    <row r="849" spans="1:8" ht="47.25" x14ac:dyDescent="0.25">
      <c r="A849" s="25" t="s">
        <v>559</v>
      </c>
      <c r="B849" s="16">
        <v>908</v>
      </c>
      <c r="C849" s="20" t="s">
        <v>249</v>
      </c>
      <c r="D849" s="20" t="s">
        <v>230</v>
      </c>
      <c r="E849" s="20" t="s">
        <v>560</v>
      </c>
      <c r="F849" s="20"/>
      <c r="G849" s="26">
        <f>G850+G853+G856</f>
        <v>8697.2999999999993</v>
      </c>
      <c r="H849" s="179"/>
    </row>
    <row r="850" spans="1:8" ht="31.5" x14ac:dyDescent="0.25">
      <c r="A850" s="25" t="s">
        <v>561</v>
      </c>
      <c r="B850" s="16">
        <v>908</v>
      </c>
      <c r="C850" s="20" t="s">
        <v>249</v>
      </c>
      <c r="D850" s="20" t="s">
        <v>230</v>
      </c>
      <c r="E850" s="20" t="s">
        <v>562</v>
      </c>
      <c r="F850" s="20"/>
      <c r="G850" s="26">
        <f>G851</f>
        <v>253.4</v>
      </c>
      <c r="H850" s="179"/>
    </row>
    <row r="851" spans="1:8" ht="31.5" x14ac:dyDescent="0.25">
      <c r="A851" s="25" t="s">
        <v>146</v>
      </c>
      <c r="B851" s="16">
        <v>908</v>
      </c>
      <c r="C851" s="20" t="s">
        <v>249</v>
      </c>
      <c r="D851" s="20" t="s">
        <v>230</v>
      </c>
      <c r="E851" s="20" t="s">
        <v>562</v>
      </c>
      <c r="F851" s="20" t="s">
        <v>147</v>
      </c>
      <c r="G851" s="26">
        <f>G852</f>
        <v>253.4</v>
      </c>
      <c r="H851" s="179"/>
    </row>
    <row r="852" spans="1:8" ht="47.25" x14ac:dyDescent="0.25">
      <c r="A852" s="25" t="s">
        <v>148</v>
      </c>
      <c r="B852" s="16">
        <v>908</v>
      </c>
      <c r="C852" s="20" t="s">
        <v>249</v>
      </c>
      <c r="D852" s="20" t="s">
        <v>230</v>
      </c>
      <c r="E852" s="20" t="s">
        <v>562</v>
      </c>
      <c r="F852" s="20" t="s">
        <v>149</v>
      </c>
      <c r="G852" s="26">
        <v>253.4</v>
      </c>
      <c r="H852" s="179"/>
    </row>
    <row r="853" spans="1:8" ht="15.75" x14ac:dyDescent="0.25">
      <c r="A853" s="25" t="s">
        <v>563</v>
      </c>
      <c r="B853" s="16">
        <v>908</v>
      </c>
      <c r="C853" s="20" t="s">
        <v>249</v>
      </c>
      <c r="D853" s="20" t="s">
        <v>230</v>
      </c>
      <c r="E853" s="20" t="s">
        <v>564</v>
      </c>
      <c r="F853" s="20"/>
      <c r="G853" s="26">
        <f>G854</f>
        <v>5258.6</v>
      </c>
      <c r="H853" s="179"/>
    </row>
    <row r="854" spans="1:8" ht="31.5" x14ac:dyDescent="0.25">
      <c r="A854" s="25" t="s">
        <v>146</v>
      </c>
      <c r="B854" s="16">
        <v>908</v>
      </c>
      <c r="C854" s="20" t="s">
        <v>249</v>
      </c>
      <c r="D854" s="20" t="s">
        <v>230</v>
      </c>
      <c r="E854" s="20" t="s">
        <v>564</v>
      </c>
      <c r="F854" s="20" t="s">
        <v>147</v>
      </c>
      <c r="G854" s="26">
        <f>G855</f>
        <v>5258.6</v>
      </c>
      <c r="H854" s="179"/>
    </row>
    <row r="855" spans="1:8" ht="47.25" x14ac:dyDescent="0.25">
      <c r="A855" s="25" t="s">
        <v>148</v>
      </c>
      <c r="B855" s="16">
        <v>908</v>
      </c>
      <c r="C855" s="20" t="s">
        <v>249</v>
      </c>
      <c r="D855" s="20" t="s">
        <v>230</v>
      </c>
      <c r="E855" s="20" t="s">
        <v>564</v>
      </c>
      <c r="F855" s="20" t="s">
        <v>149</v>
      </c>
      <c r="G855" s="26">
        <v>5258.6</v>
      </c>
      <c r="H855" s="179"/>
    </row>
    <row r="856" spans="1:8" ht="15.75" x14ac:dyDescent="0.25">
      <c r="A856" s="25" t="s">
        <v>565</v>
      </c>
      <c r="B856" s="16">
        <v>908</v>
      </c>
      <c r="C856" s="20" t="s">
        <v>249</v>
      </c>
      <c r="D856" s="20" t="s">
        <v>230</v>
      </c>
      <c r="E856" s="20" t="s">
        <v>566</v>
      </c>
      <c r="F856" s="20"/>
      <c r="G856" s="26">
        <f>G857</f>
        <v>3185.3</v>
      </c>
      <c r="H856" s="179"/>
    </row>
    <row r="857" spans="1:8" ht="31.5" x14ac:dyDescent="0.25">
      <c r="A857" s="25" t="s">
        <v>146</v>
      </c>
      <c r="B857" s="16">
        <v>908</v>
      </c>
      <c r="C857" s="20" t="s">
        <v>249</v>
      </c>
      <c r="D857" s="20" t="s">
        <v>230</v>
      </c>
      <c r="E857" s="20" t="s">
        <v>566</v>
      </c>
      <c r="F857" s="20" t="s">
        <v>147</v>
      </c>
      <c r="G857" s="26">
        <f>G858</f>
        <v>3185.3</v>
      </c>
      <c r="H857" s="179"/>
    </row>
    <row r="858" spans="1:8" ht="47.25" x14ac:dyDescent="0.25">
      <c r="A858" s="25" t="s">
        <v>148</v>
      </c>
      <c r="B858" s="16">
        <v>908</v>
      </c>
      <c r="C858" s="20" t="s">
        <v>249</v>
      </c>
      <c r="D858" s="20" t="s">
        <v>230</v>
      </c>
      <c r="E858" s="20" t="s">
        <v>566</v>
      </c>
      <c r="F858" s="20" t="s">
        <v>149</v>
      </c>
      <c r="G858" s="26">
        <v>3185.3</v>
      </c>
      <c r="H858" s="179"/>
    </row>
    <row r="859" spans="1:8" ht="47.25" x14ac:dyDescent="0.25">
      <c r="A859" s="25" t="s">
        <v>567</v>
      </c>
      <c r="B859" s="16">
        <v>908</v>
      </c>
      <c r="C859" s="20" t="s">
        <v>249</v>
      </c>
      <c r="D859" s="20" t="s">
        <v>230</v>
      </c>
      <c r="E859" s="20" t="s">
        <v>568</v>
      </c>
      <c r="F859" s="20"/>
      <c r="G859" s="26">
        <f>G860+G865+G868+G871</f>
        <v>3678.1999999999994</v>
      </c>
      <c r="H859" s="179"/>
    </row>
    <row r="860" spans="1:8" ht="15.75" x14ac:dyDescent="0.25">
      <c r="A860" s="25" t="s">
        <v>565</v>
      </c>
      <c r="B860" s="16">
        <v>908</v>
      </c>
      <c r="C860" s="20" t="s">
        <v>249</v>
      </c>
      <c r="D860" s="20" t="s">
        <v>230</v>
      </c>
      <c r="E860" s="20" t="s">
        <v>569</v>
      </c>
      <c r="F860" s="20"/>
      <c r="G860" s="26">
        <f>G861+G863</f>
        <v>1112.3999999999999</v>
      </c>
      <c r="H860" s="179"/>
    </row>
    <row r="861" spans="1:8" ht="94.5" x14ac:dyDescent="0.25">
      <c r="A861" s="25" t="s">
        <v>142</v>
      </c>
      <c r="B861" s="16">
        <v>908</v>
      </c>
      <c r="C861" s="20" t="s">
        <v>249</v>
      </c>
      <c r="D861" s="20" t="s">
        <v>230</v>
      </c>
      <c r="E861" s="20" t="s">
        <v>569</v>
      </c>
      <c r="F861" s="20" t="s">
        <v>143</v>
      </c>
      <c r="G861" s="26">
        <f>G862</f>
        <v>892.8</v>
      </c>
      <c r="H861" s="179"/>
    </row>
    <row r="862" spans="1:8" ht="31.5" x14ac:dyDescent="0.25">
      <c r="A862" s="46" t="s">
        <v>357</v>
      </c>
      <c r="B862" s="16">
        <v>908</v>
      </c>
      <c r="C862" s="20" t="s">
        <v>249</v>
      </c>
      <c r="D862" s="20" t="s">
        <v>230</v>
      </c>
      <c r="E862" s="20" t="s">
        <v>569</v>
      </c>
      <c r="F862" s="20" t="s">
        <v>224</v>
      </c>
      <c r="G862" s="26">
        <f>801.5+91.3</f>
        <v>892.8</v>
      </c>
      <c r="H862" s="108"/>
    </row>
    <row r="863" spans="1:8" ht="31.5" x14ac:dyDescent="0.25">
      <c r="A863" s="25" t="s">
        <v>146</v>
      </c>
      <c r="B863" s="16">
        <v>908</v>
      </c>
      <c r="C863" s="20" t="s">
        <v>249</v>
      </c>
      <c r="D863" s="20" t="s">
        <v>230</v>
      </c>
      <c r="E863" s="20" t="s">
        <v>569</v>
      </c>
      <c r="F863" s="20" t="s">
        <v>147</v>
      </c>
      <c r="G863" s="26">
        <f>G864</f>
        <v>219.6</v>
      </c>
      <c r="H863" s="179"/>
    </row>
    <row r="864" spans="1:8" ht="47.25" x14ac:dyDescent="0.25">
      <c r="A864" s="25" t="s">
        <v>148</v>
      </c>
      <c r="B864" s="16">
        <v>908</v>
      </c>
      <c r="C864" s="20" t="s">
        <v>249</v>
      </c>
      <c r="D864" s="20" t="s">
        <v>230</v>
      </c>
      <c r="E864" s="20" t="s">
        <v>569</v>
      </c>
      <c r="F864" s="20" t="s">
        <v>149</v>
      </c>
      <c r="G864" s="26">
        <v>219.6</v>
      </c>
      <c r="H864" s="179"/>
    </row>
    <row r="865" spans="1:8" ht="15.75" x14ac:dyDescent="0.25">
      <c r="A865" s="25" t="s">
        <v>570</v>
      </c>
      <c r="B865" s="16">
        <v>908</v>
      </c>
      <c r="C865" s="20" t="s">
        <v>249</v>
      </c>
      <c r="D865" s="20" t="s">
        <v>230</v>
      </c>
      <c r="E865" s="20" t="s">
        <v>571</v>
      </c>
      <c r="F865" s="20"/>
      <c r="G865" s="26">
        <f>G866</f>
        <v>86.6</v>
      </c>
      <c r="H865" s="179"/>
    </row>
    <row r="866" spans="1:8" ht="31.5" x14ac:dyDescent="0.25">
      <c r="A866" s="25" t="s">
        <v>146</v>
      </c>
      <c r="B866" s="16">
        <v>908</v>
      </c>
      <c r="C866" s="20" t="s">
        <v>249</v>
      </c>
      <c r="D866" s="20" t="s">
        <v>230</v>
      </c>
      <c r="E866" s="20" t="s">
        <v>571</v>
      </c>
      <c r="F866" s="20" t="s">
        <v>147</v>
      </c>
      <c r="G866" s="26">
        <f>G867</f>
        <v>86.6</v>
      </c>
      <c r="H866" s="179"/>
    </row>
    <row r="867" spans="1:8" ht="47.25" x14ac:dyDescent="0.25">
      <c r="A867" s="25" t="s">
        <v>148</v>
      </c>
      <c r="B867" s="16">
        <v>908</v>
      </c>
      <c r="C867" s="20" t="s">
        <v>249</v>
      </c>
      <c r="D867" s="20" t="s">
        <v>230</v>
      </c>
      <c r="E867" s="20" t="s">
        <v>571</v>
      </c>
      <c r="F867" s="20" t="s">
        <v>149</v>
      </c>
      <c r="G867" s="26">
        <v>86.6</v>
      </c>
      <c r="H867" s="179"/>
    </row>
    <row r="868" spans="1:8" ht="47.25" x14ac:dyDescent="0.25">
      <c r="A868" s="45" t="s">
        <v>572</v>
      </c>
      <c r="B868" s="16">
        <v>908</v>
      </c>
      <c r="C868" s="20" t="s">
        <v>249</v>
      </c>
      <c r="D868" s="20" t="s">
        <v>230</v>
      </c>
      <c r="E868" s="20" t="s">
        <v>573</v>
      </c>
      <c r="F868" s="20"/>
      <c r="G868" s="26">
        <f>G869</f>
        <v>2130.6</v>
      </c>
      <c r="H868" s="179"/>
    </row>
    <row r="869" spans="1:8" ht="31.5" x14ac:dyDescent="0.25">
      <c r="A869" s="25" t="s">
        <v>146</v>
      </c>
      <c r="B869" s="16">
        <v>908</v>
      </c>
      <c r="C869" s="20" t="s">
        <v>249</v>
      </c>
      <c r="D869" s="20" t="s">
        <v>230</v>
      </c>
      <c r="E869" s="20" t="s">
        <v>573</v>
      </c>
      <c r="F869" s="20" t="s">
        <v>147</v>
      </c>
      <c r="G869" s="26">
        <f>G870</f>
        <v>2130.6</v>
      </c>
      <c r="H869" s="179"/>
    </row>
    <row r="870" spans="1:8" ht="47.25" x14ac:dyDescent="0.25">
      <c r="A870" s="25" t="s">
        <v>148</v>
      </c>
      <c r="B870" s="16">
        <v>908</v>
      </c>
      <c r="C870" s="20" t="s">
        <v>249</v>
      </c>
      <c r="D870" s="20" t="s">
        <v>230</v>
      </c>
      <c r="E870" s="20" t="s">
        <v>573</v>
      </c>
      <c r="F870" s="20" t="s">
        <v>149</v>
      </c>
      <c r="G870" s="26">
        <v>2130.6</v>
      </c>
      <c r="H870" s="179"/>
    </row>
    <row r="871" spans="1:8" ht="31.5" x14ac:dyDescent="0.25">
      <c r="A871" s="45" t="s">
        <v>574</v>
      </c>
      <c r="B871" s="16">
        <v>908</v>
      </c>
      <c r="C871" s="20" t="s">
        <v>249</v>
      </c>
      <c r="D871" s="20" t="s">
        <v>230</v>
      </c>
      <c r="E871" s="20" t="s">
        <v>575</v>
      </c>
      <c r="F871" s="20"/>
      <c r="G871" s="26">
        <f>G872</f>
        <v>348.6</v>
      </c>
      <c r="H871" s="179"/>
    </row>
    <row r="872" spans="1:8" ht="31.5" x14ac:dyDescent="0.25">
      <c r="A872" s="25" t="s">
        <v>146</v>
      </c>
      <c r="B872" s="16">
        <v>908</v>
      </c>
      <c r="C872" s="20" t="s">
        <v>249</v>
      </c>
      <c r="D872" s="20" t="s">
        <v>230</v>
      </c>
      <c r="E872" s="20" t="s">
        <v>575</v>
      </c>
      <c r="F872" s="20" t="s">
        <v>147</v>
      </c>
      <c r="G872" s="26">
        <f>G873</f>
        <v>348.6</v>
      </c>
      <c r="H872" s="179"/>
    </row>
    <row r="873" spans="1:8" ht="47.25" x14ac:dyDescent="0.25">
      <c r="A873" s="25" t="s">
        <v>148</v>
      </c>
      <c r="B873" s="16">
        <v>908</v>
      </c>
      <c r="C873" s="20" t="s">
        <v>249</v>
      </c>
      <c r="D873" s="20" t="s">
        <v>230</v>
      </c>
      <c r="E873" s="20" t="s">
        <v>575</v>
      </c>
      <c r="F873" s="20" t="s">
        <v>149</v>
      </c>
      <c r="G873" s="26">
        <v>348.6</v>
      </c>
      <c r="H873" s="179"/>
    </row>
    <row r="874" spans="1:8" ht="63" x14ac:dyDescent="0.25">
      <c r="A874" s="25" t="s">
        <v>731</v>
      </c>
      <c r="B874" s="16">
        <v>908</v>
      </c>
      <c r="C874" s="20" t="s">
        <v>249</v>
      </c>
      <c r="D874" s="20" t="s">
        <v>230</v>
      </c>
      <c r="E874" s="20" t="s">
        <v>733</v>
      </c>
      <c r="F874" s="20"/>
      <c r="G874" s="26">
        <f>G875</f>
        <v>600</v>
      </c>
      <c r="H874" s="179"/>
    </row>
    <row r="875" spans="1:8" ht="31.5" x14ac:dyDescent="0.25">
      <c r="A875" s="81" t="s">
        <v>732</v>
      </c>
      <c r="B875" s="16">
        <v>908</v>
      </c>
      <c r="C875" s="20" t="s">
        <v>249</v>
      </c>
      <c r="D875" s="20" t="s">
        <v>230</v>
      </c>
      <c r="E875" s="20" t="s">
        <v>734</v>
      </c>
      <c r="F875" s="20"/>
      <c r="G875" s="26">
        <f>G876</f>
        <v>600</v>
      </c>
      <c r="H875" s="179"/>
    </row>
    <row r="876" spans="1:8" ht="31.5" x14ac:dyDescent="0.25">
      <c r="A876" s="25" t="s">
        <v>146</v>
      </c>
      <c r="B876" s="16">
        <v>908</v>
      </c>
      <c r="C876" s="20" t="s">
        <v>249</v>
      </c>
      <c r="D876" s="20" t="s">
        <v>230</v>
      </c>
      <c r="E876" s="20" t="s">
        <v>734</v>
      </c>
      <c r="F876" s="20" t="s">
        <v>147</v>
      </c>
      <c r="G876" s="26">
        <f>G877</f>
        <v>600</v>
      </c>
      <c r="H876" s="179"/>
    </row>
    <row r="877" spans="1:8" ht="47.25" x14ac:dyDescent="0.25">
      <c r="A877" s="25" t="s">
        <v>148</v>
      </c>
      <c r="B877" s="16">
        <v>908</v>
      </c>
      <c r="C877" s="20" t="s">
        <v>249</v>
      </c>
      <c r="D877" s="20" t="s">
        <v>230</v>
      </c>
      <c r="E877" s="20" t="s">
        <v>734</v>
      </c>
      <c r="F877" s="20" t="s">
        <v>149</v>
      </c>
      <c r="G877" s="26">
        <v>600</v>
      </c>
      <c r="H877" s="108"/>
    </row>
    <row r="878" spans="1:8" ht="15.75" x14ac:dyDescent="0.25">
      <c r="A878" s="25" t="s">
        <v>136</v>
      </c>
      <c r="B878" s="16">
        <v>908</v>
      </c>
      <c r="C878" s="20" t="s">
        <v>249</v>
      </c>
      <c r="D878" s="20" t="s">
        <v>230</v>
      </c>
      <c r="E878" s="20" t="s">
        <v>137</v>
      </c>
      <c r="F878" s="20"/>
      <c r="G878" s="26">
        <f>G879+G892</f>
        <v>12489.099999999999</v>
      </c>
      <c r="H878" s="179"/>
    </row>
    <row r="879" spans="1:8" ht="31.5" x14ac:dyDescent="0.25">
      <c r="A879" s="25" t="s">
        <v>200</v>
      </c>
      <c r="B879" s="16">
        <v>908</v>
      </c>
      <c r="C879" s="20" t="s">
        <v>249</v>
      </c>
      <c r="D879" s="20" t="s">
        <v>230</v>
      </c>
      <c r="E879" s="20" t="s">
        <v>201</v>
      </c>
      <c r="F879" s="20"/>
      <c r="G879" s="26">
        <f>G880+G883+G886+G889</f>
        <v>12033.199999999999</v>
      </c>
      <c r="H879" s="179"/>
    </row>
    <row r="880" spans="1:8" ht="31.5" x14ac:dyDescent="0.25">
      <c r="A880" s="25" t="s">
        <v>576</v>
      </c>
      <c r="B880" s="16">
        <v>908</v>
      </c>
      <c r="C880" s="20" t="s">
        <v>249</v>
      </c>
      <c r="D880" s="20" t="s">
        <v>230</v>
      </c>
      <c r="E880" s="20" t="s">
        <v>577</v>
      </c>
      <c r="F880" s="20"/>
      <c r="G880" s="26">
        <f>G881</f>
        <v>6302.4</v>
      </c>
      <c r="H880" s="179"/>
    </row>
    <row r="881" spans="1:9" ht="31.5" x14ac:dyDescent="0.25">
      <c r="A881" s="25" t="s">
        <v>146</v>
      </c>
      <c r="B881" s="16">
        <v>908</v>
      </c>
      <c r="C881" s="20" t="s">
        <v>249</v>
      </c>
      <c r="D881" s="20" t="s">
        <v>230</v>
      </c>
      <c r="E881" s="20" t="s">
        <v>577</v>
      </c>
      <c r="F881" s="20" t="s">
        <v>147</v>
      </c>
      <c r="G881" s="26">
        <f>G882</f>
        <v>6302.4</v>
      </c>
      <c r="H881" s="179"/>
    </row>
    <row r="882" spans="1:9" ht="47.25" x14ac:dyDescent="0.25">
      <c r="A882" s="25" t="s">
        <v>148</v>
      </c>
      <c r="B882" s="16">
        <v>908</v>
      </c>
      <c r="C882" s="20" t="s">
        <v>249</v>
      </c>
      <c r="D882" s="20" t="s">
        <v>230</v>
      </c>
      <c r="E882" s="20" t="s">
        <v>577</v>
      </c>
      <c r="F882" s="20" t="s">
        <v>149</v>
      </c>
      <c r="G882" s="26">
        <f>3907.3-814.9+3210</f>
        <v>6302.4</v>
      </c>
      <c r="H882" s="108"/>
      <c r="I882" s="117"/>
    </row>
    <row r="883" spans="1:9" ht="47.25" x14ac:dyDescent="0.25">
      <c r="A883" s="25" t="s">
        <v>706</v>
      </c>
      <c r="B883" s="16">
        <v>908</v>
      </c>
      <c r="C883" s="20" t="s">
        <v>249</v>
      </c>
      <c r="D883" s="20" t="s">
        <v>230</v>
      </c>
      <c r="E883" s="20" t="s">
        <v>707</v>
      </c>
      <c r="F883" s="20"/>
      <c r="G883" s="26">
        <f>G884</f>
        <v>2132</v>
      </c>
      <c r="H883" s="179"/>
    </row>
    <row r="884" spans="1:9" ht="31.5" x14ac:dyDescent="0.25">
      <c r="A884" s="25" t="s">
        <v>146</v>
      </c>
      <c r="B884" s="16">
        <v>908</v>
      </c>
      <c r="C884" s="20" t="s">
        <v>249</v>
      </c>
      <c r="D884" s="20" t="s">
        <v>230</v>
      </c>
      <c r="E884" s="20" t="s">
        <v>707</v>
      </c>
      <c r="F884" s="20" t="s">
        <v>147</v>
      </c>
      <c r="G884" s="26">
        <f>G885</f>
        <v>2132</v>
      </c>
      <c r="H884" s="179"/>
    </row>
    <row r="885" spans="1:9" ht="47.25" x14ac:dyDescent="0.25">
      <c r="A885" s="25" t="s">
        <v>148</v>
      </c>
      <c r="B885" s="16">
        <v>908</v>
      </c>
      <c r="C885" s="20" t="s">
        <v>249</v>
      </c>
      <c r="D885" s="20" t="s">
        <v>230</v>
      </c>
      <c r="E885" s="20" t="s">
        <v>707</v>
      </c>
      <c r="F885" s="20" t="s">
        <v>149</v>
      </c>
      <c r="G885" s="26">
        <v>2132</v>
      </c>
      <c r="H885" s="108"/>
    </row>
    <row r="886" spans="1:9" ht="47.25" x14ac:dyDescent="0.25">
      <c r="A886" s="25" t="s">
        <v>708</v>
      </c>
      <c r="B886" s="16">
        <v>908</v>
      </c>
      <c r="C886" s="20" t="s">
        <v>249</v>
      </c>
      <c r="D886" s="20" t="s">
        <v>230</v>
      </c>
      <c r="E886" s="20" t="s">
        <v>578</v>
      </c>
      <c r="F886" s="20"/>
      <c r="G886" s="26">
        <f>G887</f>
        <v>2000</v>
      </c>
      <c r="H886" s="179"/>
    </row>
    <row r="887" spans="1:9" ht="31.5" x14ac:dyDescent="0.25">
      <c r="A887" s="25" t="s">
        <v>146</v>
      </c>
      <c r="B887" s="16">
        <v>908</v>
      </c>
      <c r="C887" s="20" t="s">
        <v>249</v>
      </c>
      <c r="D887" s="20" t="s">
        <v>230</v>
      </c>
      <c r="E887" s="20" t="s">
        <v>578</v>
      </c>
      <c r="F887" s="20" t="s">
        <v>147</v>
      </c>
      <c r="G887" s="26">
        <f>G888</f>
        <v>2000</v>
      </c>
      <c r="H887" s="179"/>
    </row>
    <row r="888" spans="1:9" ht="47.25" x14ac:dyDescent="0.25">
      <c r="A888" s="25" t="s">
        <v>148</v>
      </c>
      <c r="B888" s="16">
        <v>908</v>
      </c>
      <c r="C888" s="20" t="s">
        <v>249</v>
      </c>
      <c r="D888" s="20" t="s">
        <v>230</v>
      </c>
      <c r="E888" s="20" t="s">
        <v>578</v>
      </c>
      <c r="F888" s="20" t="s">
        <v>149</v>
      </c>
      <c r="G888" s="26">
        <v>2000</v>
      </c>
      <c r="H888" s="108"/>
    </row>
    <row r="889" spans="1:9" ht="63" x14ac:dyDescent="0.25">
      <c r="A889" s="25" t="s">
        <v>709</v>
      </c>
      <c r="B889" s="16">
        <v>908</v>
      </c>
      <c r="C889" s="20" t="s">
        <v>249</v>
      </c>
      <c r="D889" s="20" t="s">
        <v>230</v>
      </c>
      <c r="E889" s="20" t="s">
        <v>710</v>
      </c>
      <c r="F889" s="20"/>
      <c r="G889" s="26">
        <f>G890</f>
        <v>1598.8</v>
      </c>
      <c r="H889" s="110"/>
    </row>
    <row r="890" spans="1:9" ht="31.5" x14ac:dyDescent="0.25">
      <c r="A890" s="25" t="s">
        <v>146</v>
      </c>
      <c r="B890" s="16">
        <v>908</v>
      </c>
      <c r="C890" s="20" t="s">
        <v>249</v>
      </c>
      <c r="D890" s="20" t="s">
        <v>230</v>
      </c>
      <c r="E890" s="20" t="s">
        <v>710</v>
      </c>
      <c r="F890" s="20" t="s">
        <v>147</v>
      </c>
      <c r="G890" s="26">
        <f>G891</f>
        <v>1598.8</v>
      </c>
      <c r="H890" s="110"/>
    </row>
    <row r="891" spans="1:9" ht="47.25" x14ac:dyDescent="0.25">
      <c r="A891" s="25" t="s">
        <v>148</v>
      </c>
      <c r="B891" s="16">
        <v>908</v>
      </c>
      <c r="C891" s="20" t="s">
        <v>249</v>
      </c>
      <c r="D891" s="20" t="s">
        <v>230</v>
      </c>
      <c r="E891" s="20" t="s">
        <v>710</v>
      </c>
      <c r="F891" s="20" t="s">
        <v>149</v>
      </c>
      <c r="G891" s="26">
        <v>1598.8</v>
      </c>
      <c r="H891" s="110"/>
    </row>
    <row r="892" spans="1:9" ht="15.75" x14ac:dyDescent="0.25">
      <c r="A892" s="25" t="s">
        <v>156</v>
      </c>
      <c r="B892" s="16">
        <v>908</v>
      </c>
      <c r="C892" s="20" t="s">
        <v>249</v>
      </c>
      <c r="D892" s="20" t="s">
        <v>230</v>
      </c>
      <c r="E892" s="20" t="s">
        <v>157</v>
      </c>
      <c r="F892" s="20"/>
      <c r="G892" s="26">
        <f>G893</f>
        <v>455.9</v>
      </c>
      <c r="H892" s="179"/>
    </row>
    <row r="893" spans="1:9" ht="15.75" x14ac:dyDescent="0.25">
      <c r="A893" s="25" t="s">
        <v>579</v>
      </c>
      <c r="B893" s="16">
        <v>908</v>
      </c>
      <c r="C893" s="20" t="s">
        <v>249</v>
      </c>
      <c r="D893" s="20" t="s">
        <v>230</v>
      </c>
      <c r="E893" s="20" t="s">
        <v>580</v>
      </c>
      <c r="F893" s="20"/>
      <c r="G893" s="26">
        <f>G894</f>
        <v>455.9</v>
      </c>
      <c r="H893" s="179"/>
    </row>
    <row r="894" spans="1:9" ht="31.5" x14ac:dyDescent="0.25">
      <c r="A894" s="25" t="s">
        <v>146</v>
      </c>
      <c r="B894" s="16">
        <v>908</v>
      </c>
      <c r="C894" s="20" t="s">
        <v>249</v>
      </c>
      <c r="D894" s="20" t="s">
        <v>230</v>
      </c>
      <c r="E894" s="20" t="s">
        <v>580</v>
      </c>
      <c r="F894" s="20" t="s">
        <v>147</v>
      </c>
      <c r="G894" s="26">
        <f>G895</f>
        <v>455.9</v>
      </c>
      <c r="H894" s="179"/>
    </row>
    <row r="895" spans="1:9" ht="47.25" x14ac:dyDescent="0.25">
      <c r="A895" s="25" t="s">
        <v>148</v>
      </c>
      <c r="B895" s="16">
        <v>908</v>
      </c>
      <c r="C895" s="20" t="s">
        <v>249</v>
      </c>
      <c r="D895" s="20" t="s">
        <v>230</v>
      </c>
      <c r="E895" s="20" t="s">
        <v>580</v>
      </c>
      <c r="F895" s="20" t="s">
        <v>149</v>
      </c>
      <c r="G895" s="27">
        <v>455.9</v>
      </c>
      <c r="H895" s="179"/>
    </row>
    <row r="896" spans="1:9" ht="15.75" hidden="1" x14ac:dyDescent="0.25">
      <c r="A896" s="25" t="s">
        <v>581</v>
      </c>
      <c r="B896" s="16">
        <v>908</v>
      </c>
      <c r="C896" s="20" t="s">
        <v>249</v>
      </c>
      <c r="D896" s="20" t="s">
        <v>230</v>
      </c>
      <c r="E896" s="20" t="s">
        <v>582</v>
      </c>
      <c r="F896" s="20"/>
      <c r="G896" s="27">
        <f>G897</f>
        <v>0</v>
      </c>
      <c r="H896" s="179"/>
    </row>
    <row r="897" spans="1:10" ht="15.75" hidden="1" x14ac:dyDescent="0.25">
      <c r="A897" s="25" t="s">
        <v>150</v>
      </c>
      <c r="B897" s="16">
        <v>908</v>
      </c>
      <c r="C897" s="20" t="s">
        <v>249</v>
      </c>
      <c r="D897" s="20" t="s">
        <v>230</v>
      </c>
      <c r="E897" s="20" t="s">
        <v>582</v>
      </c>
      <c r="F897" s="20" t="s">
        <v>160</v>
      </c>
      <c r="G897" s="27">
        <f>G898</f>
        <v>0</v>
      </c>
      <c r="H897" s="179"/>
    </row>
    <row r="898" spans="1:10" ht="15.75" hidden="1" x14ac:dyDescent="0.25">
      <c r="A898" s="25" t="s">
        <v>583</v>
      </c>
      <c r="B898" s="16">
        <v>908</v>
      </c>
      <c r="C898" s="20" t="s">
        <v>249</v>
      </c>
      <c r="D898" s="20" t="s">
        <v>230</v>
      </c>
      <c r="E898" s="20" t="s">
        <v>582</v>
      </c>
      <c r="F898" s="20" t="s">
        <v>153</v>
      </c>
      <c r="G898" s="27">
        <v>0</v>
      </c>
      <c r="H898" s="179"/>
    </row>
    <row r="899" spans="1:10" ht="31.5" x14ac:dyDescent="0.25">
      <c r="A899" s="23" t="s">
        <v>584</v>
      </c>
      <c r="B899" s="19">
        <v>908</v>
      </c>
      <c r="C899" s="24" t="s">
        <v>249</v>
      </c>
      <c r="D899" s="24" t="s">
        <v>249</v>
      </c>
      <c r="E899" s="24"/>
      <c r="F899" s="24"/>
      <c r="G899" s="21">
        <f>G900</f>
        <v>21124.69</v>
      </c>
      <c r="H899" s="179"/>
    </row>
    <row r="900" spans="1:10" ht="15.75" x14ac:dyDescent="0.25">
      <c r="A900" s="25" t="s">
        <v>136</v>
      </c>
      <c r="B900" s="16">
        <v>908</v>
      </c>
      <c r="C900" s="20" t="s">
        <v>249</v>
      </c>
      <c r="D900" s="20" t="s">
        <v>249</v>
      </c>
      <c r="E900" s="20" t="s">
        <v>137</v>
      </c>
      <c r="F900" s="20"/>
      <c r="G900" s="26">
        <f>G901+G909</f>
        <v>21124.69</v>
      </c>
      <c r="H900" s="179"/>
    </row>
    <row r="901" spans="1:10" ht="31.5" x14ac:dyDescent="0.25">
      <c r="A901" s="25" t="s">
        <v>138</v>
      </c>
      <c r="B901" s="16">
        <v>908</v>
      </c>
      <c r="C901" s="20" t="s">
        <v>249</v>
      </c>
      <c r="D901" s="20" t="s">
        <v>249</v>
      </c>
      <c r="E901" s="20" t="s">
        <v>139</v>
      </c>
      <c r="F901" s="20"/>
      <c r="G901" s="26">
        <f>G902</f>
        <v>13501.699999999999</v>
      </c>
      <c r="H901" s="179"/>
    </row>
    <row r="902" spans="1:10" ht="47.25" x14ac:dyDescent="0.25">
      <c r="A902" s="25" t="s">
        <v>140</v>
      </c>
      <c r="B902" s="16">
        <v>908</v>
      </c>
      <c r="C902" s="20" t="s">
        <v>249</v>
      </c>
      <c r="D902" s="20" t="s">
        <v>249</v>
      </c>
      <c r="E902" s="20" t="s">
        <v>141</v>
      </c>
      <c r="F902" s="20"/>
      <c r="G902" s="26">
        <f>G903+G907+G905</f>
        <v>13501.699999999999</v>
      </c>
      <c r="H902" s="179"/>
    </row>
    <row r="903" spans="1:10" ht="94.5" x14ac:dyDescent="0.25">
      <c r="A903" s="25" t="s">
        <v>142</v>
      </c>
      <c r="B903" s="16">
        <v>908</v>
      </c>
      <c r="C903" s="20" t="s">
        <v>249</v>
      </c>
      <c r="D903" s="20" t="s">
        <v>249</v>
      </c>
      <c r="E903" s="20" t="s">
        <v>141</v>
      </c>
      <c r="F903" s="20" t="s">
        <v>143</v>
      </c>
      <c r="G903" s="26">
        <f>G904</f>
        <v>13327.8</v>
      </c>
      <c r="H903" s="179"/>
    </row>
    <row r="904" spans="1:10" ht="31.5" x14ac:dyDescent="0.25">
      <c r="A904" s="25" t="s">
        <v>144</v>
      </c>
      <c r="B904" s="16">
        <v>908</v>
      </c>
      <c r="C904" s="20" t="s">
        <v>249</v>
      </c>
      <c r="D904" s="20" t="s">
        <v>249</v>
      </c>
      <c r="E904" s="20" t="s">
        <v>141</v>
      </c>
      <c r="F904" s="20" t="s">
        <v>145</v>
      </c>
      <c r="G904" s="168">
        <f>13259.3+28.4+100-59.9</f>
        <v>13327.8</v>
      </c>
      <c r="H904" s="108" t="s">
        <v>769</v>
      </c>
      <c r="I904" s="126"/>
      <c r="J904" s="173" t="s">
        <v>776</v>
      </c>
    </row>
    <row r="905" spans="1:10" ht="31.5" x14ac:dyDescent="0.25">
      <c r="A905" s="25" t="s">
        <v>146</v>
      </c>
      <c r="B905" s="16">
        <v>908</v>
      </c>
      <c r="C905" s="20" t="s">
        <v>249</v>
      </c>
      <c r="D905" s="20" t="s">
        <v>249</v>
      </c>
      <c r="E905" s="20" t="s">
        <v>141</v>
      </c>
      <c r="F905" s="20" t="s">
        <v>147</v>
      </c>
      <c r="G905" s="26">
        <f>G906</f>
        <v>25</v>
      </c>
      <c r="H905" s="179"/>
    </row>
    <row r="906" spans="1:10" ht="47.25" x14ac:dyDescent="0.25">
      <c r="A906" s="25" t="s">
        <v>148</v>
      </c>
      <c r="B906" s="16">
        <v>908</v>
      </c>
      <c r="C906" s="20" t="s">
        <v>249</v>
      </c>
      <c r="D906" s="20" t="s">
        <v>249</v>
      </c>
      <c r="E906" s="20" t="s">
        <v>141</v>
      </c>
      <c r="F906" s="20" t="s">
        <v>149</v>
      </c>
      <c r="G906" s="27">
        <v>25</v>
      </c>
      <c r="H906" s="108"/>
      <c r="I906" s="126"/>
    </row>
    <row r="907" spans="1:10" ht="15.75" x14ac:dyDescent="0.25">
      <c r="A907" s="25" t="s">
        <v>150</v>
      </c>
      <c r="B907" s="16">
        <v>908</v>
      </c>
      <c r="C907" s="20" t="s">
        <v>249</v>
      </c>
      <c r="D907" s="20" t="s">
        <v>249</v>
      </c>
      <c r="E907" s="20" t="s">
        <v>141</v>
      </c>
      <c r="F907" s="20" t="s">
        <v>160</v>
      </c>
      <c r="G907" s="26">
        <f>G908</f>
        <v>148.9</v>
      </c>
      <c r="H907" s="179"/>
    </row>
    <row r="908" spans="1:10" ht="15.75" x14ac:dyDescent="0.25">
      <c r="A908" s="25" t="s">
        <v>583</v>
      </c>
      <c r="B908" s="16">
        <v>908</v>
      </c>
      <c r="C908" s="20" t="s">
        <v>249</v>
      </c>
      <c r="D908" s="20" t="s">
        <v>249</v>
      </c>
      <c r="E908" s="20" t="s">
        <v>141</v>
      </c>
      <c r="F908" s="20" t="s">
        <v>153</v>
      </c>
      <c r="G908" s="164">
        <f>89+59.9</f>
        <v>148.9</v>
      </c>
      <c r="H908" s="159" t="s">
        <v>768</v>
      </c>
    </row>
    <row r="909" spans="1:10" ht="15.75" x14ac:dyDescent="0.25">
      <c r="A909" s="25" t="s">
        <v>156</v>
      </c>
      <c r="B909" s="16">
        <v>908</v>
      </c>
      <c r="C909" s="20" t="s">
        <v>249</v>
      </c>
      <c r="D909" s="20" t="s">
        <v>249</v>
      </c>
      <c r="E909" s="20" t="s">
        <v>157</v>
      </c>
      <c r="F909" s="20"/>
      <c r="G909" s="26">
        <f>G913+G910</f>
        <v>7622.99</v>
      </c>
      <c r="H909" s="179"/>
    </row>
    <row r="910" spans="1:10" ht="31.5" x14ac:dyDescent="0.25">
      <c r="A910" s="25" t="s">
        <v>585</v>
      </c>
      <c r="B910" s="16">
        <v>908</v>
      </c>
      <c r="C910" s="20" t="s">
        <v>249</v>
      </c>
      <c r="D910" s="20" t="s">
        <v>249</v>
      </c>
      <c r="E910" s="20" t="s">
        <v>586</v>
      </c>
      <c r="F910" s="20"/>
      <c r="G910" s="27">
        <f>G911</f>
        <v>1461</v>
      </c>
      <c r="H910" s="179"/>
    </row>
    <row r="911" spans="1:10" ht="15.75" x14ac:dyDescent="0.25">
      <c r="A911" s="25" t="s">
        <v>150</v>
      </c>
      <c r="B911" s="16">
        <v>908</v>
      </c>
      <c r="C911" s="20" t="s">
        <v>249</v>
      </c>
      <c r="D911" s="20" t="s">
        <v>249</v>
      </c>
      <c r="E911" s="20" t="s">
        <v>586</v>
      </c>
      <c r="F911" s="20" t="s">
        <v>160</v>
      </c>
      <c r="G911" s="27">
        <f>G912</f>
        <v>1461</v>
      </c>
      <c r="H911" s="179"/>
    </row>
    <row r="912" spans="1:10" ht="63" x14ac:dyDescent="0.25">
      <c r="A912" s="25" t="s">
        <v>199</v>
      </c>
      <c r="B912" s="16">
        <v>908</v>
      </c>
      <c r="C912" s="20" t="s">
        <v>249</v>
      </c>
      <c r="D912" s="20" t="s">
        <v>249</v>
      </c>
      <c r="E912" s="20" t="s">
        <v>586</v>
      </c>
      <c r="F912" s="20" t="s">
        <v>175</v>
      </c>
      <c r="G912" s="27">
        <v>1461</v>
      </c>
      <c r="H912" s="179"/>
    </row>
    <row r="913" spans="1:10" ht="31.5" x14ac:dyDescent="0.25">
      <c r="A913" s="25" t="s">
        <v>355</v>
      </c>
      <c r="B913" s="16">
        <v>908</v>
      </c>
      <c r="C913" s="20" t="s">
        <v>249</v>
      </c>
      <c r="D913" s="20" t="s">
        <v>249</v>
      </c>
      <c r="E913" s="20" t="s">
        <v>356</v>
      </c>
      <c r="F913" s="20"/>
      <c r="G913" s="26">
        <f>G914+G916</f>
        <v>6161.99</v>
      </c>
      <c r="H913" s="179"/>
    </row>
    <row r="914" spans="1:10" ht="94.5" x14ac:dyDescent="0.25">
      <c r="A914" s="25" t="s">
        <v>142</v>
      </c>
      <c r="B914" s="16">
        <v>908</v>
      </c>
      <c r="C914" s="20" t="s">
        <v>249</v>
      </c>
      <c r="D914" s="20" t="s">
        <v>249</v>
      </c>
      <c r="E914" s="20" t="s">
        <v>356</v>
      </c>
      <c r="F914" s="20" t="s">
        <v>143</v>
      </c>
      <c r="G914" s="26">
        <f>G915</f>
        <v>4505.49</v>
      </c>
      <c r="H914" s="179"/>
    </row>
    <row r="915" spans="1:10" ht="31.5" x14ac:dyDescent="0.25">
      <c r="A915" s="25" t="s">
        <v>357</v>
      </c>
      <c r="B915" s="16">
        <v>908</v>
      </c>
      <c r="C915" s="20" t="s">
        <v>249</v>
      </c>
      <c r="D915" s="20" t="s">
        <v>249</v>
      </c>
      <c r="E915" s="20" t="s">
        <v>356</v>
      </c>
      <c r="F915" s="20" t="s">
        <v>224</v>
      </c>
      <c r="G915" s="158">
        <f>6196.89-1411.4-100-180</f>
        <v>4505.49</v>
      </c>
      <c r="H915" s="108" t="s">
        <v>782</v>
      </c>
      <c r="I915" s="126"/>
      <c r="J915" s="172" t="s">
        <v>781</v>
      </c>
    </row>
    <row r="916" spans="1:10" ht="31.5" x14ac:dyDescent="0.25">
      <c r="A916" s="25" t="s">
        <v>146</v>
      </c>
      <c r="B916" s="16">
        <v>908</v>
      </c>
      <c r="C916" s="20" t="s">
        <v>249</v>
      </c>
      <c r="D916" s="20" t="s">
        <v>249</v>
      </c>
      <c r="E916" s="20" t="s">
        <v>356</v>
      </c>
      <c r="F916" s="20" t="s">
        <v>147</v>
      </c>
      <c r="G916" s="26">
        <f>G917</f>
        <v>1656.5</v>
      </c>
      <c r="H916" s="179"/>
    </row>
    <row r="917" spans="1:10" ht="47.25" x14ac:dyDescent="0.25">
      <c r="A917" s="25" t="s">
        <v>148</v>
      </c>
      <c r="B917" s="16">
        <v>908</v>
      </c>
      <c r="C917" s="20" t="s">
        <v>249</v>
      </c>
      <c r="D917" s="20" t="s">
        <v>249</v>
      </c>
      <c r="E917" s="20" t="s">
        <v>356</v>
      </c>
      <c r="F917" s="20" t="s">
        <v>149</v>
      </c>
      <c r="G917" s="158">
        <f>1341.9+928.5-198.8-595.1+180</f>
        <v>1656.5</v>
      </c>
      <c r="H917" s="108" t="s">
        <v>783</v>
      </c>
      <c r="I917" s="127"/>
      <c r="J917" s="172"/>
    </row>
    <row r="918" spans="1:10" ht="15.75" x14ac:dyDescent="0.25">
      <c r="A918" s="23" t="s">
        <v>258</v>
      </c>
      <c r="B918" s="19">
        <v>908</v>
      </c>
      <c r="C918" s="24" t="s">
        <v>259</v>
      </c>
      <c r="D918" s="24"/>
      <c r="E918" s="24"/>
      <c r="F918" s="24"/>
      <c r="G918" s="21">
        <f t="shared" ref="G918:G923" si="5">G919</f>
        <v>87.1</v>
      </c>
      <c r="H918" s="179"/>
    </row>
    <row r="919" spans="1:10" ht="31.5" x14ac:dyDescent="0.25">
      <c r="A919" s="23" t="s">
        <v>273</v>
      </c>
      <c r="B919" s="19">
        <v>908</v>
      </c>
      <c r="C919" s="24" t="s">
        <v>259</v>
      </c>
      <c r="D919" s="24" t="s">
        <v>135</v>
      </c>
      <c r="E919" s="24"/>
      <c r="F919" s="24"/>
      <c r="G919" s="21">
        <f t="shared" si="5"/>
        <v>87.1</v>
      </c>
      <c r="H919" s="179"/>
    </row>
    <row r="920" spans="1:10" ht="15.75" x14ac:dyDescent="0.25">
      <c r="A920" s="25" t="s">
        <v>136</v>
      </c>
      <c r="B920" s="16">
        <v>908</v>
      </c>
      <c r="C920" s="20" t="s">
        <v>259</v>
      </c>
      <c r="D920" s="20" t="s">
        <v>135</v>
      </c>
      <c r="E920" s="20" t="s">
        <v>137</v>
      </c>
      <c r="F920" s="20"/>
      <c r="G920" s="21">
        <f t="shared" si="5"/>
        <v>87.1</v>
      </c>
      <c r="H920" s="179"/>
    </row>
    <row r="921" spans="1:10" ht="15.75" x14ac:dyDescent="0.25">
      <c r="A921" s="25" t="s">
        <v>156</v>
      </c>
      <c r="B921" s="16">
        <v>908</v>
      </c>
      <c r="C921" s="20" t="s">
        <v>259</v>
      </c>
      <c r="D921" s="20" t="s">
        <v>135</v>
      </c>
      <c r="E921" s="20" t="s">
        <v>157</v>
      </c>
      <c r="F921" s="20"/>
      <c r="G921" s="26">
        <f t="shared" si="5"/>
        <v>87.1</v>
      </c>
      <c r="H921" s="179"/>
    </row>
    <row r="922" spans="1:10" ht="15.75" x14ac:dyDescent="0.25">
      <c r="A922" s="25" t="s">
        <v>587</v>
      </c>
      <c r="B922" s="16">
        <v>908</v>
      </c>
      <c r="C922" s="20" t="s">
        <v>259</v>
      </c>
      <c r="D922" s="20" t="s">
        <v>135</v>
      </c>
      <c r="E922" s="20" t="s">
        <v>588</v>
      </c>
      <c r="F922" s="20"/>
      <c r="G922" s="26">
        <f t="shared" si="5"/>
        <v>87.1</v>
      </c>
      <c r="H922" s="179"/>
    </row>
    <row r="923" spans="1:10" ht="15.75" x14ac:dyDescent="0.25">
      <c r="A923" s="25" t="s">
        <v>150</v>
      </c>
      <c r="B923" s="16">
        <v>908</v>
      </c>
      <c r="C923" s="20" t="s">
        <v>259</v>
      </c>
      <c r="D923" s="20" t="s">
        <v>135</v>
      </c>
      <c r="E923" s="20" t="s">
        <v>588</v>
      </c>
      <c r="F923" s="20" t="s">
        <v>160</v>
      </c>
      <c r="G923" s="26">
        <f t="shared" si="5"/>
        <v>87.1</v>
      </c>
      <c r="H923" s="179"/>
    </row>
    <row r="924" spans="1:10" ht="63" x14ac:dyDescent="0.25">
      <c r="A924" s="25" t="s">
        <v>199</v>
      </c>
      <c r="B924" s="16">
        <v>908</v>
      </c>
      <c r="C924" s="20" t="s">
        <v>259</v>
      </c>
      <c r="D924" s="20" t="s">
        <v>135</v>
      </c>
      <c r="E924" s="20" t="s">
        <v>588</v>
      </c>
      <c r="F924" s="20" t="s">
        <v>175</v>
      </c>
      <c r="G924" s="26">
        <v>87.1</v>
      </c>
      <c r="H924" s="179"/>
    </row>
    <row r="925" spans="1:10" ht="31.5" x14ac:dyDescent="0.25">
      <c r="A925" s="19" t="s">
        <v>589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9"/>
    </row>
    <row r="926" spans="1:10" ht="15.75" x14ac:dyDescent="0.25">
      <c r="A926" s="23" t="s">
        <v>132</v>
      </c>
      <c r="B926" s="19">
        <v>910</v>
      </c>
      <c r="C926" s="24" t="s">
        <v>133</v>
      </c>
      <c r="D926" s="24"/>
      <c r="E926" s="24"/>
      <c r="F926" s="24"/>
      <c r="G926" s="21">
        <f>G927+G935+G945+G953</f>
        <v>7042.5</v>
      </c>
      <c r="H926" s="179"/>
    </row>
    <row r="927" spans="1:10" ht="47.25" x14ac:dyDescent="0.25">
      <c r="A927" s="23" t="s">
        <v>590</v>
      </c>
      <c r="B927" s="19">
        <v>910</v>
      </c>
      <c r="C927" s="24" t="s">
        <v>133</v>
      </c>
      <c r="D927" s="24" t="s">
        <v>228</v>
      </c>
      <c r="E927" s="24"/>
      <c r="F927" s="24"/>
      <c r="G927" s="21">
        <f>G928</f>
        <v>4188.8</v>
      </c>
      <c r="H927" s="179"/>
    </row>
    <row r="928" spans="1:10" ht="15.75" x14ac:dyDescent="0.25">
      <c r="A928" s="25" t="s">
        <v>136</v>
      </c>
      <c r="B928" s="16">
        <v>910</v>
      </c>
      <c r="C928" s="20" t="s">
        <v>133</v>
      </c>
      <c r="D928" s="20" t="s">
        <v>228</v>
      </c>
      <c r="E928" s="20" t="s">
        <v>137</v>
      </c>
      <c r="F928" s="20"/>
      <c r="G928" s="26">
        <f>G929</f>
        <v>4188.8</v>
      </c>
      <c r="H928" s="179"/>
    </row>
    <row r="929" spans="1:10" ht="31.5" x14ac:dyDescent="0.25">
      <c r="A929" s="25" t="s">
        <v>138</v>
      </c>
      <c r="B929" s="16">
        <v>910</v>
      </c>
      <c r="C929" s="20" t="s">
        <v>133</v>
      </c>
      <c r="D929" s="20" t="s">
        <v>228</v>
      </c>
      <c r="E929" s="20" t="s">
        <v>139</v>
      </c>
      <c r="F929" s="20"/>
      <c r="G929" s="26">
        <f>G930</f>
        <v>4188.8</v>
      </c>
      <c r="H929" s="179"/>
    </row>
    <row r="930" spans="1:10" ht="47.25" x14ac:dyDescent="0.25">
      <c r="A930" s="25" t="s">
        <v>591</v>
      </c>
      <c r="B930" s="16">
        <v>910</v>
      </c>
      <c r="C930" s="20" t="s">
        <v>133</v>
      </c>
      <c r="D930" s="20" t="s">
        <v>228</v>
      </c>
      <c r="E930" s="20" t="s">
        <v>592</v>
      </c>
      <c r="F930" s="20"/>
      <c r="G930" s="26">
        <f>G931+G933</f>
        <v>4188.8</v>
      </c>
      <c r="H930" s="179"/>
    </row>
    <row r="931" spans="1:10" ht="94.5" x14ac:dyDescent="0.25">
      <c r="A931" s="25" t="s">
        <v>142</v>
      </c>
      <c r="B931" s="16">
        <v>910</v>
      </c>
      <c r="C931" s="20" t="s">
        <v>133</v>
      </c>
      <c r="D931" s="20" t="s">
        <v>228</v>
      </c>
      <c r="E931" s="20" t="s">
        <v>592</v>
      </c>
      <c r="F931" s="20" t="s">
        <v>143</v>
      </c>
      <c r="G931" s="26">
        <f>G932+G933</f>
        <v>4188.8</v>
      </c>
      <c r="H931" s="179"/>
    </row>
    <row r="932" spans="1:10" ht="31.5" x14ac:dyDescent="0.25">
      <c r="A932" s="25" t="s">
        <v>144</v>
      </c>
      <c r="B932" s="16">
        <v>910</v>
      </c>
      <c r="C932" s="20" t="s">
        <v>133</v>
      </c>
      <c r="D932" s="20" t="s">
        <v>228</v>
      </c>
      <c r="E932" s="20" t="s">
        <v>592</v>
      </c>
      <c r="F932" s="20" t="s">
        <v>145</v>
      </c>
      <c r="G932" s="27">
        <v>4188.8</v>
      </c>
      <c r="H932" s="179"/>
      <c r="J932" s="172" t="s">
        <v>777</v>
      </c>
    </row>
    <row r="933" spans="1:10" ht="47.25" hidden="1" x14ac:dyDescent="0.25">
      <c r="A933" s="25" t="s">
        <v>213</v>
      </c>
      <c r="B933" s="16">
        <v>910</v>
      </c>
      <c r="C933" s="20" t="s">
        <v>133</v>
      </c>
      <c r="D933" s="20" t="s">
        <v>228</v>
      </c>
      <c r="E933" s="20" t="s">
        <v>592</v>
      </c>
      <c r="F933" s="20" t="s">
        <v>147</v>
      </c>
      <c r="G933" s="26">
        <f>G934</f>
        <v>0</v>
      </c>
      <c r="H933" s="179"/>
    </row>
    <row r="934" spans="1:10" ht="47.25" hidden="1" x14ac:dyDescent="0.25">
      <c r="A934" s="25" t="s">
        <v>148</v>
      </c>
      <c r="B934" s="16">
        <v>910</v>
      </c>
      <c r="C934" s="20" t="s">
        <v>133</v>
      </c>
      <c r="D934" s="20" t="s">
        <v>228</v>
      </c>
      <c r="E934" s="20" t="s">
        <v>592</v>
      </c>
      <c r="F934" s="20" t="s">
        <v>149</v>
      </c>
      <c r="G934" s="26"/>
      <c r="H934" s="179"/>
    </row>
    <row r="935" spans="1:10" ht="78.75" x14ac:dyDescent="0.25">
      <c r="A935" s="23" t="s">
        <v>593</v>
      </c>
      <c r="B935" s="19">
        <v>910</v>
      </c>
      <c r="C935" s="24" t="s">
        <v>133</v>
      </c>
      <c r="D935" s="24" t="s">
        <v>230</v>
      </c>
      <c r="E935" s="24"/>
      <c r="F935" s="24"/>
      <c r="G935" s="21">
        <f>G936</f>
        <v>1138.7</v>
      </c>
      <c r="H935" s="179"/>
    </row>
    <row r="936" spans="1:10" ht="15.75" x14ac:dyDescent="0.25">
      <c r="A936" s="25" t="s">
        <v>136</v>
      </c>
      <c r="B936" s="16">
        <v>910</v>
      </c>
      <c r="C936" s="20" t="s">
        <v>133</v>
      </c>
      <c r="D936" s="20" t="s">
        <v>230</v>
      </c>
      <c r="E936" s="20" t="s">
        <v>137</v>
      </c>
      <c r="F936" s="24"/>
      <c r="G936" s="26">
        <f>G937</f>
        <v>1138.7</v>
      </c>
      <c r="H936" s="179"/>
    </row>
    <row r="937" spans="1:10" ht="31.5" x14ac:dyDescent="0.25">
      <c r="A937" s="25" t="s">
        <v>138</v>
      </c>
      <c r="B937" s="16">
        <v>910</v>
      </c>
      <c r="C937" s="20" t="s">
        <v>133</v>
      </c>
      <c r="D937" s="20" t="s">
        <v>230</v>
      </c>
      <c r="E937" s="20" t="s">
        <v>139</v>
      </c>
      <c r="F937" s="24"/>
      <c r="G937" s="26">
        <f>G938</f>
        <v>1138.7</v>
      </c>
      <c r="H937" s="179"/>
    </row>
    <row r="938" spans="1:10" ht="47.25" x14ac:dyDescent="0.25">
      <c r="A938" s="25" t="s">
        <v>594</v>
      </c>
      <c r="B938" s="16">
        <v>910</v>
      </c>
      <c r="C938" s="20" t="s">
        <v>133</v>
      </c>
      <c r="D938" s="20" t="s">
        <v>230</v>
      </c>
      <c r="E938" s="20" t="s">
        <v>595</v>
      </c>
      <c r="F938" s="20"/>
      <c r="G938" s="26">
        <f>G939+G941+G943</f>
        <v>1138.7</v>
      </c>
      <c r="H938" s="179"/>
    </row>
    <row r="939" spans="1:10" ht="94.5" x14ac:dyDescent="0.25">
      <c r="A939" s="25" t="s">
        <v>142</v>
      </c>
      <c r="B939" s="16">
        <v>910</v>
      </c>
      <c r="C939" s="20" t="s">
        <v>133</v>
      </c>
      <c r="D939" s="20" t="s">
        <v>230</v>
      </c>
      <c r="E939" s="20" t="s">
        <v>595</v>
      </c>
      <c r="F939" s="20" t="s">
        <v>143</v>
      </c>
      <c r="G939" s="26">
        <f>G940</f>
        <v>1003.7</v>
      </c>
      <c r="H939" s="179"/>
    </row>
    <row r="940" spans="1:10" ht="31.5" x14ac:dyDescent="0.25">
      <c r="A940" s="25" t="s">
        <v>144</v>
      </c>
      <c r="B940" s="16">
        <v>910</v>
      </c>
      <c r="C940" s="20" t="s">
        <v>133</v>
      </c>
      <c r="D940" s="20" t="s">
        <v>230</v>
      </c>
      <c r="E940" s="20" t="s">
        <v>595</v>
      </c>
      <c r="F940" s="20" t="s">
        <v>145</v>
      </c>
      <c r="G940" s="26">
        <v>1003.7</v>
      </c>
      <c r="H940" s="179"/>
    </row>
    <row r="941" spans="1:10" ht="47.25" x14ac:dyDescent="0.25">
      <c r="A941" s="25" t="s">
        <v>213</v>
      </c>
      <c r="B941" s="16">
        <v>910</v>
      </c>
      <c r="C941" s="20" t="s">
        <v>133</v>
      </c>
      <c r="D941" s="20" t="s">
        <v>230</v>
      </c>
      <c r="E941" s="20" t="s">
        <v>595</v>
      </c>
      <c r="F941" s="20" t="s">
        <v>147</v>
      </c>
      <c r="G941" s="26">
        <f>G942</f>
        <v>135</v>
      </c>
      <c r="H941" s="179"/>
    </row>
    <row r="942" spans="1:10" ht="47.25" x14ac:dyDescent="0.25">
      <c r="A942" s="25" t="s">
        <v>148</v>
      </c>
      <c r="B942" s="16">
        <v>910</v>
      </c>
      <c r="C942" s="20" t="s">
        <v>133</v>
      </c>
      <c r="D942" s="20" t="s">
        <v>230</v>
      </c>
      <c r="E942" s="20" t="s">
        <v>595</v>
      </c>
      <c r="F942" s="20" t="s">
        <v>149</v>
      </c>
      <c r="G942" s="26">
        <v>135</v>
      </c>
      <c r="H942" s="179"/>
    </row>
    <row r="943" spans="1:10" ht="15.75" hidden="1" x14ac:dyDescent="0.25">
      <c r="A943" s="25" t="s">
        <v>150</v>
      </c>
      <c r="B943" s="16">
        <v>910</v>
      </c>
      <c r="C943" s="20" t="s">
        <v>133</v>
      </c>
      <c r="D943" s="20" t="s">
        <v>230</v>
      </c>
      <c r="E943" s="20" t="s">
        <v>595</v>
      </c>
      <c r="F943" s="20" t="s">
        <v>160</v>
      </c>
      <c r="G943" s="26">
        <f>G944</f>
        <v>0</v>
      </c>
      <c r="H943" s="179"/>
    </row>
    <row r="944" spans="1:10" ht="15.75" hidden="1" x14ac:dyDescent="0.25">
      <c r="A944" s="25" t="s">
        <v>583</v>
      </c>
      <c r="B944" s="16">
        <v>910</v>
      </c>
      <c r="C944" s="20" t="s">
        <v>133</v>
      </c>
      <c r="D944" s="20" t="s">
        <v>230</v>
      </c>
      <c r="E944" s="20" t="s">
        <v>595</v>
      </c>
      <c r="F944" s="20" t="s">
        <v>153</v>
      </c>
      <c r="G944" s="26">
        <v>0</v>
      </c>
      <c r="H944" s="179"/>
    </row>
    <row r="945" spans="1:10" ht="63" x14ac:dyDescent="0.25">
      <c r="A945" s="23" t="s">
        <v>134</v>
      </c>
      <c r="B945" s="19">
        <v>910</v>
      </c>
      <c r="C945" s="24" t="s">
        <v>133</v>
      </c>
      <c r="D945" s="24" t="s">
        <v>135</v>
      </c>
      <c r="E945" s="24"/>
      <c r="F945" s="24"/>
      <c r="G945" s="21">
        <f>G946</f>
        <v>1682.5</v>
      </c>
      <c r="H945" s="179"/>
    </row>
    <row r="946" spans="1:10" s="114" customFormat="1" ht="15.75" x14ac:dyDescent="0.25">
      <c r="A946" s="25" t="s">
        <v>136</v>
      </c>
      <c r="B946" s="16">
        <v>910</v>
      </c>
      <c r="C946" s="20" t="s">
        <v>133</v>
      </c>
      <c r="D946" s="20" t="s">
        <v>135</v>
      </c>
      <c r="E946" s="20" t="s">
        <v>137</v>
      </c>
      <c r="F946" s="20"/>
      <c r="G946" s="26">
        <f>G947</f>
        <v>1682.5</v>
      </c>
      <c r="H946" s="179"/>
      <c r="I946" s="130"/>
    </row>
    <row r="947" spans="1:10" s="114" customFormat="1" ht="31.5" x14ac:dyDescent="0.25">
      <c r="A947" s="25" t="s">
        <v>138</v>
      </c>
      <c r="B947" s="16">
        <v>910</v>
      </c>
      <c r="C947" s="20" t="s">
        <v>133</v>
      </c>
      <c r="D947" s="20" t="s">
        <v>135</v>
      </c>
      <c r="E947" s="20" t="s">
        <v>139</v>
      </c>
      <c r="F947" s="20"/>
      <c r="G947" s="26">
        <f>G948</f>
        <v>1682.5</v>
      </c>
      <c r="H947" s="179"/>
      <c r="I947" s="130"/>
    </row>
    <row r="948" spans="1:10" s="114" customFormat="1" ht="47.25" x14ac:dyDescent="0.25">
      <c r="A948" s="25" t="s">
        <v>140</v>
      </c>
      <c r="B948" s="16">
        <v>910</v>
      </c>
      <c r="C948" s="20" t="s">
        <v>133</v>
      </c>
      <c r="D948" s="20" t="s">
        <v>135</v>
      </c>
      <c r="E948" s="20" t="s">
        <v>141</v>
      </c>
      <c r="F948" s="20"/>
      <c r="G948" s="26">
        <f>G949+G951</f>
        <v>1682.5</v>
      </c>
      <c r="H948" s="179"/>
      <c r="I948" s="130"/>
    </row>
    <row r="949" spans="1:10" ht="94.5" x14ac:dyDescent="0.25">
      <c r="A949" s="25" t="s">
        <v>142</v>
      </c>
      <c r="B949" s="16">
        <v>910</v>
      </c>
      <c r="C949" s="20" t="s">
        <v>133</v>
      </c>
      <c r="D949" s="20" t="s">
        <v>135</v>
      </c>
      <c r="E949" s="20" t="s">
        <v>141</v>
      </c>
      <c r="F949" s="20" t="s">
        <v>143</v>
      </c>
      <c r="G949" s="26">
        <f>G950</f>
        <v>1664.2</v>
      </c>
      <c r="H949" s="179"/>
    </row>
    <row r="950" spans="1:10" ht="31.5" x14ac:dyDescent="0.25">
      <c r="A950" s="25" t="s">
        <v>144</v>
      </c>
      <c r="B950" s="16">
        <v>910</v>
      </c>
      <c r="C950" s="20" t="s">
        <v>133</v>
      </c>
      <c r="D950" s="20" t="s">
        <v>135</v>
      </c>
      <c r="E950" s="20" t="s">
        <v>141</v>
      </c>
      <c r="F950" s="20" t="s">
        <v>145</v>
      </c>
      <c r="G950" s="26">
        <v>1664.2</v>
      </c>
      <c r="H950" s="179"/>
      <c r="J950" s="175" t="s">
        <v>778</v>
      </c>
    </row>
    <row r="951" spans="1:10" ht="47.25" x14ac:dyDescent="0.25">
      <c r="A951" s="25" t="s">
        <v>213</v>
      </c>
      <c r="B951" s="16">
        <v>910</v>
      </c>
      <c r="C951" s="20" t="s">
        <v>133</v>
      </c>
      <c r="D951" s="20" t="s">
        <v>135</v>
      </c>
      <c r="E951" s="20" t="s">
        <v>141</v>
      </c>
      <c r="F951" s="20" t="s">
        <v>147</v>
      </c>
      <c r="G951" s="26">
        <f>G952</f>
        <v>18.3</v>
      </c>
      <c r="H951" s="179"/>
    </row>
    <row r="952" spans="1:10" ht="47.25" x14ac:dyDescent="0.25">
      <c r="A952" s="25" t="s">
        <v>148</v>
      </c>
      <c r="B952" s="16">
        <v>910</v>
      </c>
      <c r="C952" s="20" t="s">
        <v>133</v>
      </c>
      <c r="D952" s="20" t="s">
        <v>135</v>
      </c>
      <c r="E952" s="20" t="s">
        <v>141</v>
      </c>
      <c r="F952" s="20" t="s">
        <v>149</v>
      </c>
      <c r="G952" s="26">
        <v>18.3</v>
      </c>
      <c r="H952" s="179"/>
    </row>
    <row r="953" spans="1:10" ht="15.75" x14ac:dyDescent="0.25">
      <c r="A953" s="23" t="s">
        <v>154</v>
      </c>
      <c r="B953" s="19">
        <v>910</v>
      </c>
      <c r="C953" s="24" t="s">
        <v>133</v>
      </c>
      <c r="D953" s="24" t="s">
        <v>155</v>
      </c>
      <c r="E953" s="112"/>
      <c r="F953" s="20"/>
      <c r="G953" s="21">
        <f>G954+G958</f>
        <v>32.5</v>
      </c>
      <c r="H953" s="179"/>
    </row>
    <row r="954" spans="1:10" ht="47.25" x14ac:dyDescent="0.25">
      <c r="A954" s="25" t="s">
        <v>176</v>
      </c>
      <c r="B954" s="16">
        <v>910</v>
      </c>
      <c r="C954" s="20" t="s">
        <v>133</v>
      </c>
      <c r="D954" s="20" t="s">
        <v>155</v>
      </c>
      <c r="E954" s="20" t="s">
        <v>177</v>
      </c>
      <c r="F954" s="20"/>
      <c r="G954" s="26">
        <f>G955</f>
        <v>0.5</v>
      </c>
      <c r="H954" s="179"/>
    </row>
    <row r="955" spans="1:10" ht="63" x14ac:dyDescent="0.25">
      <c r="A955" s="31" t="s">
        <v>711</v>
      </c>
      <c r="B955" s="16">
        <v>910</v>
      </c>
      <c r="C955" s="20" t="s">
        <v>133</v>
      </c>
      <c r="D955" s="20" t="s">
        <v>155</v>
      </c>
      <c r="E955" s="40" t="s">
        <v>712</v>
      </c>
      <c r="F955" s="20"/>
      <c r="G955" s="26">
        <f>G956</f>
        <v>0.5</v>
      </c>
      <c r="H955" s="179"/>
    </row>
    <row r="956" spans="1:10" ht="31.5" x14ac:dyDescent="0.25">
      <c r="A956" s="25" t="s">
        <v>146</v>
      </c>
      <c r="B956" s="16">
        <v>910</v>
      </c>
      <c r="C956" s="20" t="s">
        <v>133</v>
      </c>
      <c r="D956" s="20" t="s">
        <v>155</v>
      </c>
      <c r="E956" s="40" t="s">
        <v>712</v>
      </c>
      <c r="F956" s="20" t="s">
        <v>147</v>
      </c>
      <c r="G956" s="26">
        <f>G957</f>
        <v>0.5</v>
      </c>
      <c r="H956" s="179"/>
    </row>
    <row r="957" spans="1:10" ht="47.25" x14ac:dyDescent="0.25">
      <c r="A957" s="25" t="s">
        <v>148</v>
      </c>
      <c r="B957" s="16">
        <v>910</v>
      </c>
      <c r="C957" s="20" t="s">
        <v>133</v>
      </c>
      <c r="D957" s="20" t="s">
        <v>155</v>
      </c>
      <c r="E957" s="40" t="s">
        <v>712</v>
      </c>
      <c r="F957" s="20" t="s">
        <v>149</v>
      </c>
      <c r="G957" s="26">
        <v>0.5</v>
      </c>
      <c r="H957" s="179"/>
    </row>
    <row r="958" spans="1:10" ht="15.75" x14ac:dyDescent="0.25">
      <c r="A958" s="31" t="s">
        <v>136</v>
      </c>
      <c r="B958" s="16">
        <v>910</v>
      </c>
      <c r="C958" s="20" t="s">
        <v>133</v>
      </c>
      <c r="D958" s="20" t="s">
        <v>155</v>
      </c>
      <c r="E958" s="20" t="s">
        <v>137</v>
      </c>
      <c r="F958" s="20"/>
      <c r="G958" s="26">
        <f>G959</f>
        <v>32</v>
      </c>
      <c r="H958" s="179"/>
    </row>
    <row r="959" spans="1:10" ht="31.5" x14ac:dyDescent="0.25">
      <c r="A959" s="31" t="s">
        <v>200</v>
      </c>
      <c r="B959" s="16">
        <v>910</v>
      </c>
      <c r="C959" s="20" t="s">
        <v>133</v>
      </c>
      <c r="D959" s="20" t="s">
        <v>155</v>
      </c>
      <c r="E959" s="20" t="s">
        <v>201</v>
      </c>
      <c r="F959" s="20"/>
      <c r="G959" s="26">
        <f>G960</f>
        <v>32</v>
      </c>
      <c r="H959" s="179"/>
    </row>
    <row r="960" spans="1:10" ht="63" x14ac:dyDescent="0.25">
      <c r="A960" s="31" t="s">
        <v>711</v>
      </c>
      <c r="B960" s="16">
        <v>910</v>
      </c>
      <c r="C960" s="20" t="s">
        <v>133</v>
      </c>
      <c r="D960" s="20" t="s">
        <v>155</v>
      </c>
      <c r="E960" s="20" t="s">
        <v>713</v>
      </c>
      <c r="F960" s="20"/>
      <c r="G960" s="26">
        <f>G961</f>
        <v>32</v>
      </c>
      <c r="H960" s="179"/>
    </row>
    <row r="961" spans="1:12" ht="31.5" x14ac:dyDescent="0.25">
      <c r="A961" s="25" t="s">
        <v>146</v>
      </c>
      <c r="B961" s="16">
        <v>910</v>
      </c>
      <c r="C961" s="20" t="s">
        <v>133</v>
      </c>
      <c r="D961" s="20" t="s">
        <v>155</v>
      </c>
      <c r="E961" s="20" t="s">
        <v>713</v>
      </c>
      <c r="F961" s="20" t="s">
        <v>147</v>
      </c>
      <c r="G961" s="26">
        <f>G962</f>
        <v>32</v>
      </c>
      <c r="H961" s="179"/>
    </row>
    <row r="962" spans="1:12" ht="47.25" x14ac:dyDescent="0.25">
      <c r="A962" s="25" t="s">
        <v>148</v>
      </c>
      <c r="B962" s="16">
        <v>910</v>
      </c>
      <c r="C962" s="20" t="s">
        <v>133</v>
      </c>
      <c r="D962" s="20" t="s">
        <v>155</v>
      </c>
      <c r="E962" s="20" t="s">
        <v>713</v>
      </c>
      <c r="F962" s="20" t="s">
        <v>149</v>
      </c>
      <c r="G962" s="26">
        <v>32</v>
      </c>
      <c r="H962" s="113"/>
    </row>
    <row r="963" spans="1:12" ht="31.5" x14ac:dyDescent="0.25">
      <c r="A963" s="23" t="s">
        <v>596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9"/>
    </row>
    <row r="964" spans="1:12" ht="15.75" x14ac:dyDescent="0.25">
      <c r="A964" s="23" t="s">
        <v>597</v>
      </c>
      <c r="B964" s="19">
        <v>913</v>
      </c>
      <c r="C964" s="24" t="s">
        <v>253</v>
      </c>
      <c r="D964" s="20"/>
      <c r="E964" s="20"/>
      <c r="F964" s="20"/>
      <c r="G964" s="26">
        <f>G965</f>
        <v>6309.8</v>
      </c>
      <c r="H964" s="179"/>
    </row>
    <row r="965" spans="1:12" ht="15.75" x14ac:dyDescent="0.25">
      <c r="A965" s="23" t="s">
        <v>598</v>
      </c>
      <c r="B965" s="19">
        <v>913</v>
      </c>
      <c r="C965" s="24" t="s">
        <v>253</v>
      </c>
      <c r="D965" s="24" t="s">
        <v>228</v>
      </c>
      <c r="E965" s="24"/>
      <c r="F965" s="24"/>
      <c r="G965" s="26">
        <f>G966</f>
        <v>6309.8</v>
      </c>
      <c r="H965" s="179"/>
    </row>
    <row r="966" spans="1:12" ht="15.75" x14ac:dyDescent="0.25">
      <c r="A966" s="25" t="s">
        <v>136</v>
      </c>
      <c r="B966" s="16">
        <v>913</v>
      </c>
      <c r="C966" s="20" t="s">
        <v>253</v>
      </c>
      <c r="D966" s="20" t="s">
        <v>228</v>
      </c>
      <c r="E966" s="20" t="s">
        <v>137</v>
      </c>
      <c r="F966" s="20"/>
      <c r="G966" s="26">
        <f>G967</f>
        <v>6309.8</v>
      </c>
      <c r="H966" s="179"/>
    </row>
    <row r="967" spans="1:12" ht="31.5" x14ac:dyDescent="0.25">
      <c r="A967" s="25" t="s">
        <v>599</v>
      </c>
      <c r="B967" s="16">
        <v>913</v>
      </c>
      <c r="C967" s="20" t="s">
        <v>253</v>
      </c>
      <c r="D967" s="20" t="s">
        <v>228</v>
      </c>
      <c r="E967" s="20" t="s">
        <v>600</v>
      </c>
      <c r="F967" s="20"/>
      <c r="G967" s="26">
        <f>G968</f>
        <v>6309.8</v>
      </c>
      <c r="H967" s="179"/>
    </row>
    <row r="968" spans="1:12" ht="31.5" x14ac:dyDescent="0.25">
      <c r="A968" s="25" t="s">
        <v>325</v>
      </c>
      <c r="B968" s="16">
        <v>913</v>
      </c>
      <c r="C968" s="20" t="s">
        <v>253</v>
      </c>
      <c r="D968" s="20" t="s">
        <v>228</v>
      </c>
      <c r="E968" s="20" t="s">
        <v>601</v>
      </c>
      <c r="F968" s="20"/>
      <c r="G968" s="26">
        <f>G969+G971+G973</f>
        <v>6309.8</v>
      </c>
      <c r="H968" s="179"/>
    </row>
    <row r="969" spans="1:12" ht="94.5" x14ac:dyDescent="0.25">
      <c r="A969" s="25" t="s">
        <v>142</v>
      </c>
      <c r="B969" s="16">
        <v>913</v>
      </c>
      <c r="C969" s="20" t="s">
        <v>253</v>
      </c>
      <c r="D969" s="20" t="s">
        <v>228</v>
      </c>
      <c r="E969" s="20" t="s">
        <v>601</v>
      </c>
      <c r="F969" s="20" t="s">
        <v>143</v>
      </c>
      <c r="G969" s="26">
        <f>G970</f>
        <v>5371.7</v>
      </c>
      <c r="H969" s="179"/>
    </row>
    <row r="970" spans="1:12" ht="31.5" x14ac:dyDescent="0.25">
      <c r="A970" s="25" t="s">
        <v>223</v>
      </c>
      <c r="B970" s="16">
        <v>913</v>
      </c>
      <c r="C970" s="20" t="s">
        <v>253</v>
      </c>
      <c r="D970" s="20" t="s">
        <v>228</v>
      </c>
      <c r="E970" s="20" t="s">
        <v>601</v>
      </c>
      <c r="F970" s="20" t="s">
        <v>224</v>
      </c>
      <c r="G970" s="27">
        <v>5371.7</v>
      </c>
      <c r="H970" s="179"/>
    </row>
    <row r="971" spans="1:12" ht="31.5" x14ac:dyDescent="0.25">
      <c r="A971" s="25" t="s">
        <v>146</v>
      </c>
      <c r="B971" s="16">
        <v>913</v>
      </c>
      <c r="C971" s="20" t="s">
        <v>253</v>
      </c>
      <c r="D971" s="20" t="s">
        <v>228</v>
      </c>
      <c r="E971" s="20" t="s">
        <v>601</v>
      </c>
      <c r="F971" s="20" t="s">
        <v>147</v>
      </c>
      <c r="G971" s="26">
        <f>G972</f>
        <v>928.1</v>
      </c>
      <c r="H971" s="179"/>
    </row>
    <row r="972" spans="1:12" ht="47.25" x14ac:dyDescent="0.25">
      <c r="A972" s="25" t="s">
        <v>148</v>
      </c>
      <c r="B972" s="16">
        <v>913</v>
      </c>
      <c r="C972" s="20" t="s">
        <v>253</v>
      </c>
      <c r="D972" s="20" t="s">
        <v>228</v>
      </c>
      <c r="E972" s="20" t="s">
        <v>601</v>
      </c>
      <c r="F972" s="20" t="s">
        <v>149</v>
      </c>
      <c r="G972" s="27">
        <f>898.3+28.1+1.7</f>
        <v>928.1</v>
      </c>
      <c r="H972" s="108"/>
      <c r="I972" s="127"/>
    </row>
    <row r="973" spans="1:12" ht="15.75" x14ac:dyDescent="0.25">
      <c r="A973" s="25" t="s">
        <v>150</v>
      </c>
      <c r="B973" s="16">
        <v>913</v>
      </c>
      <c r="C973" s="20" t="s">
        <v>253</v>
      </c>
      <c r="D973" s="20" t="s">
        <v>228</v>
      </c>
      <c r="E973" s="20" t="s">
        <v>601</v>
      </c>
      <c r="F973" s="20" t="s">
        <v>160</v>
      </c>
      <c r="G973" s="26">
        <f>G974</f>
        <v>10</v>
      </c>
      <c r="H973" s="179"/>
    </row>
    <row r="974" spans="1:12" ht="15.75" x14ac:dyDescent="0.25">
      <c r="A974" s="25" t="s">
        <v>583</v>
      </c>
      <c r="B974" s="16">
        <v>913</v>
      </c>
      <c r="C974" s="20" t="s">
        <v>253</v>
      </c>
      <c r="D974" s="20" t="s">
        <v>228</v>
      </c>
      <c r="E974" s="20" t="s">
        <v>601</v>
      </c>
      <c r="F974" s="20" t="s">
        <v>153</v>
      </c>
      <c r="G974" s="26">
        <v>10</v>
      </c>
      <c r="H974" s="179"/>
    </row>
    <row r="975" spans="1:12" ht="18.75" x14ac:dyDescent="0.3">
      <c r="A975" s="48" t="s">
        <v>602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9"/>
      <c r="L975" s="118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6"/>
    </row>
    <row r="977" spans="1:12" ht="18.75" x14ac:dyDescent="0.3">
      <c r="A977" s="50"/>
      <c r="B977" s="50"/>
      <c r="C977" s="51"/>
      <c r="D977" s="51"/>
      <c r="E977" s="51"/>
      <c r="F977" s="104" t="s">
        <v>603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4" t="s">
        <v>604</v>
      </c>
      <c r="G978" s="52">
        <f>G98+G180+G186+G208+G214+G261+G273+G338+G444+G480+G494+G527+G581+G640+G694+G787+G827+G879+G623+G959</f>
        <v>204531.10000000003</v>
      </c>
      <c r="I978" s="120"/>
    </row>
    <row r="979" spans="1:12" ht="15.75" x14ac:dyDescent="0.25">
      <c r="A979" s="50"/>
      <c r="B979" s="50"/>
      <c r="C979" s="51"/>
      <c r="D979" s="53"/>
      <c r="E979" s="53"/>
      <c r="F979" s="53"/>
      <c r="G979" s="105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7"/>
      <c r="I981" s="121" t="e">
        <f>'пр.4 Рд,пр 20'!#REF!</f>
        <v>#REF!</v>
      </c>
      <c r="L981" s="107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7"/>
      <c r="I982" s="121">
        <v>0</v>
      </c>
      <c r="L982" s="107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7"/>
      <c r="I983" s="121" t="e">
        <f>'пр.4 Рд,пр 20'!#REF!</f>
        <v>#REF!</v>
      </c>
      <c r="L983" s="107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7"/>
      <c r="I984" s="121" t="e">
        <f>'пр.4 Рд,пр 20'!#REF!</f>
        <v>#REF!</v>
      </c>
      <c r="L984" s="107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7"/>
      <c r="I985" s="121" t="e">
        <f>'пр.4 Рд,пр 20'!#REF!</f>
        <v>#REF!</v>
      </c>
      <c r="L985" s="107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7"/>
      <c r="I986" s="121" t="e">
        <f>'пр.4 Рд,пр 20'!#REF!</f>
        <v>#REF!</v>
      </c>
      <c r="L986" s="107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7"/>
      <c r="I987" s="121" t="e">
        <f>'пр.4 Рд,пр 20'!#REF!</f>
        <v>#REF!</v>
      </c>
      <c r="L987" s="107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7"/>
      <c r="I988" s="121" t="e">
        <f>'пр.4 Рд,пр 20'!#REF!</f>
        <v>#REF!</v>
      </c>
      <c r="L988" s="107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7"/>
      <c r="I989" s="121" t="e">
        <f>'пр.4 Рд,пр 20'!#REF!</f>
        <v>#REF!</v>
      </c>
      <c r="L989" s="107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7"/>
      <c r="I990" s="121" t="e">
        <f>'пр.4 Рд,пр 20'!#REF!</f>
        <v>#REF!</v>
      </c>
      <c r="L990" s="107"/>
    </row>
    <row r="991" spans="1:12" ht="15.75" x14ac:dyDescent="0.25">
      <c r="A991" s="50"/>
      <c r="B991" s="50"/>
      <c r="C991" s="55"/>
      <c r="D991" s="53"/>
      <c r="E991" s="53"/>
      <c r="F991" s="53"/>
      <c r="G991" s="106">
        <f>SUM(G981:G990)</f>
        <v>665442.19000000018</v>
      </c>
      <c r="H991" s="107"/>
      <c r="I991" s="121" t="e">
        <f>'пр.4 Рд,пр 20'!#REF!</f>
        <v>#REF!</v>
      </c>
      <c r="L991" s="107"/>
    </row>
    <row r="992" spans="1:12" x14ac:dyDescent="0.25">
      <c r="G992" s="107"/>
      <c r="H992" s="107"/>
      <c r="I992" s="121"/>
    </row>
    <row r="993" spans="4:9" x14ac:dyDescent="0.25">
      <c r="D993" s="1" t="s">
        <v>605</v>
      </c>
      <c r="E993" s="1">
        <v>50</v>
      </c>
      <c r="G993" s="107">
        <f>G778</f>
        <v>15124.1</v>
      </c>
      <c r="H993" s="107"/>
      <c r="I993" s="121"/>
    </row>
    <row r="994" spans="4:9" x14ac:dyDescent="0.25">
      <c r="E994" s="1">
        <v>51</v>
      </c>
      <c r="G994" s="107">
        <f>G390</f>
        <v>3693</v>
      </c>
      <c r="H994" s="107"/>
      <c r="I994" s="121"/>
    </row>
    <row r="995" spans="4:9" x14ac:dyDescent="0.25">
      <c r="E995" s="1">
        <v>52</v>
      </c>
      <c r="G995" s="107">
        <f>G508+G547+G634+G613</f>
        <v>89244.700000000012</v>
      </c>
      <c r="H995" s="107"/>
      <c r="I995" s="121"/>
    </row>
    <row r="996" spans="4:9" x14ac:dyDescent="0.25">
      <c r="E996" s="1">
        <v>53</v>
      </c>
      <c r="G996" s="107">
        <f>G57</f>
        <v>250</v>
      </c>
      <c r="H996" s="107"/>
      <c r="I996" s="121"/>
    </row>
    <row r="997" spans="4:9" x14ac:dyDescent="0.25">
      <c r="E997" s="1">
        <v>54</v>
      </c>
      <c r="G997" s="107">
        <f>G61+G954</f>
        <v>654</v>
      </c>
      <c r="H997" s="107"/>
      <c r="I997" s="121"/>
    </row>
    <row r="998" spans="4:9" x14ac:dyDescent="0.25">
      <c r="E998" s="1">
        <v>55</v>
      </c>
      <c r="G998" s="107">
        <f>G203</f>
        <v>10</v>
      </c>
      <c r="H998" s="107"/>
      <c r="I998" s="121"/>
    </row>
    <row r="999" spans="4:9" x14ac:dyDescent="0.25">
      <c r="E999" s="1">
        <v>56</v>
      </c>
      <c r="G999" s="107">
        <f>G73</f>
        <v>80</v>
      </c>
      <c r="H999" s="107"/>
      <c r="I999" s="121"/>
    </row>
    <row r="1000" spans="4:9" x14ac:dyDescent="0.25">
      <c r="E1000" s="1">
        <v>57</v>
      </c>
      <c r="G1000" s="107">
        <f>G726+G706+G676</f>
        <v>36478.9</v>
      </c>
      <c r="H1000" s="107"/>
      <c r="I1000" s="121"/>
    </row>
    <row r="1001" spans="4:9" x14ac:dyDescent="0.25">
      <c r="E1001" s="1">
        <v>58</v>
      </c>
      <c r="G1001" s="107">
        <f>G279+G237</f>
        <v>58528.700000000004</v>
      </c>
      <c r="H1001" s="107"/>
      <c r="I1001" s="121"/>
    </row>
    <row r="1002" spans="4:9" x14ac:dyDescent="0.25">
      <c r="E1002" s="1">
        <v>59</v>
      </c>
      <c r="G1002" s="107">
        <f>G333</f>
        <v>200</v>
      </c>
      <c r="H1002" s="107"/>
      <c r="I1002" s="121"/>
    </row>
    <row r="1003" spans="4:9" x14ac:dyDescent="0.25">
      <c r="E1003" s="1">
        <v>60</v>
      </c>
      <c r="G1003" s="107">
        <f>G848</f>
        <v>12375.499999999998</v>
      </c>
      <c r="H1003" s="107"/>
      <c r="I1003" s="121"/>
    </row>
    <row r="1004" spans="4:9" x14ac:dyDescent="0.25">
      <c r="E1004" s="1">
        <v>61</v>
      </c>
      <c r="G1004" s="107">
        <f>G86</f>
        <v>120</v>
      </c>
      <c r="H1004" s="107"/>
      <c r="I1004" s="121"/>
    </row>
    <row r="1005" spans="4:9" x14ac:dyDescent="0.25">
      <c r="E1005" s="1">
        <v>62</v>
      </c>
      <c r="G1005" s="107">
        <f>G801</f>
        <v>5567.9000000000005</v>
      </c>
      <c r="H1005" s="107"/>
      <c r="I1005" s="121"/>
    </row>
    <row r="1006" spans="4:9" x14ac:dyDescent="0.25">
      <c r="E1006" s="1">
        <v>63</v>
      </c>
      <c r="G1006" s="107">
        <f>G359+G646</f>
        <v>145</v>
      </c>
      <c r="H1006" s="107"/>
      <c r="I1006" s="121"/>
    </row>
    <row r="1007" spans="4:9" x14ac:dyDescent="0.25">
      <c r="E1007" s="1">
        <v>64</v>
      </c>
      <c r="G1007" s="107">
        <f>G90+G369</f>
        <v>34</v>
      </c>
      <c r="H1007" s="107"/>
      <c r="I1007" s="121"/>
    </row>
    <row r="1008" spans="4:9" x14ac:dyDescent="0.25">
      <c r="E1008" s="1">
        <v>65</v>
      </c>
      <c r="G1008" s="107">
        <f>G874</f>
        <v>600</v>
      </c>
      <c r="H1008" s="107"/>
      <c r="I1008" s="121"/>
    </row>
    <row r="1009" spans="7:9" x14ac:dyDescent="0.25">
      <c r="G1009" s="107">
        <f>SUM(G993:G1008)</f>
        <v>223105.80000000002</v>
      </c>
      <c r="H1009" s="107"/>
      <c r="I1009" s="121"/>
    </row>
    <row r="1010" spans="7:9" x14ac:dyDescent="0.25">
      <c r="G1010" s="107"/>
      <c r="H1010" s="107"/>
      <c r="I1010" s="121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4"/>
  <sheetViews>
    <sheetView workbookViewId="0">
      <selection activeCell="O14" sqref="O14:O15"/>
    </sheetView>
  </sheetViews>
  <sheetFormatPr defaultRowHeight="15" x14ac:dyDescent="0.25"/>
  <cols>
    <col min="1" max="1" width="55" customWidth="1"/>
    <col min="2" max="2" width="6.42578125" customWidth="1"/>
    <col min="3" max="3" width="6" customWidth="1"/>
    <col min="4" max="4" width="5.140625" customWidth="1"/>
    <col min="5" max="5" width="15.85546875" customWidth="1"/>
    <col min="6" max="6" width="7" customWidth="1"/>
    <col min="7" max="7" width="14.42578125" customWidth="1"/>
    <col min="8" max="8" width="15" customWidth="1"/>
    <col min="9" max="9" width="13.28515625" hidden="1" customWidth="1"/>
    <col min="10" max="11" width="0" hidden="1" customWidth="1"/>
  </cols>
  <sheetData>
    <row r="1" spans="1:9" ht="18.75" customHeight="1" x14ac:dyDescent="0.25">
      <c r="A1" s="63"/>
      <c r="B1" s="63"/>
      <c r="C1" s="63"/>
      <c r="D1" s="63"/>
      <c r="E1" s="230"/>
      <c r="F1" s="230"/>
      <c r="G1" s="456" t="s">
        <v>1496</v>
      </c>
      <c r="H1" s="456"/>
      <c r="I1" s="230"/>
    </row>
    <row r="2" spans="1:9" ht="15.75" customHeight="1" x14ac:dyDescent="0.25">
      <c r="A2" s="63"/>
      <c r="B2" s="63"/>
      <c r="C2" s="63"/>
      <c r="D2" s="63"/>
      <c r="E2" s="230"/>
      <c r="F2" s="230"/>
      <c r="G2" s="456" t="s">
        <v>1495</v>
      </c>
      <c r="H2" s="456"/>
      <c r="I2" s="230"/>
    </row>
    <row r="3" spans="1:9" s="229" customFormat="1" ht="15" customHeight="1" x14ac:dyDescent="0.25">
      <c r="A3" s="63"/>
      <c r="B3" s="63"/>
      <c r="C3" s="63"/>
      <c r="D3" s="63"/>
      <c r="E3" s="230"/>
      <c r="F3" s="230"/>
      <c r="G3" s="456" t="s">
        <v>1485</v>
      </c>
      <c r="H3" s="456"/>
      <c r="I3" s="230"/>
    </row>
    <row r="4" spans="1:9" ht="15.75" x14ac:dyDescent="0.25">
      <c r="A4" s="475"/>
      <c r="B4" s="475"/>
      <c r="C4" s="475"/>
      <c r="D4" s="475"/>
      <c r="E4" s="475"/>
      <c r="F4" s="475"/>
      <c r="G4" s="230"/>
      <c r="H4" s="230"/>
      <c r="I4" s="230"/>
    </row>
    <row r="5" spans="1:9" ht="15.75" x14ac:dyDescent="0.25">
      <c r="A5" s="471" t="s">
        <v>1374</v>
      </c>
      <c r="B5" s="471"/>
      <c r="C5" s="471"/>
      <c r="D5" s="471"/>
      <c r="E5" s="471"/>
      <c r="F5" s="471"/>
      <c r="G5" s="471"/>
      <c r="H5" s="471"/>
      <c r="I5" s="230"/>
    </row>
    <row r="6" spans="1:9" ht="15.75" x14ac:dyDescent="0.25">
      <c r="A6" s="340"/>
      <c r="B6" s="340"/>
      <c r="C6" s="340"/>
      <c r="D6" s="340"/>
      <c r="E6" s="340"/>
      <c r="F6" s="340"/>
      <c r="G6" s="230"/>
      <c r="H6" s="230"/>
      <c r="I6" s="230"/>
    </row>
    <row r="7" spans="1:9" ht="15.75" x14ac:dyDescent="0.25">
      <c r="A7" s="13"/>
      <c r="B7" s="13"/>
      <c r="C7" s="13"/>
      <c r="D7" s="13"/>
      <c r="E7" s="13"/>
      <c r="F7" s="13"/>
      <c r="G7" s="198" t="s">
        <v>1</v>
      </c>
      <c r="H7" s="198"/>
      <c r="I7" s="230"/>
    </row>
    <row r="8" spans="1:9" ht="63" x14ac:dyDescent="0.25">
      <c r="A8" s="337" t="s">
        <v>125</v>
      </c>
      <c r="B8" s="337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82" t="s">
        <v>1204</v>
      </c>
      <c r="H8" s="182" t="s">
        <v>1205</v>
      </c>
      <c r="I8" s="230"/>
    </row>
    <row r="9" spans="1:9" ht="31.5" x14ac:dyDescent="0.25">
      <c r="A9" s="19" t="s">
        <v>131</v>
      </c>
      <c r="B9" s="19">
        <v>901</v>
      </c>
      <c r="C9" s="20"/>
      <c r="D9" s="20"/>
      <c r="E9" s="20"/>
      <c r="F9" s="20"/>
      <c r="G9" s="416">
        <f>G10+G24</f>
        <v>20217</v>
      </c>
      <c r="H9" s="416">
        <f>H10+H24</f>
        <v>28071.599999999999</v>
      </c>
      <c r="I9" s="230"/>
    </row>
    <row r="10" spans="1:9" ht="15.75" x14ac:dyDescent="0.25">
      <c r="A10" s="23" t="s">
        <v>132</v>
      </c>
      <c r="B10" s="19">
        <v>901</v>
      </c>
      <c r="C10" s="24" t="s">
        <v>133</v>
      </c>
      <c r="D10" s="20"/>
      <c r="E10" s="20"/>
      <c r="F10" s="20"/>
      <c r="G10" s="416">
        <f t="shared" ref="G10:H12" si="0">G11</f>
        <v>12697.5</v>
      </c>
      <c r="H10" s="416">
        <f t="shared" si="0"/>
        <v>12697.5</v>
      </c>
      <c r="I10" s="230"/>
    </row>
    <row r="11" spans="1:9" ht="51" customHeight="1" x14ac:dyDescent="0.25">
      <c r="A11" s="23" t="s">
        <v>134</v>
      </c>
      <c r="B11" s="19">
        <v>901</v>
      </c>
      <c r="C11" s="24" t="s">
        <v>133</v>
      </c>
      <c r="D11" s="24" t="s">
        <v>135</v>
      </c>
      <c r="E11" s="24"/>
      <c r="F11" s="24"/>
      <c r="G11" s="416">
        <f t="shared" si="0"/>
        <v>12697.5</v>
      </c>
      <c r="H11" s="416">
        <f t="shared" si="0"/>
        <v>12697.5</v>
      </c>
      <c r="I11" s="230"/>
    </row>
    <row r="12" spans="1:9" ht="31.5" x14ac:dyDescent="0.25">
      <c r="A12" s="23" t="s">
        <v>992</v>
      </c>
      <c r="B12" s="19">
        <v>901</v>
      </c>
      <c r="C12" s="24" t="s">
        <v>133</v>
      </c>
      <c r="D12" s="24" t="s">
        <v>135</v>
      </c>
      <c r="E12" s="24" t="s">
        <v>906</v>
      </c>
      <c r="F12" s="24"/>
      <c r="G12" s="416">
        <f t="shared" si="0"/>
        <v>12697.5</v>
      </c>
      <c r="H12" s="416">
        <f t="shared" si="0"/>
        <v>12697.5</v>
      </c>
      <c r="I12" s="230"/>
    </row>
    <row r="13" spans="1:9" ht="15.75" x14ac:dyDescent="0.25">
      <c r="A13" s="23" t="s">
        <v>993</v>
      </c>
      <c r="B13" s="19">
        <v>901</v>
      </c>
      <c r="C13" s="24" t="s">
        <v>133</v>
      </c>
      <c r="D13" s="24" t="s">
        <v>135</v>
      </c>
      <c r="E13" s="24" t="s">
        <v>907</v>
      </c>
      <c r="F13" s="24"/>
      <c r="G13" s="416">
        <f>G14+G21</f>
        <v>12697.5</v>
      </c>
      <c r="H13" s="416">
        <f>H14+H21</f>
        <v>12697.5</v>
      </c>
      <c r="I13" s="230"/>
    </row>
    <row r="14" spans="1:9" ht="31.5" x14ac:dyDescent="0.25">
      <c r="A14" s="25" t="s">
        <v>969</v>
      </c>
      <c r="B14" s="16">
        <v>901</v>
      </c>
      <c r="C14" s="20" t="s">
        <v>133</v>
      </c>
      <c r="D14" s="20" t="s">
        <v>135</v>
      </c>
      <c r="E14" s="20" t="s">
        <v>908</v>
      </c>
      <c r="F14" s="20"/>
      <c r="G14" s="415">
        <f>G15+G17+G19</f>
        <v>12403.5</v>
      </c>
      <c r="H14" s="415">
        <f>H15+H17+H19</f>
        <v>12403.5</v>
      </c>
      <c r="I14" s="230"/>
    </row>
    <row r="15" spans="1:9" ht="78.75" x14ac:dyDescent="0.25">
      <c r="A15" s="25" t="s">
        <v>142</v>
      </c>
      <c r="B15" s="16">
        <v>901</v>
      </c>
      <c r="C15" s="20" t="s">
        <v>133</v>
      </c>
      <c r="D15" s="20" t="s">
        <v>135</v>
      </c>
      <c r="E15" s="20" t="s">
        <v>908</v>
      </c>
      <c r="F15" s="20" t="s">
        <v>143</v>
      </c>
      <c r="G15" s="415">
        <f>'Пр.6 ведом.20'!G15</f>
        <v>11575</v>
      </c>
      <c r="H15" s="415">
        <f t="shared" ref="H15:H77" si="1">G15</f>
        <v>11575</v>
      </c>
      <c r="I15" s="230"/>
    </row>
    <row r="16" spans="1:9" ht="31.5" x14ac:dyDescent="0.25">
      <c r="A16" s="25" t="s">
        <v>144</v>
      </c>
      <c r="B16" s="16">
        <v>901</v>
      </c>
      <c r="C16" s="20" t="s">
        <v>133</v>
      </c>
      <c r="D16" s="20" t="s">
        <v>135</v>
      </c>
      <c r="E16" s="20" t="s">
        <v>908</v>
      </c>
      <c r="F16" s="20" t="s">
        <v>145</v>
      </c>
      <c r="G16" s="415">
        <f>'Пр.6 ведом.20'!G16</f>
        <v>11575</v>
      </c>
      <c r="H16" s="415">
        <f t="shared" si="1"/>
        <v>11575</v>
      </c>
      <c r="I16" s="230"/>
    </row>
    <row r="17" spans="1:9" ht="31.5" x14ac:dyDescent="0.25">
      <c r="A17" s="25" t="s">
        <v>146</v>
      </c>
      <c r="B17" s="16">
        <v>901</v>
      </c>
      <c r="C17" s="20" t="s">
        <v>133</v>
      </c>
      <c r="D17" s="20" t="s">
        <v>135</v>
      </c>
      <c r="E17" s="20" t="s">
        <v>908</v>
      </c>
      <c r="F17" s="20" t="s">
        <v>147</v>
      </c>
      <c r="G17" s="415">
        <f>G18</f>
        <v>800.5</v>
      </c>
      <c r="H17" s="415">
        <f>H18</f>
        <v>800.5</v>
      </c>
      <c r="I17" s="230"/>
    </row>
    <row r="18" spans="1:9" ht="31.5" x14ac:dyDescent="0.25">
      <c r="A18" s="25" t="s">
        <v>148</v>
      </c>
      <c r="B18" s="16">
        <v>901</v>
      </c>
      <c r="C18" s="20" t="s">
        <v>133</v>
      </c>
      <c r="D18" s="20" t="s">
        <v>135</v>
      </c>
      <c r="E18" s="20" t="s">
        <v>908</v>
      </c>
      <c r="F18" s="20" t="s">
        <v>149</v>
      </c>
      <c r="G18" s="415">
        <f>'Пр.6 ведом.20'!G18+173.5-350</f>
        <v>800.5</v>
      </c>
      <c r="H18" s="415">
        <f t="shared" si="1"/>
        <v>800.5</v>
      </c>
      <c r="I18" s="230"/>
    </row>
    <row r="19" spans="1:9" ht="15.75" x14ac:dyDescent="0.25">
      <c r="A19" s="25" t="s">
        <v>150</v>
      </c>
      <c r="B19" s="16">
        <v>901</v>
      </c>
      <c r="C19" s="20" t="s">
        <v>133</v>
      </c>
      <c r="D19" s="20" t="s">
        <v>135</v>
      </c>
      <c r="E19" s="20" t="s">
        <v>908</v>
      </c>
      <c r="F19" s="20" t="s">
        <v>151</v>
      </c>
      <c r="G19" s="415">
        <f>'Пр.6 ведом.20'!G19</f>
        <v>28</v>
      </c>
      <c r="H19" s="415">
        <f t="shared" si="1"/>
        <v>28</v>
      </c>
      <c r="I19" s="230"/>
    </row>
    <row r="20" spans="1:9" ht="15.75" x14ac:dyDescent="0.25">
      <c r="A20" s="25" t="s">
        <v>583</v>
      </c>
      <c r="B20" s="16">
        <v>901</v>
      </c>
      <c r="C20" s="20" t="s">
        <v>133</v>
      </c>
      <c r="D20" s="20" t="s">
        <v>135</v>
      </c>
      <c r="E20" s="20" t="s">
        <v>908</v>
      </c>
      <c r="F20" s="20" t="s">
        <v>153</v>
      </c>
      <c r="G20" s="415">
        <f>'Пр.6 ведом.20'!G20</f>
        <v>28</v>
      </c>
      <c r="H20" s="415">
        <f t="shared" si="1"/>
        <v>28</v>
      </c>
      <c r="I20" s="230"/>
    </row>
    <row r="21" spans="1:9" ht="47.25" x14ac:dyDescent="0.25">
      <c r="A21" s="25" t="s">
        <v>886</v>
      </c>
      <c r="B21" s="16">
        <v>901</v>
      </c>
      <c r="C21" s="20" t="s">
        <v>133</v>
      </c>
      <c r="D21" s="20" t="s">
        <v>135</v>
      </c>
      <c r="E21" s="20" t="s">
        <v>910</v>
      </c>
      <c r="F21" s="20"/>
      <c r="G21" s="415">
        <f>'Пр.6 ведом.20'!G21</f>
        <v>294</v>
      </c>
      <c r="H21" s="415">
        <f t="shared" si="1"/>
        <v>294</v>
      </c>
      <c r="I21" s="230"/>
    </row>
    <row r="22" spans="1:9" ht="78.75" x14ac:dyDescent="0.25">
      <c r="A22" s="25" t="s">
        <v>142</v>
      </c>
      <c r="B22" s="16">
        <v>901</v>
      </c>
      <c r="C22" s="20" t="s">
        <v>133</v>
      </c>
      <c r="D22" s="20" t="s">
        <v>135</v>
      </c>
      <c r="E22" s="20" t="s">
        <v>910</v>
      </c>
      <c r="F22" s="20" t="s">
        <v>143</v>
      </c>
      <c r="G22" s="415">
        <f>'Пр.6 ведом.20'!G22</f>
        <v>294</v>
      </c>
      <c r="H22" s="415">
        <f t="shared" si="1"/>
        <v>294</v>
      </c>
      <c r="I22" s="230"/>
    </row>
    <row r="23" spans="1:9" ht="31.5" x14ac:dyDescent="0.25">
      <c r="A23" s="25" t="s">
        <v>144</v>
      </c>
      <c r="B23" s="16">
        <v>901</v>
      </c>
      <c r="C23" s="20" t="s">
        <v>133</v>
      </c>
      <c r="D23" s="20" t="s">
        <v>135</v>
      </c>
      <c r="E23" s="20" t="s">
        <v>910</v>
      </c>
      <c r="F23" s="20" t="s">
        <v>145</v>
      </c>
      <c r="G23" s="415">
        <f>'Пр.6 ведом.20'!G23</f>
        <v>294</v>
      </c>
      <c r="H23" s="415">
        <f t="shared" si="1"/>
        <v>294</v>
      </c>
      <c r="I23" s="230"/>
    </row>
    <row r="24" spans="1:9" s="229" customFormat="1" ht="15.75" x14ac:dyDescent="0.25">
      <c r="A24" s="23" t="s">
        <v>154</v>
      </c>
      <c r="B24" s="19">
        <v>901</v>
      </c>
      <c r="C24" s="24" t="s">
        <v>133</v>
      </c>
      <c r="D24" s="24" t="s">
        <v>155</v>
      </c>
      <c r="E24" s="24"/>
      <c r="F24" s="24"/>
      <c r="G24" s="416">
        <f t="shared" ref="G24:H28" si="2">G25</f>
        <v>7519.5</v>
      </c>
      <c r="H24" s="416">
        <f t="shared" si="2"/>
        <v>15374.1</v>
      </c>
      <c r="I24" s="230"/>
    </row>
    <row r="25" spans="1:9" s="229" customFormat="1" ht="15.75" x14ac:dyDescent="0.25">
      <c r="A25" s="23" t="s">
        <v>156</v>
      </c>
      <c r="B25" s="19">
        <v>901</v>
      </c>
      <c r="C25" s="24" t="s">
        <v>133</v>
      </c>
      <c r="D25" s="24" t="s">
        <v>155</v>
      </c>
      <c r="E25" s="24" t="s">
        <v>914</v>
      </c>
      <c r="F25" s="24"/>
      <c r="G25" s="416">
        <f t="shared" si="2"/>
        <v>7519.5</v>
      </c>
      <c r="H25" s="416">
        <f t="shared" si="2"/>
        <v>15374.1</v>
      </c>
      <c r="I25" s="230"/>
    </row>
    <row r="26" spans="1:9" s="229" customFormat="1" ht="31.5" x14ac:dyDescent="0.25">
      <c r="A26" s="23" t="s">
        <v>918</v>
      </c>
      <c r="B26" s="19">
        <v>901</v>
      </c>
      <c r="C26" s="24" t="s">
        <v>133</v>
      </c>
      <c r="D26" s="24" t="s">
        <v>155</v>
      </c>
      <c r="E26" s="24" t="s">
        <v>913</v>
      </c>
      <c r="F26" s="24"/>
      <c r="G26" s="416">
        <f t="shared" si="2"/>
        <v>7519.5</v>
      </c>
      <c r="H26" s="416">
        <f t="shared" si="2"/>
        <v>15374.1</v>
      </c>
      <c r="I26" s="230"/>
    </row>
    <row r="27" spans="1:9" s="229" customFormat="1" ht="15.75" x14ac:dyDescent="0.25">
      <c r="A27" s="25" t="s">
        <v>1378</v>
      </c>
      <c r="B27" s="16">
        <v>901</v>
      </c>
      <c r="C27" s="20" t="s">
        <v>133</v>
      </c>
      <c r="D27" s="20" t="s">
        <v>155</v>
      </c>
      <c r="E27" s="20" t="s">
        <v>1379</v>
      </c>
      <c r="F27" s="20"/>
      <c r="G27" s="415">
        <f t="shared" si="2"/>
        <v>7519.5</v>
      </c>
      <c r="H27" s="415">
        <f t="shared" si="2"/>
        <v>15374.1</v>
      </c>
      <c r="I27" s="230"/>
    </row>
    <row r="28" spans="1:9" s="229" customFormat="1" ht="15.75" x14ac:dyDescent="0.25">
      <c r="A28" s="25" t="s">
        <v>150</v>
      </c>
      <c r="B28" s="16">
        <v>901</v>
      </c>
      <c r="C28" s="20" t="s">
        <v>133</v>
      </c>
      <c r="D28" s="20" t="s">
        <v>155</v>
      </c>
      <c r="E28" s="20" t="s">
        <v>1379</v>
      </c>
      <c r="F28" s="20" t="s">
        <v>160</v>
      </c>
      <c r="G28" s="415">
        <f t="shared" si="2"/>
        <v>7519.5</v>
      </c>
      <c r="H28" s="415">
        <f t="shared" si="2"/>
        <v>15374.1</v>
      </c>
      <c r="I28" s="230"/>
    </row>
    <row r="29" spans="1:9" s="229" customFormat="1" ht="15.75" x14ac:dyDescent="0.25">
      <c r="A29" s="25" t="s">
        <v>1378</v>
      </c>
      <c r="B29" s="16">
        <v>901</v>
      </c>
      <c r="C29" s="20" t="s">
        <v>133</v>
      </c>
      <c r="D29" s="20" t="s">
        <v>155</v>
      </c>
      <c r="E29" s="20" t="s">
        <v>1379</v>
      </c>
      <c r="F29" s="20" t="s">
        <v>1380</v>
      </c>
      <c r="G29" s="415">
        <v>7519.5</v>
      </c>
      <c r="H29" s="415">
        <v>15374.1</v>
      </c>
      <c r="I29" s="230"/>
    </row>
    <row r="30" spans="1:9" ht="15.75" x14ac:dyDescent="0.25">
      <c r="A30" s="19" t="s">
        <v>163</v>
      </c>
      <c r="B30" s="19">
        <v>902</v>
      </c>
      <c r="C30" s="20"/>
      <c r="D30" s="20"/>
      <c r="E30" s="20"/>
      <c r="F30" s="20"/>
      <c r="G30" s="416">
        <f>G31+G141+G160+G190+G134</f>
        <v>85978.6</v>
      </c>
      <c r="H30" s="416">
        <f>H31+H141+H160+H190+H134</f>
        <v>81035.3</v>
      </c>
      <c r="I30" s="230"/>
    </row>
    <row r="31" spans="1:9" ht="15.75" x14ac:dyDescent="0.25">
      <c r="A31" s="23" t="s">
        <v>132</v>
      </c>
      <c r="B31" s="19">
        <v>902</v>
      </c>
      <c r="C31" s="24" t="s">
        <v>133</v>
      </c>
      <c r="D31" s="20"/>
      <c r="E31" s="20"/>
      <c r="F31" s="20"/>
      <c r="G31" s="416">
        <f>G32+G87+G104+G96</f>
        <v>59374.400000000001</v>
      </c>
      <c r="H31" s="416">
        <f>H32+H87+H104+H96</f>
        <v>59431.1</v>
      </c>
      <c r="I31" s="230"/>
    </row>
    <row r="32" spans="1:9" ht="63" x14ac:dyDescent="0.25">
      <c r="A32" s="23" t="s">
        <v>164</v>
      </c>
      <c r="B32" s="19">
        <v>902</v>
      </c>
      <c r="C32" s="24" t="s">
        <v>133</v>
      </c>
      <c r="D32" s="24" t="s">
        <v>165</v>
      </c>
      <c r="E32" s="24"/>
      <c r="F32" s="24"/>
      <c r="G32" s="416">
        <f>G33+G69</f>
        <v>51574.400000000001</v>
      </c>
      <c r="H32" s="416">
        <f>H33+H69</f>
        <v>51631.1</v>
      </c>
      <c r="I32" s="230"/>
    </row>
    <row r="33" spans="1:9" ht="31.5" x14ac:dyDescent="0.25">
      <c r="A33" s="23" t="s">
        <v>992</v>
      </c>
      <c r="B33" s="19">
        <v>902</v>
      </c>
      <c r="C33" s="24" t="s">
        <v>133</v>
      </c>
      <c r="D33" s="24" t="s">
        <v>165</v>
      </c>
      <c r="E33" s="24" t="s">
        <v>906</v>
      </c>
      <c r="F33" s="24"/>
      <c r="G33" s="315">
        <f>G34+G50</f>
        <v>51050.9</v>
      </c>
      <c r="H33" s="315">
        <f>H34+H50</f>
        <v>51107.6</v>
      </c>
      <c r="I33" s="230"/>
    </row>
    <row r="34" spans="1:9" ht="15.75" x14ac:dyDescent="0.25">
      <c r="A34" s="23" t="s">
        <v>993</v>
      </c>
      <c r="B34" s="19">
        <v>902</v>
      </c>
      <c r="C34" s="24" t="s">
        <v>133</v>
      </c>
      <c r="D34" s="24" t="s">
        <v>165</v>
      </c>
      <c r="E34" s="24" t="s">
        <v>907</v>
      </c>
      <c r="F34" s="24"/>
      <c r="G34" s="315">
        <f>G35+G44+G47</f>
        <v>47928</v>
      </c>
      <c r="H34" s="315">
        <f>H35+H44+H47</f>
        <v>47918</v>
      </c>
      <c r="I34" s="230"/>
    </row>
    <row r="35" spans="1:9" ht="31.5" x14ac:dyDescent="0.25">
      <c r="A35" s="25" t="s">
        <v>969</v>
      </c>
      <c r="B35" s="16">
        <v>902</v>
      </c>
      <c r="C35" s="20" t="s">
        <v>133</v>
      </c>
      <c r="D35" s="20" t="s">
        <v>165</v>
      </c>
      <c r="E35" s="20" t="s">
        <v>908</v>
      </c>
      <c r="F35" s="20"/>
      <c r="G35" s="415">
        <f>G36+G38+G40+G42</f>
        <v>43412</v>
      </c>
      <c r="H35" s="415">
        <f>H36+H38+H40+H42</f>
        <v>43402</v>
      </c>
      <c r="I35" s="230"/>
    </row>
    <row r="36" spans="1:9" ht="78.75" x14ac:dyDescent="0.25">
      <c r="A36" s="25" t="s">
        <v>142</v>
      </c>
      <c r="B36" s="16">
        <v>902</v>
      </c>
      <c r="C36" s="20" t="s">
        <v>133</v>
      </c>
      <c r="D36" s="20" t="s">
        <v>165</v>
      </c>
      <c r="E36" s="20" t="s">
        <v>908</v>
      </c>
      <c r="F36" s="20" t="s">
        <v>143</v>
      </c>
      <c r="G36" s="415">
        <f>'Пр.6 ведом.20'!G30</f>
        <v>37513</v>
      </c>
      <c r="H36" s="415">
        <f t="shared" si="1"/>
        <v>37513</v>
      </c>
      <c r="I36" s="230"/>
    </row>
    <row r="37" spans="1:9" ht="31.5" x14ac:dyDescent="0.25">
      <c r="A37" s="25" t="s">
        <v>144</v>
      </c>
      <c r="B37" s="16">
        <v>902</v>
      </c>
      <c r="C37" s="20" t="s">
        <v>133</v>
      </c>
      <c r="D37" s="20" t="s">
        <v>165</v>
      </c>
      <c r="E37" s="20" t="s">
        <v>908</v>
      </c>
      <c r="F37" s="20" t="s">
        <v>145</v>
      </c>
      <c r="G37" s="415">
        <f>'Пр.6 ведом.20'!G31</f>
        <v>37513</v>
      </c>
      <c r="H37" s="415">
        <f t="shared" si="1"/>
        <v>37513</v>
      </c>
      <c r="I37" s="230"/>
    </row>
    <row r="38" spans="1:9" ht="31.5" x14ac:dyDescent="0.25">
      <c r="A38" s="25" t="s">
        <v>146</v>
      </c>
      <c r="B38" s="16">
        <v>902</v>
      </c>
      <c r="C38" s="20" t="s">
        <v>133</v>
      </c>
      <c r="D38" s="20" t="s">
        <v>165</v>
      </c>
      <c r="E38" s="20" t="s">
        <v>908</v>
      </c>
      <c r="F38" s="20" t="s">
        <v>147</v>
      </c>
      <c r="G38" s="415">
        <f>G39</f>
        <v>5069</v>
      </c>
      <c r="H38" s="415">
        <f>H39</f>
        <v>5059</v>
      </c>
      <c r="I38" s="230"/>
    </row>
    <row r="39" spans="1:9" ht="31.5" x14ac:dyDescent="0.25">
      <c r="A39" s="25" t="s">
        <v>148</v>
      </c>
      <c r="B39" s="16">
        <v>902</v>
      </c>
      <c r="C39" s="20" t="s">
        <v>133</v>
      </c>
      <c r="D39" s="20" t="s">
        <v>165</v>
      </c>
      <c r="E39" s="20" t="s">
        <v>908</v>
      </c>
      <c r="F39" s="20" t="s">
        <v>149</v>
      </c>
      <c r="G39" s="415">
        <f>'Пр.6 ведом.20'!G33-809-18.9-15.1</f>
        <v>5069</v>
      </c>
      <c r="H39" s="415">
        <f>G39-10</f>
        <v>5059</v>
      </c>
      <c r="I39" s="230"/>
    </row>
    <row r="40" spans="1:9" ht="31.5" x14ac:dyDescent="0.25">
      <c r="A40" s="25" t="s">
        <v>263</v>
      </c>
      <c r="B40" s="16">
        <v>902</v>
      </c>
      <c r="C40" s="20" t="s">
        <v>133</v>
      </c>
      <c r="D40" s="20" t="s">
        <v>165</v>
      </c>
      <c r="E40" s="20" t="s">
        <v>908</v>
      </c>
      <c r="F40" s="20" t="s">
        <v>264</v>
      </c>
      <c r="G40" s="415">
        <f>'Пр.6 ведом.20'!G34</f>
        <v>755</v>
      </c>
      <c r="H40" s="415">
        <f t="shared" si="1"/>
        <v>755</v>
      </c>
      <c r="I40" s="230"/>
    </row>
    <row r="41" spans="1:9" ht="31.5" x14ac:dyDescent="0.25">
      <c r="A41" s="25" t="s">
        <v>265</v>
      </c>
      <c r="B41" s="16">
        <v>902</v>
      </c>
      <c r="C41" s="20" t="s">
        <v>133</v>
      </c>
      <c r="D41" s="20" t="s">
        <v>165</v>
      </c>
      <c r="E41" s="20" t="s">
        <v>908</v>
      </c>
      <c r="F41" s="20" t="s">
        <v>266</v>
      </c>
      <c r="G41" s="415">
        <f>'Пр.6 ведом.20'!G35</f>
        <v>755</v>
      </c>
      <c r="H41" s="415">
        <f t="shared" si="1"/>
        <v>755</v>
      </c>
      <c r="I41" s="230"/>
    </row>
    <row r="42" spans="1:9" ht="15.75" x14ac:dyDescent="0.25">
      <c r="A42" s="25" t="s">
        <v>150</v>
      </c>
      <c r="B42" s="16">
        <v>902</v>
      </c>
      <c r="C42" s="20" t="s">
        <v>133</v>
      </c>
      <c r="D42" s="20" t="s">
        <v>165</v>
      </c>
      <c r="E42" s="20" t="s">
        <v>908</v>
      </c>
      <c r="F42" s="20" t="s">
        <v>160</v>
      </c>
      <c r="G42" s="415">
        <f>'Пр.6 ведом.20'!G36</f>
        <v>75.000000000000014</v>
      </c>
      <c r="H42" s="415">
        <f t="shared" si="1"/>
        <v>75.000000000000014</v>
      </c>
      <c r="I42" s="230"/>
    </row>
    <row r="43" spans="1:9" ht="15.75" x14ac:dyDescent="0.25">
      <c r="A43" s="25" t="s">
        <v>583</v>
      </c>
      <c r="B43" s="16">
        <v>902</v>
      </c>
      <c r="C43" s="20" t="s">
        <v>133</v>
      </c>
      <c r="D43" s="20" t="s">
        <v>165</v>
      </c>
      <c r="E43" s="20" t="s">
        <v>908</v>
      </c>
      <c r="F43" s="20" t="s">
        <v>153</v>
      </c>
      <c r="G43" s="415">
        <f>'Пр.6 ведом.20'!G37</f>
        <v>75.000000000000014</v>
      </c>
      <c r="H43" s="415">
        <f t="shared" si="1"/>
        <v>75.000000000000014</v>
      </c>
      <c r="I43" s="230"/>
    </row>
    <row r="44" spans="1:9" ht="31.5" x14ac:dyDescent="0.25">
      <c r="A44" s="25" t="s">
        <v>887</v>
      </c>
      <c r="B44" s="16">
        <v>902</v>
      </c>
      <c r="C44" s="20" t="s">
        <v>133</v>
      </c>
      <c r="D44" s="20" t="s">
        <v>165</v>
      </c>
      <c r="E44" s="20" t="s">
        <v>909</v>
      </c>
      <c r="F44" s="20"/>
      <c r="G44" s="415">
        <f>'Пр.6 ведом.20'!G38</f>
        <v>2962</v>
      </c>
      <c r="H44" s="415">
        <f t="shared" si="1"/>
        <v>2962</v>
      </c>
      <c r="I44" s="230"/>
    </row>
    <row r="45" spans="1:9" ht="78.75" x14ac:dyDescent="0.25">
      <c r="A45" s="25" t="s">
        <v>142</v>
      </c>
      <c r="B45" s="16">
        <v>902</v>
      </c>
      <c r="C45" s="20" t="s">
        <v>133</v>
      </c>
      <c r="D45" s="20" t="s">
        <v>165</v>
      </c>
      <c r="E45" s="20" t="s">
        <v>909</v>
      </c>
      <c r="F45" s="20" t="s">
        <v>143</v>
      </c>
      <c r="G45" s="415">
        <f>'Пр.6 ведом.20'!G39</f>
        <v>2962</v>
      </c>
      <c r="H45" s="415">
        <f t="shared" si="1"/>
        <v>2962</v>
      </c>
      <c r="I45" s="230"/>
    </row>
    <row r="46" spans="1:9" ht="31.5" x14ac:dyDescent="0.25">
      <c r="A46" s="25" t="s">
        <v>144</v>
      </c>
      <c r="B46" s="16">
        <v>902</v>
      </c>
      <c r="C46" s="20" t="s">
        <v>133</v>
      </c>
      <c r="D46" s="20" t="s">
        <v>165</v>
      </c>
      <c r="E46" s="20" t="s">
        <v>909</v>
      </c>
      <c r="F46" s="20" t="s">
        <v>145</v>
      </c>
      <c r="G46" s="415">
        <f>'Пр.6 ведом.20'!G40</f>
        <v>2962</v>
      </c>
      <c r="H46" s="415">
        <f t="shared" si="1"/>
        <v>2962</v>
      </c>
      <c r="I46" s="230"/>
    </row>
    <row r="47" spans="1:9" ht="47.25" x14ac:dyDescent="0.25">
      <c r="A47" s="25" t="s">
        <v>886</v>
      </c>
      <c r="B47" s="16">
        <v>902</v>
      </c>
      <c r="C47" s="20" t="s">
        <v>133</v>
      </c>
      <c r="D47" s="20" t="s">
        <v>165</v>
      </c>
      <c r="E47" s="20" t="s">
        <v>910</v>
      </c>
      <c r="F47" s="20"/>
      <c r="G47" s="415">
        <f>'Пр.6 ведом.20'!G41</f>
        <v>1554</v>
      </c>
      <c r="H47" s="415">
        <f t="shared" si="1"/>
        <v>1554</v>
      </c>
      <c r="I47" s="230"/>
    </row>
    <row r="48" spans="1:9" ht="78.75" x14ac:dyDescent="0.25">
      <c r="A48" s="25" t="s">
        <v>142</v>
      </c>
      <c r="B48" s="16">
        <v>902</v>
      </c>
      <c r="C48" s="20" t="s">
        <v>133</v>
      </c>
      <c r="D48" s="20" t="s">
        <v>165</v>
      </c>
      <c r="E48" s="20" t="s">
        <v>910</v>
      </c>
      <c r="F48" s="20" t="s">
        <v>143</v>
      </c>
      <c r="G48" s="415">
        <f>'Пр.6 ведом.20'!G42</f>
        <v>1554</v>
      </c>
      <c r="H48" s="415">
        <f t="shared" si="1"/>
        <v>1554</v>
      </c>
      <c r="I48" s="230"/>
    </row>
    <row r="49" spans="1:9" ht="31.5" x14ac:dyDescent="0.25">
      <c r="A49" s="25" t="s">
        <v>144</v>
      </c>
      <c r="B49" s="16">
        <v>902</v>
      </c>
      <c r="C49" s="20" t="s">
        <v>133</v>
      </c>
      <c r="D49" s="20" t="s">
        <v>165</v>
      </c>
      <c r="E49" s="20" t="s">
        <v>910</v>
      </c>
      <c r="F49" s="20" t="s">
        <v>145</v>
      </c>
      <c r="G49" s="415">
        <f>'Пр.6 ведом.20'!G43</f>
        <v>1554</v>
      </c>
      <c r="H49" s="415">
        <f t="shared" si="1"/>
        <v>1554</v>
      </c>
      <c r="I49" s="230"/>
    </row>
    <row r="50" spans="1:9" ht="31.5" x14ac:dyDescent="0.25">
      <c r="A50" s="23" t="s">
        <v>934</v>
      </c>
      <c r="B50" s="19">
        <v>902</v>
      </c>
      <c r="C50" s="24" t="s">
        <v>133</v>
      </c>
      <c r="D50" s="24" t="s">
        <v>165</v>
      </c>
      <c r="E50" s="24" t="s">
        <v>911</v>
      </c>
      <c r="F50" s="24"/>
      <c r="G50" s="416">
        <f>G51+G54+G59+G64</f>
        <v>3122.9</v>
      </c>
      <c r="H50" s="416">
        <f>H51+H54+H59+H64</f>
        <v>3189.6</v>
      </c>
      <c r="I50" s="230"/>
    </row>
    <row r="51" spans="1:9" ht="47.25" x14ac:dyDescent="0.25">
      <c r="A51" s="25" t="s">
        <v>801</v>
      </c>
      <c r="B51" s="16">
        <v>902</v>
      </c>
      <c r="C51" s="20" t="s">
        <v>133</v>
      </c>
      <c r="D51" s="20" t="s">
        <v>165</v>
      </c>
      <c r="E51" s="20" t="s">
        <v>996</v>
      </c>
      <c r="F51" s="24"/>
      <c r="G51" s="415">
        <f>G52</f>
        <v>6.3</v>
      </c>
      <c r="H51" s="415">
        <f>H52</f>
        <v>51</v>
      </c>
      <c r="I51" s="230"/>
    </row>
    <row r="52" spans="1:9" ht="31.5" x14ac:dyDescent="0.25">
      <c r="A52" s="25" t="s">
        <v>146</v>
      </c>
      <c r="B52" s="16">
        <v>902</v>
      </c>
      <c r="C52" s="20" t="s">
        <v>133</v>
      </c>
      <c r="D52" s="20" t="s">
        <v>165</v>
      </c>
      <c r="E52" s="20" t="s">
        <v>996</v>
      </c>
      <c r="F52" s="20" t="s">
        <v>147</v>
      </c>
      <c r="G52" s="415">
        <f>G53</f>
        <v>6.3</v>
      </c>
      <c r="H52" s="415">
        <f>H53</f>
        <v>51</v>
      </c>
      <c r="I52" s="230"/>
    </row>
    <row r="53" spans="1:9" ht="31.5" x14ac:dyDescent="0.25">
      <c r="A53" s="25" t="s">
        <v>148</v>
      </c>
      <c r="B53" s="16">
        <v>902</v>
      </c>
      <c r="C53" s="20" t="s">
        <v>133</v>
      </c>
      <c r="D53" s="20" t="s">
        <v>165</v>
      </c>
      <c r="E53" s="20" t="s">
        <v>996</v>
      </c>
      <c r="F53" s="20" t="s">
        <v>149</v>
      </c>
      <c r="G53" s="415">
        <v>6.3</v>
      </c>
      <c r="H53" s="415">
        <v>51</v>
      </c>
      <c r="I53" s="230"/>
    </row>
    <row r="54" spans="1:9" ht="47.25" x14ac:dyDescent="0.25">
      <c r="A54" s="31" t="s">
        <v>204</v>
      </c>
      <c r="B54" s="16">
        <v>902</v>
      </c>
      <c r="C54" s="20" t="s">
        <v>133</v>
      </c>
      <c r="D54" s="20" t="s">
        <v>165</v>
      </c>
      <c r="E54" s="20" t="s">
        <v>997</v>
      </c>
      <c r="F54" s="20"/>
      <c r="G54" s="415">
        <f>G55+G57</f>
        <v>567.40000000000009</v>
      </c>
      <c r="H54" s="415">
        <f>H55+H57</f>
        <v>589.40000000000009</v>
      </c>
      <c r="I54" s="230"/>
    </row>
    <row r="55" spans="1:9" ht="78.75" x14ac:dyDescent="0.25">
      <c r="A55" s="25" t="s">
        <v>142</v>
      </c>
      <c r="B55" s="16">
        <v>902</v>
      </c>
      <c r="C55" s="20" t="s">
        <v>133</v>
      </c>
      <c r="D55" s="20" t="s">
        <v>165</v>
      </c>
      <c r="E55" s="20" t="s">
        <v>997</v>
      </c>
      <c r="F55" s="20" t="s">
        <v>143</v>
      </c>
      <c r="G55" s="415">
        <f>G56</f>
        <v>528.70000000000005</v>
      </c>
      <c r="H55" s="415">
        <f>H56</f>
        <v>528.70000000000005</v>
      </c>
      <c r="I55" s="230"/>
    </row>
    <row r="56" spans="1:9" ht="31.5" x14ac:dyDescent="0.25">
      <c r="A56" s="25" t="s">
        <v>144</v>
      </c>
      <c r="B56" s="16">
        <v>902</v>
      </c>
      <c r="C56" s="20" t="s">
        <v>133</v>
      </c>
      <c r="D56" s="20" t="s">
        <v>165</v>
      </c>
      <c r="E56" s="20" t="s">
        <v>997</v>
      </c>
      <c r="F56" s="20" t="s">
        <v>145</v>
      </c>
      <c r="G56" s="415">
        <f>'Пр.6 ведом.20'!G53</f>
        <v>528.70000000000005</v>
      </c>
      <c r="H56" s="415">
        <f t="shared" si="1"/>
        <v>528.70000000000005</v>
      </c>
      <c r="I56" s="230"/>
    </row>
    <row r="57" spans="1:9" ht="31.5" x14ac:dyDescent="0.25">
      <c r="A57" s="25" t="s">
        <v>146</v>
      </c>
      <c r="B57" s="16">
        <v>902</v>
      </c>
      <c r="C57" s="20" t="s">
        <v>133</v>
      </c>
      <c r="D57" s="20" t="s">
        <v>165</v>
      </c>
      <c r="E57" s="20" t="s">
        <v>997</v>
      </c>
      <c r="F57" s="20" t="s">
        <v>147</v>
      </c>
      <c r="G57" s="415">
        <f>G58</f>
        <v>38.700000000000003</v>
      </c>
      <c r="H57" s="415">
        <f>H58</f>
        <v>60.7</v>
      </c>
      <c r="I57" s="230"/>
    </row>
    <row r="58" spans="1:9" ht="31.5" x14ac:dyDescent="0.25">
      <c r="A58" s="25" t="s">
        <v>148</v>
      </c>
      <c r="B58" s="16">
        <v>902</v>
      </c>
      <c r="C58" s="20" t="s">
        <v>133</v>
      </c>
      <c r="D58" s="20" t="s">
        <v>165</v>
      </c>
      <c r="E58" s="20" t="s">
        <v>997</v>
      </c>
      <c r="F58" s="20" t="s">
        <v>149</v>
      </c>
      <c r="G58" s="415">
        <v>38.700000000000003</v>
      </c>
      <c r="H58" s="415">
        <v>60.7</v>
      </c>
      <c r="I58" s="230"/>
    </row>
    <row r="59" spans="1:9" ht="47.25" x14ac:dyDescent="0.25">
      <c r="A59" s="31" t="s">
        <v>209</v>
      </c>
      <c r="B59" s="16">
        <v>902</v>
      </c>
      <c r="C59" s="20" t="s">
        <v>133</v>
      </c>
      <c r="D59" s="20" t="s">
        <v>165</v>
      </c>
      <c r="E59" s="20" t="s">
        <v>1206</v>
      </c>
      <c r="F59" s="20"/>
      <c r="G59" s="415">
        <f>G60+G62</f>
        <v>1433.3</v>
      </c>
      <c r="H59" s="415">
        <f>H60+H62</f>
        <v>1433.3</v>
      </c>
      <c r="I59" s="230"/>
    </row>
    <row r="60" spans="1:9" ht="78.75" x14ac:dyDescent="0.25">
      <c r="A60" s="25" t="s">
        <v>142</v>
      </c>
      <c r="B60" s="16">
        <v>902</v>
      </c>
      <c r="C60" s="20" t="s">
        <v>133</v>
      </c>
      <c r="D60" s="20" t="s">
        <v>165</v>
      </c>
      <c r="E60" s="20" t="s">
        <v>1206</v>
      </c>
      <c r="F60" s="20" t="s">
        <v>143</v>
      </c>
      <c r="G60" s="415">
        <f>G61</f>
        <v>1372.1</v>
      </c>
      <c r="H60" s="415">
        <f>H61</f>
        <v>1372.1</v>
      </c>
      <c r="I60" s="230"/>
    </row>
    <row r="61" spans="1:9" ht="31.5" x14ac:dyDescent="0.25">
      <c r="A61" s="25" t="s">
        <v>144</v>
      </c>
      <c r="B61" s="16">
        <v>902</v>
      </c>
      <c r="C61" s="20" t="s">
        <v>133</v>
      </c>
      <c r="D61" s="20" t="s">
        <v>165</v>
      </c>
      <c r="E61" s="20" t="s">
        <v>1206</v>
      </c>
      <c r="F61" s="20" t="s">
        <v>145</v>
      </c>
      <c r="G61" s="415">
        <f>'Пр.6 ведом.20'!G58</f>
        <v>1372.1</v>
      </c>
      <c r="H61" s="415">
        <f t="shared" si="1"/>
        <v>1372.1</v>
      </c>
      <c r="I61" s="230"/>
    </row>
    <row r="62" spans="1:9" ht="31.5" x14ac:dyDescent="0.25">
      <c r="A62" s="25" t="s">
        <v>146</v>
      </c>
      <c r="B62" s="16">
        <v>902</v>
      </c>
      <c r="C62" s="20" t="s">
        <v>133</v>
      </c>
      <c r="D62" s="20" t="s">
        <v>165</v>
      </c>
      <c r="E62" s="20" t="s">
        <v>1206</v>
      </c>
      <c r="F62" s="20" t="s">
        <v>147</v>
      </c>
      <c r="G62" s="415">
        <f>G63</f>
        <v>61.2</v>
      </c>
      <c r="H62" s="415">
        <f>H63</f>
        <v>61.2</v>
      </c>
      <c r="I62" s="230"/>
    </row>
    <row r="63" spans="1:9" ht="31.5" x14ac:dyDescent="0.25">
      <c r="A63" s="25" t="s">
        <v>148</v>
      </c>
      <c r="B63" s="16">
        <v>902</v>
      </c>
      <c r="C63" s="20" t="s">
        <v>133</v>
      </c>
      <c r="D63" s="20" t="s">
        <v>165</v>
      </c>
      <c r="E63" s="20" t="s">
        <v>1206</v>
      </c>
      <c r="F63" s="20" t="s">
        <v>149</v>
      </c>
      <c r="G63" s="415">
        <f>'Пр.6 ведом.20'!G60</f>
        <v>61.2</v>
      </c>
      <c r="H63" s="415">
        <f t="shared" si="1"/>
        <v>61.2</v>
      </c>
      <c r="I63" s="230"/>
    </row>
    <row r="64" spans="1:9" ht="47.25" x14ac:dyDescent="0.25">
      <c r="A64" s="31" t="s">
        <v>211</v>
      </c>
      <c r="B64" s="16">
        <v>902</v>
      </c>
      <c r="C64" s="20" t="s">
        <v>133</v>
      </c>
      <c r="D64" s="20" t="s">
        <v>165</v>
      </c>
      <c r="E64" s="20" t="s">
        <v>998</v>
      </c>
      <c r="F64" s="20"/>
      <c r="G64" s="415">
        <f>G65+G67</f>
        <v>1115.9000000000001</v>
      </c>
      <c r="H64" s="415">
        <f>H65+H67</f>
        <v>1115.9000000000001</v>
      </c>
      <c r="I64" s="230"/>
    </row>
    <row r="65" spans="1:9" ht="78.75" x14ac:dyDescent="0.25">
      <c r="A65" s="25" t="s">
        <v>142</v>
      </c>
      <c r="B65" s="16">
        <v>902</v>
      </c>
      <c r="C65" s="20" t="s">
        <v>133</v>
      </c>
      <c r="D65" s="20" t="s">
        <v>165</v>
      </c>
      <c r="E65" s="20" t="s">
        <v>998</v>
      </c>
      <c r="F65" s="20" t="s">
        <v>143</v>
      </c>
      <c r="G65" s="415">
        <f>G66</f>
        <v>1026.5</v>
      </c>
      <c r="H65" s="415">
        <f>H66</f>
        <v>1026.5</v>
      </c>
      <c r="I65" s="230"/>
    </row>
    <row r="66" spans="1:9" ht="31.5" x14ac:dyDescent="0.25">
      <c r="A66" s="25" t="s">
        <v>144</v>
      </c>
      <c r="B66" s="16">
        <v>902</v>
      </c>
      <c r="C66" s="20" t="s">
        <v>133</v>
      </c>
      <c r="D66" s="20" t="s">
        <v>165</v>
      </c>
      <c r="E66" s="20" t="s">
        <v>998</v>
      </c>
      <c r="F66" s="20" t="s">
        <v>145</v>
      </c>
      <c r="G66" s="415">
        <f>'Пр.6 ведом.20'!G63</f>
        <v>1026.5</v>
      </c>
      <c r="H66" s="415">
        <f t="shared" si="1"/>
        <v>1026.5</v>
      </c>
      <c r="I66" s="230"/>
    </row>
    <row r="67" spans="1:9" ht="31.5" x14ac:dyDescent="0.25">
      <c r="A67" s="25" t="s">
        <v>213</v>
      </c>
      <c r="B67" s="16">
        <v>902</v>
      </c>
      <c r="C67" s="20" t="s">
        <v>133</v>
      </c>
      <c r="D67" s="20" t="s">
        <v>165</v>
      </c>
      <c r="E67" s="20" t="s">
        <v>998</v>
      </c>
      <c r="F67" s="20" t="s">
        <v>147</v>
      </c>
      <c r="G67" s="415">
        <f>G68</f>
        <v>89.399999999999991</v>
      </c>
      <c r="H67" s="415">
        <f>H68</f>
        <v>89.399999999999991</v>
      </c>
      <c r="I67" s="230"/>
    </row>
    <row r="68" spans="1:9" ht="31.5" x14ac:dyDescent="0.25">
      <c r="A68" s="25" t="s">
        <v>148</v>
      </c>
      <c r="B68" s="16">
        <v>902</v>
      </c>
      <c r="C68" s="20" t="s">
        <v>133</v>
      </c>
      <c r="D68" s="20" t="s">
        <v>165</v>
      </c>
      <c r="E68" s="20" t="s">
        <v>998</v>
      </c>
      <c r="F68" s="20" t="s">
        <v>149</v>
      </c>
      <c r="G68" s="415">
        <f>'Пр.6 ведом.20'!G65</f>
        <v>89.399999999999991</v>
      </c>
      <c r="H68" s="415">
        <f t="shared" si="1"/>
        <v>89.399999999999991</v>
      </c>
      <c r="I68" s="230"/>
    </row>
    <row r="69" spans="1:9" ht="47.25" x14ac:dyDescent="0.25">
      <c r="A69" s="23" t="s">
        <v>1449</v>
      </c>
      <c r="B69" s="19">
        <v>902</v>
      </c>
      <c r="C69" s="24" t="s">
        <v>133</v>
      </c>
      <c r="D69" s="24" t="s">
        <v>165</v>
      </c>
      <c r="E69" s="24" t="s">
        <v>177</v>
      </c>
      <c r="F69" s="24"/>
      <c r="G69" s="416">
        <f>G70+G74+G80</f>
        <v>523.5</v>
      </c>
      <c r="H69" s="416">
        <f>H70+H74+H80</f>
        <v>523.5</v>
      </c>
      <c r="I69" s="230"/>
    </row>
    <row r="70" spans="1:9" ht="63" x14ac:dyDescent="0.25">
      <c r="A70" s="283" t="s">
        <v>1161</v>
      </c>
      <c r="B70" s="19">
        <v>902</v>
      </c>
      <c r="C70" s="24" t="s">
        <v>133</v>
      </c>
      <c r="D70" s="24" t="s">
        <v>165</v>
      </c>
      <c r="E70" s="7" t="s">
        <v>897</v>
      </c>
      <c r="F70" s="24"/>
      <c r="G70" s="416">
        <f>G71</f>
        <v>446</v>
      </c>
      <c r="H70" s="416">
        <f>H71</f>
        <v>446</v>
      </c>
      <c r="I70" s="230"/>
    </row>
    <row r="71" spans="1:9" ht="31.5" x14ac:dyDescent="0.25">
      <c r="A71" s="29" t="s">
        <v>1160</v>
      </c>
      <c r="B71" s="16">
        <v>902</v>
      </c>
      <c r="C71" s="20" t="s">
        <v>133</v>
      </c>
      <c r="D71" s="20" t="s">
        <v>165</v>
      </c>
      <c r="E71" s="40" t="s">
        <v>889</v>
      </c>
      <c r="F71" s="20"/>
      <c r="G71" s="415">
        <f>'Пр.6 ведом.20'!G68</f>
        <v>446</v>
      </c>
      <c r="H71" s="415">
        <f t="shared" si="1"/>
        <v>446</v>
      </c>
      <c r="I71" s="230"/>
    </row>
    <row r="72" spans="1:9" ht="31.5" x14ac:dyDescent="0.25">
      <c r="A72" s="25" t="s">
        <v>146</v>
      </c>
      <c r="B72" s="16">
        <v>902</v>
      </c>
      <c r="C72" s="20" t="s">
        <v>133</v>
      </c>
      <c r="D72" s="20" t="s">
        <v>165</v>
      </c>
      <c r="E72" s="40" t="s">
        <v>889</v>
      </c>
      <c r="F72" s="20" t="s">
        <v>147</v>
      </c>
      <c r="G72" s="415">
        <f>'Пр.6 ведом.20'!G69</f>
        <v>446</v>
      </c>
      <c r="H72" s="415">
        <f t="shared" si="1"/>
        <v>446</v>
      </c>
      <c r="I72" s="230"/>
    </row>
    <row r="73" spans="1:9" ht="31.5" x14ac:dyDescent="0.25">
      <c r="A73" s="25" t="s">
        <v>148</v>
      </c>
      <c r="B73" s="16">
        <v>902</v>
      </c>
      <c r="C73" s="20" t="s">
        <v>133</v>
      </c>
      <c r="D73" s="20" t="s">
        <v>165</v>
      </c>
      <c r="E73" s="40" t="s">
        <v>889</v>
      </c>
      <c r="F73" s="20" t="s">
        <v>149</v>
      </c>
      <c r="G73" s="415">
        <f>'Пр.6 ведом.20'!G70</f>
        <v>446</v>
      </c>
      <c r="H73" s="415">
        <f t="shared" si="1"/>
        <v>446</v>
      </c>
      <c r="I73" s="230"/>
    </row>
    <row r="74" spans="1:9" ht="63" x14ac:dyDescent="0.25">
      <c r="A74" s="282" t="s">
        <v>891</v>
      </c>
      <c r="B74" s="19">
        <v>902</v>
      </c>
      <c r="C74" s="24" t="s">
        <v>133</v>
      </c>
      <c r="D74" s="24" t="s">
        <v>165</v>
      </c>
      <c r="E74" s="7" t="s">
        <v>898</v>
      </c>
      <c r="F74" s="24"/>
      <c r="G74" s="416">
        <f>G75</f>
        <v>77</v>
      </c>
      <c r="H74" s="416">
        <f>H75</f>
        <v>77</v>
      </c>
      <c r="I74" s="230"/>
    </row>
    <row r="75" spans="1:9" ht="47.25" x14ac:dyDescent="0.25">
      <c r="A75" s="180" t="s">
        <v>180</v>
      </c>
      <c r="B75" s="16">
        <v>902</v>
      </c>
      <c r="C75" s="20" t="s">
        <v>133</v>
      </c>
      <c r="D75" s="20" t="s">
        <v>165</v>
      </c>
      <c r="E75" s="40" t="s">
        <v>890</v>
      </c>
      <c r="F75" s="20"/>
      <c r="G75" s="415">
        <f>'Пр.6 ведом.20'!G72</f>
        <v>77</v>
      </c>
      <c r="H75" s="415">
        <f t="shared" si="1"/>
        <v>77</v>
      </c>
      <c r="I75" s="230"/>
    </row>
    <row r="76" spans="1:9" ht="78.75" x14ac:dyDescent="0.25">
      <c r="A76" s="25" t="s">
        <v>142</v>
      </c>
      <c r="B76" s="16">
        <v>902</v>
      </c>
      <c r="C76" s="20" t="s">
        <v>133</v>
      </c>
      <c r="D76" s="20" t="s">
        <v>165</v>
      </c>
      <c r="E76" s="40" t="s">
        <v>890</v>
      </c>
      <c r="F76" s="20" t="s">
        <v>143</v>
      </c>
      <c r="G76" s="415">
        <f>'Пр.6 ведом.20'!G73</f>
        <v>37</v>
      </c>
      <c r="H76" s="415">
        <f t="shared" si="1"/>
        <v>37</v>
      </c>
      <c r="I76" s="230"/>
    </row>
    <row r="77" spans="1:9" ht="31.5" x14ac:dyDescent="0.25">
      <c r="A77" s="25" t="s">
        <v>144</v>
      </c>
      <c r="B77" s="16">
        <v>902</v>
      </c>
      <c r="C77" s="20" t="s">
        <v>133</v>
      </c>
      <c r="D77" s="20" t="s">
        <v>165</v>
      </c>
      <c r="E77" s="40" t="s">
        <v>890</v>
      </c>
      <c r="F77" s="20" t="s">
        <v>145</v>
      </c>
      <c r="G77" s="415">
        <f>'Пр.6 ведом.20'!G74</f>
        <v>37</v>
      </c>
      <c r="H77" s="415">
        <f t="shared" si="1"/>
        <v>37</v>
      </c>
      <c r="I77" s="230"/>
    </row>
    <row r="78" spans="1:9" ht="31.5" x14ac:dyDescent="0.25">
      <c r="A78" s="25" t="s">
        <v>146</v>
      </c>
      <c r="B78" s="16">
        <v>902</v>
      </c>
      <c r="C78" s="20" t="s">
        <v>133</v>
      </c>
      <c r="D78" s="20" t="s">
        <v>165</v>
      </c>
      <c r="E78" s="40" t="s">
        <v>890</v>
      </c>
      <c r="F78" s="20" t="s">
        <v>147</v>
      </c>
      <c r="G78" s="415">
        <f>'Пр.6 ведом.20'!G75</f>
        <v>40</v>
      </c>
      <c r="H78" s="415">
        <f t="shared" ref="H78:H149" si="3">G78</f>
        <v>40</v>
      </c>
      <c r="I78" s="230"/>
    </row>
    <row r="79" spans="1:9" ht="31.5" x14ac:dyDescent="0.25">
      <c r="A79" s="25" t="s">
        <v>148</v>
      </c>
      <c r="B79" s="16">
        <v>902</v>
      </c>
      <c r="C79" s="20" t="s">
        <v>133</v>
      </c>
      <c r="D79" s="20" t="s">
        <v>165</v>
      </c>
      <c r="E79" s="40" t="s">
        <v>890</v>
      </c>
      <c r="F79" s="20" t="s">
        <v>149</v>
      </c>
      <c r="G79" s="415">
        <f>'Пр.6 ведом.20'!G76</f>
        <v>40</v>
      </c>
      <c r="H79" s="415">
        <f t="shared" si="3"/>
        <v>40</v>
      </c>
      <c r="I79" s="230"/>
    </row>
    <row r="80" spans="1:9" ht="63" x14ac:dyDescent="0.25">
      <c r="A80" s="284" t="s">
        <v>1162</v>
      </c>
      <c r="B80" s="19">
        <v>902</v>
      </c>
      <c r="C80" s="24" t="s">
        <v>133</v>
      </c>
      <c r="D80" s="24" t="s">
        <v>165</v>
      </c>
      <c r="E80" s="7" t="s">
        <v>899</v>
      </c>
      <c r="F80" s="24"/>
      <c r="G80" s="416">
        <f>G81+G84</f>
        <v>0.5</v>
      </c>
      <c r="H80" s="416">
        <f>H81+H84</f>
        <v>0.5</v>
      </c>
      <c r="I80" s="230"/>
    </row>
    <row r="81" spans="1:9" ht="47.25" x14ac:dyDescent="0.25">
      <c r="A81" s="33" t="s">
        <v>206</v>
      </c>
      <c r="B81" s="16">
        <v>902</v>
      </c>
      <c r="C81" s="20" t="s">
        <v>133</v>
      </c>
      <c r="D81" s="20" t="s">
        <v>165</v>
      </c>
      <c r="E81" s="40" t="s">
        <v>892</v>
      </c>
      <c r="F81" s="20"/>
      <c r="G81" s="415">
        <f>'Пр.6 ведом.20'!G78</f>
        <v>0.5</v>
      </c>
      <c r="H81" s="415">
        <f t="shared" si="3"/>
        <v>0.5</v>
      </c>
      <c r="I81" s="230"/>
    </row>
    <row r="82" spans="1:9" ht="31.5" x14ac:dyDescent="0.25">
      <c r="A82" s="25" t="s">
        <v>146</v>
      </c>
      <c r="B82" s="16">
        <v>902</v>
      </c>
      <c r="C82" s="20" t="s">
        <v>133</v>
      </c>
      <c r="D82" s="20" t="s">
        <v>165</v>
      </c>
      <c r="E82" s="40" t="s">
        <v>892</v>
      </c>
      <c r="F82" s="20" t="s">
        <v>147</v>
      </c>
      <c r="G82" s="415">
        <f>'Пр.6 ведом.20'!G79</f>
        <v>0.5</v>
      </c>
      <c r="H82" s="415">
        <f t="shared" si="3"/>
        <v>0.5</v>
      </c>
      <c r="I82" s="230"/>
    </row>
    <row r="83" spans="1:9" ht="31.5" x14ac:dyDescent="0.25">
      <c r="A83" s="25" t="s">
        <v>148</v>
      </c>
      <c r="B83" s="16">
        <v>902</v>
      </c>
      <c r="C83" s="20" t="s">
        <v>133</v>
      </c>
      <c r="D83" s="20" t="s">
        <v>165</v>
      </c>
      <c r="E83" s="40" t="s">
        <v>892</v>
      </c>
      <c r="F83" s="20" t="s">
        <v>149</v>
      </c>
      <c r="G83" s="415">
        <f>'Пр.6 ведом.20'!G80</f>
        <v>0.5</v>
      </c>
      <c r="H83" s="415">
        <f t="shared" si="3"/>
        <v>0.5</v>
      </c>
      <c r="I83" s="230"/>
    </row>
    <row r="84" spans="1:9" ht="47.25" hidden="1" x14ac:dyDescent="0.25">
      <c r="A84" s="33" t="s">
        <v>206</v>
      </c>
      <c r="B84" s="16">
        <v>902</v>
      </c>
      <c r="C84" s="20" t="s">
        <v>133</v>
      </c>
      <c r="D84" s="20" t="s">
        <v>165</v>
      </c>
      <c r="E84" s="20" t="s">
        <v>893</v>
      </c>
      <c r="F84" s="20"/>
      <c r="G84" s="415">
        <f>'Пр.6 ведом.20'!G81</f>
        <v>0</v>
      </c>
      <c r="H84" s="415">
        <f t="shared" si="3"/>
        <v>0</v>
      </c>
      <c r="I84" s="230"/>
    </row>
    <row r="85" spans="1:9" ht="31.5" hidden="1" x14ac:dyDescent="0.25">
      <c r="A85" s="25" t="s">
        <v>146</v>
      </c>
      <c r="B85" s="16">
        <v>902</v>
      </c>
      <c r="C85" s="20" t="s">
        <v>133</v>
      </c>
      <c r="D85" s="20" t="s">
        <v>165</v>
      </c>
      <c r="E85" s="20" t="s">
        <v>893</v>
      </c>
      <c r="F85" s="20" t="s">
        <v>147</v>
      </c>
      <c r="G85" s="415">
        <f>'Пр.6 ведом.20'!G82</f>
        <v>0</v>
      </c>
      <c r="H85" s="415">
        <f t="shared" si="3"/>
        <v>0</v>
      </c>
      <c r="I85" s="230"/>
    </row>
    <row r="86" spans="1:9" ht="31.5" hidden="1" x14ac:dyDescent="0.25">
      <c r="A86" s="25" t="s">
        <v>148</v>
      </c>
      <c r="B86" s="16">
        <v>902</v>
      </c>
      <c r="C86" s="20" t="s">
        <v>133</v>
      </c>
      <c r="D86" s="20" t="s">
        <v>165</v>
      </c>
      <c r="E86" s="20" t="s">
        <v>893</v>
      </c>
      <c r="F86" s="20" t="s">
        <v>149</v>
      </c>
      <c r="G86" s="415">
        <f>'Пр.6 ведом.20'!G83</f>
        <v>0</v>
      </c>
      <c r="H86" s="415">
        <f t="shared" si="3"/>
        <v>0</v>
      </c>
      <c r="I86" s="230"/>
    </row>
    <row r="87" spans="1:9" ht="47.25" x14ac:dyDescent="0.25">
      <c r="A87" s="23" t="s">
        <v>134</v>
      </c>
      <c r="B87" s="19">
        <v>902</v>
      </c>
      <c r="C87" s="24" t="s">
        <v>133</v>
      </c>
      <c r="D87" s="24" t="s">
        <v>135</v>
      </c>
      <c r="E87" s="24"/>
      <c r="F87" s="20"/>
      <c r="G87" s="416">
        <f>G88</f>
        <v>940</v>
      </c>
      <c r="H87" s="416">
        <f>H88</f>
        <v>940</v>
      </c>
      <c r="I87" s="230"/>
    </row>
    <row r="88" spans="1:9" ht="31.5" x14ac:dyDescent="0.25">
      <c r="A88" s="23" t="s">
        <v>992</v>
      </c>
      <c r="B88" s="19">
        <v>902</v>
      </c>
      <c r="C88" s="24" t="s">
        <v>133</v>
      </c>
      <c r="D88" s="24" t="s">
        <v>135</v>
      </c>
      <c r="E88" s="24" t="s">
        <v>906</v>
      </c>
      <c r="F88" s="24"/>
      <c r="G88" s="416">
        <f>G89</f>
        <v>940</v>
      </c>
      <c r="H88" s="416">
        <f>H89</f>
        <v>940</v>
      </c>
      <c r="I88" s="230"/>
    </row>
    <row r="89" spans="1:9" ht="15.75" x14ac:dyDescent="0.25">
      <c r="A89" s="23" t="s">
        <v>993</v>
      </c>
      <c r="B89" s="19">
        <v>902</v>
      </c>
      <c r="C89" s="24" t="s">
        <v>133</v>
      </c>
      <c r="D89" s="24" t="s">
        <v>135</v>
      </c>
      <c r="E89" s="24" t="s">
        <v>907</v>
      </c>
      <c r="F89" s="24"/>
      <c r="G89" s="416">
        <f>G90+G93</f>
        <v>940</v>
      </c>
      <c r="H89" s="416">
        <f>H90+H93</f>
        <v>940</v>
      </c>
      <c r="I89" s="230"/>
    </row>
    <row r="90" spans="1:9" ht="31.5" x14ac:dyDescent="0.25">
      <c r="A90" s="25" t="s">
        <v>969</v>
      </c>
      <c r="B90" s="16">
        <v>902</v>
      </c>
      <c r="C90" s="20" t="s">
        <v>133</v>
      </c>
      <c r="D90" s="20" t="s">
        <v>135</v>
      </c>
      <c r="E90" s="20" t="s">
        <v>908</v>
      </c>
      <c r="F90" s="20"/>
      <c r="G90" s="415">
        <f>'Пр.6 ведом.20'!G87</f>
        <v>899</v>
      </c>
      <c r="H90" s="415">
        <f t="shared" si="3"/>
        <v>899</v>
      </c>
      <c r="I90" s="230"/>
    </row>
    <row r="91" spans="1:9" ht="78.75" x14ac:dyDescent="0.25">
      <c r="A91" s="25" t="s">
        <v>142</v>
      </c>
      <c r="B91" s="16">
        <v>902</v>
      </c>
      <c r="C91" s="20" t="s">
        <v>133</v>
      </c>
      <c r="D91" s="20" t="s">
        <v>135</v>
      </c>
      <c r="E91" s="20" t="s">
        <v>908</v>
      </c>
      <c r="F91" s="20" t="s">
        <v>143</v>
      </c>
      <c r="G91" s="415">
        <f>'Пр.6 ведом.20'!G88</f>
        <v>899</v>
      </c>
      <c r="H91" s="415">
        <f t="shared" si="3"/>
        <v>899</v>
      </c>
      <c r="I91" s="230"/>
    </row>
    <row r="92" spans="1:9" ht="31.5" x14ac:dyDescent="0.25">
      <c r="A92" s="25" t="s">
        <v>144</v>
      </c>
      <c r="B92" s="16">
        <v>902</v>
      </c>
      <c r="C92" s="20" t="s">
        <v>133</v>
      </c>
      <c r="D92" s="20" t="s">
        <v>135</v>
      </c>
      <c r="E92" s="20" t="s">
        <v>908</v>
      </c>
      <c r="F92" s="20" t="s">
        <v>145</v>
      </c>
      <c r="G92" s="415">
        <f>'Пр.6 ведом.20'!G89</f>
        <v>899</v>
      </c>
      <c r="H92" s="415">
        <f t="shared" si="3"/>
        <v>899</v>
      </c>
      <c r="I92" s="230"/>
    </row>
    <row r="93" spans="1:9" ht="47.25" x14ac:dyDescent="0.25">
      <c r="A93" s="25" t="s">
        <v>886</v>
      </c>
      <c r="B93" s="16">
        <v>902</v>
      </c>
      <c r="C93" s="20" t="s">
        <v>133</v>
      </c>
      <c r="D93" s="20" t="s">
        <v>135</v>
      </c>
      <c r="E93" s="20" t="s">
        <v>910</v>
      </c>
      <c r="F93" s="20"/>
      <c r="G93" s="415">
        <f>'Пр.6 ведом.20'!G90</f>
        <v>41</v>
      </c>
      <c r="H93" s="415">
        <f t="shared" si="3"/>
        <v>41</v>
      </c>
      <c r="I93" s="230"/>
    </row>
    <row r="94" spans="1:9" ht="78.75" x14ac:dyDescent="0.25">
      <c r="A94" s="25" t="s">
        <v>142</v>
      </c>
      <c r="B94" s="16">
        <v>902</v>
      </c>
      <c r="C94" s="20" t="s">
        <v>133</v>
      </c>
      <c r="D94" s="20" t="s">
        <v>135</v>
      </c>
      <c r="E94" s="20" t="s">
        <v>910</v>
      </c>
      <c r="F94" s="20" t="s">
        <v>143</v>
      </c>
      <c r="G94" s="415">
        <f>'Пр.6 ведом.20'!G91</f>
        <v>41</v>
      </c>
      <c r="H94" s="415">
        <f t="shared" si="3"/>
        <v>41</v>
      </c>
      <c r="I94" s="230"/>
    </row>
    <row r="95" spans="1:9" ht="31.5" x14ac:dyDescent="0.25">
      <c r="A95" s="25" t="s">
        <v>144</v>
      </c>
      <c r="B95" s="16">
        <v>902</v>
      </c>
      <c r="C95" s="20" t="s">
        <v>133</v>
      </c>
      <c r="D95" s="20" t="s">
        <v>135</v>
      </c>
      <c r="E95" s="20" t="s">
        <v>910</v>
      </c>
      <c r="F95" s="20" t="s">
        <v>145</v>
      </c>
      <c r="G95" s="415">
        <f>'Пр.6 ведом.20'!G92</f>
        <v>41</v>
      </c>
      <c r="H95" s="415">
        <f t="shared" si="3"/>
        <v>41</v>
      </c>
      <c r="I95" s="230"/>
    </row>
    <row r="96" spans="1:9" s="229" customFormat="1" ht="15.75" hidden="1" x14ac:dyDescent="0.25">
      <c r="A96" s="23" t="s">
        <v>1390</v>
      </c>
      <c r="B96" s="19">
        <v>902</v>
      </c>
      <c r="C96" s="24" t="s">
        <v>133</v>
      </c>
      <c r="D96" s="24" t="s">
        <v>279</v>
      </c>
      <c r="E96" s="24"/>
      <c r="F96" s="20"/>
      <c r="G96" s="416">
        <f t="shared" ref="G96:H98" si="4">G97</f>
        <v>0</v>
      </c>
      <c r="H96" s="416">
        <f t="shared" si="4"/>
        <v>0</v>
      </c>
      <c r="I96" s="230"/>
    </row>
    <row r="97" spans="1:9" s="229" customFormat="1" ht="15.75" hidden="1" x14ac:dyDescent="0.25">
      <c r="A97" s="23" t="s">
        <v>156</v>
      </c>
      <c r="B97" s="19">
        <v>902</v>
      </c>
      <c r="C97" s="24" t="s">
        <v>133</v>
      </c>
      <c r="D97" s="24" t="s">
        <v>279</v>
      </c>
      <c r="E97" s="24" t="s">
        <v>914</v>
      </c>
      <c r="F97" s="20"/>
      <c r="G97" s="416">
        <f t="shared" si="4"/>
        <v>0</v>
      </c>
      <c r="H97" s="416">
        <f t="shared" si="4"/>
        <v>0</v>
      </c>
      <c r="I97" s="230"/>
    </row>
    <row r="98" spans="1:9" s="229" customFormat="1" ht="31.5" hidden="1" x14ac:dyDescent="0.25">
      <c r="A98" s="23" t="s">
        <v>918</v>
      </c>
      <c r="B98" s="19">
        <v>902</v>
      </c>
      <c r="C98" s="24" t="s">
        <v>133</v>
      </c>
      <c r="D98" s="24" t="s">
        <v>279</v>
      </c>
      <c r="E98" s="24" t="s">
        <v>913</v>
      </c>
      <c r="F98" s="20"/>
      <c r="G98" s="416">
        <f t="shared" si="4"/>
        <v>0</v>
      </c>
      <c r="H98" s="416">
        <f t="shared" si="4"/>
        <v>0</v>
      </c>
      <c r="I98" s="230"/>
    </row>
    <row r="99" spans="1:9" s="229" customFormat="1" ht="15.75" hidden="1" x14ac:dyDescent="0.25">
      <c r="A99" s="45" t="s">
        <v>214</v>
      </c>
      <c r="B99" s="16">
        <v>902</v>
      </c>
      <c r="C99" s="20" t="s">
        <v>133</v>
      </c>
      <c r="D99" s="20" t="s">
        <v>279</v>
      </c>
      <c r="E99" s="20" t="s">
        <v>1389</v>
      </c>
      <c r="F99" s="20"/>
      <c r="G99" s="415">
        <f>G100+G102</f>
        <v>0</v>
      </c>
      <c r="H99" s="415">
        <f>H100+H102</f>
        <v>0</v>
      </c>
      <c r="I99" s="230"/>
    </row>
    <row r="100" spans="1:9" s="229" customFormat="1" ht="78.75" hidden="1" x14ac:dyDescent="0.25">
      <c r="A100" s="25" t="s">
        <v>142</v>
      </c>
      <c r="B100" s="16">
        <v>902</v>
      </c>
      <c r="C100" s="20" t="s">
        <v>133</v>
      </c>
      <c r="D100" s="20" t="s">
        <v>279</v>
      </c>
      <c r="E100" s="20" t="s">
        <v>1389</v>
      </c>
      <c r="F100" s="20" t="s">
        <v>143</v>
      </c>
      <c r="G100" s="415">
        <f>G101</f>
        <v>0</v>
      </c>
      <c r="H100" s="415">
        <f>H101</f>
        <v>0</v>
      </c>
      <c r="I100" s="230"/>
    </row>
    <row r="101" spans="1:9" s="229" customFormat="1" ht="31.5" hidden="1" x14ac:dyDescent="0.25">
      <c r="A101" s="25" t="s">
        <v>144</v>
      </c>
      <c r="B101" s="16">
        <v>902</v>
      </c>
      <c r="C101" s="20" t="s">
        <v>133</v>
      </c>
      <c r="D101" s="20" t="s">
        <v>279</v>
      </c>
      <c r="E101" s="20" t="s">
        <v>1389</v>
      </c>
      <c r="F101" s="20" t="s">
        <v>145</v>
      </c>
      <c r="G101" s="415">
        <v>0</v>
      </c>
      <c r="H101" s="415">
        <v>0</v>
      </c>
      <c r="I101" s="230"/>
    </row>
    <row r="102" spans="1:9" s="229" customFormat="1" ht="31.5" hidden="1" x14ac:dyDescent="0.25">
      <c r="A102" s="25" t="s">
        <v>213</v>
      </c>
      <c r="B102" s="16">
        <v>902</v>
      </c>
      <c r="C102" s="20" t="s">
        <v>133</v>
      </c>
      <c r="D102" s="20" t="s">
        <v>279</v>
      </c>
      <c r="E102" s="20" t="s">
        <v>1389</v>
      </c>
      <c r="F102" s="20" t="s">
        <v>147</v>
      </c>
      <c r="G102" s="415">
        <f>G103</f>
        <v>0</v>
      </c>
      <c r="H102" s="415">
        <f>H103</f>
        <v>0</v>
      </c>
      <c r="I102" s="230"/>
    </row>
    <row r="103" spans="1:9" s="229" customFormat="1" ht="31.5" hidden="1" x14ac:dyDescent="0.25">
      <c r="A103" s="25" t="s">
        <v>148</v>
      </c>
      <c r="B103" s="16">
        <v>902</v>
      </c>
      <c r="C103" s="20" t="s">
        <v>133</v>
      </c>
      <c r="D103" s="20" t="s">
        <v>279</v>
      </c>
      <c r="E103" s="20" t="s">
        <v>1389</v>
      </c>
      <c r="F103" s="20" t="s">
        <v>149</v>
      </c>
      <c r="G103" s="415">
        <v>0</v>
      </c>
      <c r="H103" s="415">
        <v>0</v>
      </c>
      <c r="I103" s="230"/>
    </row>
    <row r="104" spans="1:9" ht="15.75" x14ac:dyDescent="0.25">
      <c r="A104" s="23" t="s">
        <v>154</v>
      </c>
      <c r="B104" s="19">
        <v>902</v>
      </c>
      <c r="C104" s="24" t="s">
        <v>133</v>
      </c>
      <c r="D104" s="24" t="s">
        <v>155</v>
      </c>
      <c r="E104" s="24"/>
      <c r="F104" s="24"/>
      <c r="G104" s="416">
        <f>G115+G124+G105+G129</f>
        <v>6860</v>
      </c>
      <c r="H104" s="416">
        <f>H115+H124+H105+H129</f>
        <v>6860</v>
      </c>
      <c r="I104" s="230"/>
    </row>
    <row r="105" spans="1:9" ht="15.75" x14ac:dyDescent="0.25">
      <c r="A105" s="23" t="s">
        <v>156</v>
      </c>
      <c r="B105" s="19">
        <v>902</v>
      </c>
      <c r="C105" s="24" t="s">
        <v>133</v>
      </c>
      <c r="D105" s="24" t="s">
        <v>155</v>
      </c>
      <c r="E105" s="24" t="s">
        <v>914</v>
      </c>
      <c r="F105" s="24"/>
      <c r="G105" s="416">
        <f>G106</f>
        <v>6680</v>
      </c>
      <c r="H105" s="416">
        <f>H106</f>
        <v>6680</v>
      </c>
      <c r="I105" s="230"/>
    </row>
    <row r="106" spans="1:9" ht="31.5" x14ac:dyDescent="0.25">
      <c r="A106" s="23" t="s">
        <v>999</v>
      </c>
      <c r="B106" s="19">
        <v>902</v>
      </c>
      <c r="C106" s="24" t="s">
        <v>133</v>
      </c>
      <c r="D106" s="24" t="s">
        <v>155</v>
      </c>
      <c r="E106" s="24" t="s">
        <v>915</v>
      </c>
      <c r="F106" s="24"/>
      <c r="G106" s="416">
        <f>G107+G112</f>
        <v>6680</v>
      </c>
      <c r="H106" s="416">
        <f>H107+H112</f>
        <v>6680</v>
      </c>
      <c r="I106" s="230"/>
    </row>
    <row r="107" spans="1:9" ht="31.5" x14ac:dyDescent="0.25">
      <c r="A107" s="25" t="s">
        <v>1005</v>
      </c>
      <c r="B107" s="16">
        <v>902</v>
      </c>
      <c r="C107" s="20" t="s">
        <v>133</v>
      </c>
      <c r="D107" s="20" t="s">
        <v>155</v>
      </c>
      <c r="E107" s="20" t="s">
        <v>916</v>
      </c>
      <c r="F107" s="20"/>
      <c r="G107" s="415">
        <f>'Пр.6 ведом.20'!G104</f>
        <v>6554</v>
      </c>
      <c r="H107" s="415">
        <f t="shared" si="3"/>
        <v>6554</v>
      </c>
      <c r="I107" s="230"/>
    </row>
    <row r="108" spans="1:9" ht="78.75" x14ac:dyDescent="0.25">
      <c r="A108" s="25" t="s">
        <v>142</v>
      </c>
      <c r="B108" s="16">
        <v>902</v>
      </c>
      <c r="C108" s="20" t="s">
        <v>133</v>
      </c>
      <c r="D108" s="20" t="s">
        <v>155</v>
      </c>
      <c r="E108" s="20" t="s">
        <v>916</v>
      </c>
      <c r="F108" s="20" t="s">
        <v>143</v>
      </c>
      <c r="G108" s="415">
        <f>'Пр.6 ведом.20'!G105</f>
        <v>5343</v>
      </c>
      <c r="H108" s="415">
        <f t="shared" si="3"/>
        <v>5343</v>
      </c>
      <c r="I108" s="230"/>
    </row>
    <row r="109" spans="1:9" ht="15.75" x14ac:dyDescent="0.25">
      <c r="A109" s="25" t="s">
        <v>223</v>
      </c>
      <c r="B109" s="16">
        <v>902</v>
      </c>
      <c r="C109" s="20" t="s">
        <v>133</v>
      </c>
      <c r="D109" s="20" t="s">
        <v>155</v>
      </c>
      <c r="E109" s="20" t="s">
        <v>916</v>
      </c>
      <c r="F109" s="20" t="s">
        <v>224</v>
      </c>
      <c r="G109" s="415">
        <f>'Пр.6 ведом.20'!G106</f>
        <v>5343</v>
      </c>
      <c r="H109" s="415">
        <f t="shared" si="3"/>
        <v>5343</v>
      </c>
      <c r="I109" s="230"/>
    </row>
    <row r="110" spans="1:9" ht="31.5" x14ac:dyDescent="0.25">
      <c r="A110" s="25" t="s">
        <v>213</v>
      </c>
      <c r="B110" s="16">
        <v>902</v>
      </c>
      <c r="C110" s="20" t="s">
        <v>133</v>
      </c>
      <c r="D110" s="20" t="s">
        <v>155</v>
      </c>
      <c r="E110" s="20" t="s">
        <v>916</v>
      </c>
      <c r="F110" s="20" t="s">
        <v>147</v>
      </c>
      <c r="G110" s="415">
        <f>'Пр.6 ведом.20'!G107</f>
        <v>1211</v>
      </c>
      <c r="H110" s="415">
        <f t="shared" si="3"/>
        <v>1211</v>
      </c>
      <c r="I110" s="230"/>
    </row>
    <row r="111" spans="1:9" ht="31.5" x14ac:dyDescent="0.25">
      <c r="A111" s="25" t="s">
        <v>148</v>
      </c>
      <c r="B111" s="16">
        <v>902</v>
      </c>
      <c r="C111" s="20" t="s">
        <v>133</v>
      </c>
      <c r="D111" s="20" t="s">
        <v>155</v>
      </c>
      <c r="E111" s="20" t="s">
        <v>916</v>
      </c>
      <c r="F111" s="20" t="s">
        <v>149</v>
      </c>
      <c r="G111" s="415">
        <f>'Пр.6 ведом.20'!G108</f>
        <v>1211</v>
      </c>
      <c r="H111" s="415">
        <f t="shared" si="3"/>
        <v>1211</v>
      </c>
      <c r="I111" s="230"/>
    </row>
    <row r="112" spans="1:9" ht="47.25" x14ac:dyDescent="0.25">
      <c r="A112" s="25" t="s">
        <v>886</v>
      </c>
      <c r="B112" s="16">
        <v>902</v>
      </c>
      <c r="C112" s="20" t="s">
        <v>133</v>
      </c>
      <c r="D112" s="20" t="s">
        <v>155</v>
      </c>
      <c r="E112" s="20" t="s">
        <v>917</v>
      </c>
      <c r="F112" s="20"/>
      <c r="G112" s="415">
        <f>'Пр.6 ведом.20'!G109</f>
        <v>126</v>
      </c>
      <c r="H112" s="415">
        <f t="shared" si="3"/>
        <v>126</v>
      </c>
      <c r="I112" s="230"/>
    </row>
    <row r="113" spans="1:9" ht="78.75" x14ac:dyDescent="0.25">
      <c r="A113" s="25" t="s">
        <v>142</v>
      </c>
      <c r="B113" s="16">
        <v>902</v>
      </c>
      <c r="C113" s="20" t="s">
        <v>133</v>
      </c>
      <c r="D113" s="20" t="s">
        <v>155</v>
      </c>
      <c r="E113" s="20" t="s">
        <v>917</v>
      </c>
      <c r="F113" s="20" t="s">
        <v>143</v>
      </c>
      <c r="G113" s="415">
        <f>'Пр.6 ведом.20'!G110</f>
        <v>126</v>
      </c>
      <c r="H113" s="415">
        <f t="shared" si="3"/>
        <v>126</v>
      </c>
      <c r="I113" s="230"/>
    </row>
    <row r="114" spans="1:9" ht="15.75" x14ac:dyDescent="0.25">
      <c r="A114" s="25" t="s">
        <v>223</v>
      </c>
      <c r="B114" s="16">
        <v>902</v>
      </c>
      <c r="C114" s="20" t="s">
        <v>133</v>
      </c>
      <c r="D114" s="20" t="s">
        <v>155</v>
      </c>
      <c r="E114" s="20" t="s">
        <v>917</v>
      </c>
      <c r="F114" s="20" t="s">
        <v>224</v>
      </c>
      <c r="G114" s="415">
        <f>'Пр.6 ведом.20'!G111</f>
        <v>126</v>
      </c>
      <c r="H114" s="415">
        <f t="shared" si="3"/>
        <v>126</v>
      </c>
      <c r="I114" s="230"/>
    </row>
    <row r="115" spans="1:9" ht="63" x14ac:dyDescent="0.25">
      <c r="A115" s="41" t="s">
        <v>1448</v>
      </c>
      <c r="B115" s="19">
        <v>902</v>
      </c>
      <c r="C115" s="24" t="s">
        <v>133</v>
      </c>
      <c r="D115" s="24" t="s">
        <v>155</v>
      </c>
      <c r="E115" s="24" t="s">
        <v>727</v>
      </c>
      <c r="F115" s="285"/>
      <c r="G115" s="416">
        <f>G116+G120</f>
        <v>40</v>
      </c>
      <c r="H115" s="416">
        <f>H116+H120</f>
        <v>40</v>
      </c>
      <c r="I115" s="230"/>
    </row>
    <row r="116" spans="1:9" ht="47.25" x14ac:dyDescent="0.25">
      <c r="A116" s="273" t="s">
        <v>894</v>
      </c>
      <c r="B116" s="19">
        <v>902</v>
      </c>
      <c r="C116" s="24" t="s">
        <v>133</v>
      </c>
      <c r="D116" s="24" t="s">
        <v>155</v>
      </c>
      <c r="E116" s="24" t="s">
        <v>900</v>
      </c>
      <c r="F116" s="285"/>
      <c r="G116" s="416">
        <f t="shared" ref="G116:H118" si="5">G117</f>
        <v>25</v>
      </c>
      <c r="H116" s="416">
        <f t="shared" si="5"/>
        <v>25</v>
      </c>
      <c r="I116" s="230"/>
    </row>
    <row r="117" spans="1:9" ht="31.5" x14ac:dyDescent="0.25">
      <c r="A117" s="101" t="s">
        <v>798</v>
      </c>
      <c r="B117" s="16">
        <v>902</v>
      </c>
      <c r="C117" s="20" t="s">
        <v>133</v>
      </c>
      <c r="D117" s="20" t="s">
        <v>155</v>
      </c>
      <c r="E117" s="20" t="s">
        <v>895</v>
      </c>
      <c r="F117" s="32"/>
      <c r="G117" s="415">
        <f t="shared" si="5"/>
        <v>25</v>
      </c>
      <c r="H117" s="415">
        <f t="shared" si="5"/>
        <v>25</v>
      </c>
      <c r="I117" s="230"/>
    </row>
    <row r="118" spans="1:9" ht="31.5" x14ac:dyDescent="0.25">
      <c r="A118" s="25" t="s">
        <v>146</v>
      </c>
      <c r="B118" s="16">
        <v>902</v>
      </c>
      <c r="C118" s="20" t="s">
        <v>133</v>
      </c>
      <c r="D118" s="20" t="s">
        <v>155</v>
      </c>
      <c r="E118" s="20" t="s">
        <v>895</v>
      </c>
      <c r="F118" s="32" t="s">
        <v>147</v>
      </c>
      <c r="G118" s="415">
        <f t="shared" si="5"/>
        <v>25</v>
      </c>
      <c r="H118" s="415">
        <f t="shared" si="5"/>
        <v>25</v>
      </c>
      <c r="I118" s="230"/>
    </row>
    <row r="119" spans="1:9" ht="31.5" x14ac:dyDescent="0.25">
      <c r="A119" s="25" t="s">
        <v>148</v>
      </c>
      <c r="B119" s="16">
        <v>902</v>
      </c>
      <c r="C119" s="20" t="s">
        <v>133</v>
      </c>
      <c r="D119" s="20" t="s">
        <v>155</v>
      </c>
      <c r="E119" s="20" t="s">
        <v>895</v>
      </c>
      <c r="F119" s="32" t="s">
        <v>149</v>
      </c>
      <c r="G119" s="415">
        <v>25</v>
      </c>
      <c r="H119" s="415">
        <v>25</v>
      </c>
      <c r="I119" s="230"/>
    </row>
    <row r="120" spans="1:9" ht="31.5" x14ac:dyDescent="0.25">
      <c r="A120" s="274" t="s">
        <v>1195</v>
      </c>
      <c r="B120" s="19">
        <v>902</v>
      </c>
      <c r="C120" s="24" t="s">
        <v>133</v>
      </c>
      <c r="D120" s="24" t="s">
        <v>155</v>
      </c>
      <c r="E120" s="24" t="s">
        <v>901</v>
      </c>
      <c r="F120" s="285"/>
      <c r="G120" s="416">
        <f>'Пр.6 ведом.20'!G117</f>
        <v>15</v>
      </c>
      <c r="H120" s="416">
        <f t="shared" si="3"/>
        <v>15</v>
      </c>
      <c r="I120" s="230"/>
    </row>
    <row r="121" spans="1:9" ht="31.5" x14ac:dyDescent="0.25">
      <c r="A121" s="101" t="s">
        <v>799</v>
      </c>
      <c r="B121" s="16">
        <v>902</v>
      </c>
      <c r="C121" s="20" t="s">
        <v>133</v>
      </c>
      <c r="D121" s="20" t="s">
        <v>155</v>
      </c>
      <c r="E121" s="20" t="s">
        <v>896</v>
      </c>
      <c r="F121" s="32"/>
      <c r="G121" s="415">
        <f>'Пр.6 ведом.20'!G118</f>
        <v>15</v>
      </c>
      <c r="H121" s="415">
        <f t="shared" si="3"/>
        <v>15</v>
      </c>
      <c r="I121" s="230"/>
    </row>
    <row r="122" spans="1:9" ht="31.5" x14ac:dyDescent="0.25">
      <c r="A122" s="25" t="s">
        <v>146</v>
      </c>
      <c r="B122" s="16">
        <v>902</v>
      </c>
      <c r="C122" s="20" t="s">
        <v>133</v>
      </c>
      <c r="D122" s="20" t="s">
        <v>155</v>
      </c>
      <c r="E122" s="20" t="s">
        <v>896</v>
      </c>
      <c r="F122" s="32" t="s">
        <v>147</v>
      </c>
      <c r="G122" s="415">
        <f>'Пр.6 ведом.20'!G119</f>
        <v>15</v>
      </c>
      <c r="H122" s="415">
        <f t="shared" si="3"/>
        <v>15</v>
      </c>
      <c r="I122" s="230"/>
    </row>
    <row r="123" spans="1:9" ht="31.5" x14ac:dyDescent="0.25">
      <c r="A123" s="25" t="s">
        <v>148</v>
      </c>
      <c r="B123" s="16">
        <v>902</v>
      </c>
      <c r="C123" s="20" t="s">
        <v>133</v>
      </c>
      <c r="D123" s="20" t="s">
        <v>155</v>
      </c>
      <c r="E123" s="20" t="s">
        <v>896</v>
      </c>
      <c r="F123" s="32" t="s">
        <v>149</v>
      </c>
      <c r="G123" s="415">
        <f>'Пр.6 ведом.20'!G120</f>
        <v>15</v>
      </c>
      <c r="H123" s="415">
        <f t="shared" si="3"/>
        <v>15</v>
      </c>
      <c r="I123" s="230"/>
    </row>
    <row r="124" spans="1:9" ht="78.75" x14ac:dyDescent="0.25">
      <c r="A124" s="41" t="s">
        <v>1447</v>
      </c>
      <c r="B124" s="19">
        <v>902</v>
      </c>
      <c r="C124" s="8" t="s">
        <v>133</v>
      </c>
      <c r="D124" s="8" t="s">
        <v>155</v>
      </c>
      <c r="E124" s="340" t="s">
        <v>862</v>
      </c>
      <c r="F124" s="8"/>
      <c r="G124" s="416">
        <f t="shared" ref="G124:H127" si="6">G125</f>
        <v>40</v>
      </c>
      <c r="H124" s="416">
        <f t="shared" si="6"/>
        <v>40</v>
      </c>
      <c r="I124" s="230"/>
    </row>
    <row r="125" spans="1:9" ht="47.25" x14ac:dyDescent="0.25">
      <c r="A125" s="275" t="s">
        <v>902</v>
      </c>
      <c r="B125" s="19">
        <v>902</v>
      </c>
      <c r="C125" s="8" t="s">
        <v>133</v>
      </c>
      <c r="D125" s="8" t="s">
        <v>155</v>
      </c>
      <c r="E125" s="214" t="s">
        <v>1273</v>
      </c>
      <c r="F125" s="8"/>
      <c r="G125" s="416">
        <f t="shared" si="6"/>
        <v>40</v>
      </c>
      <c r="H125" s="416">
        <f t="shared" si="6"/>
        <v>40</v>
      </c>
      <c r="I125" s="230"/>
    </row>
    <row r="126" spans="1:9" ht="31.5" x14ac:dyDescent="0.25">
      <c r="A126" s="100" t="s">
        <v>186</v>
      </c>
      <c r="B126" s="16">
        <v>902</v>
      </c>
      <c r="C126" s="9" t="s">
        <v>133</v>
      </c>
      <c r="D126" s="9" t="s">
        <v>155</v>
      </c>
      <c r="E126" s="5" t="s">
        <v>903</v>
      </c>
      <c r="F126" s="9"/>
      <c r="G126" s="415">
        <f t="shared" si="6"/>
        <v>40</v>
      </c>
      <c r="H126" s="415">
        <f t="shared" si="6"/>
        <v>40</v>
      </c>
      <c r="I126" s="230"/>
    </row>
    <row r="127" spans="1:9" ht="31.5" x14ac:dyDescent="0.25">
      <c r="A127" s="25" t="s">
        <v>146</v>
      </c>
      <c r="B127" s="16">
        <v>902</v>
      </c>
      <c r="C127" s="9" t="s">
        <v>133</v>
      </c>
      <c r="D127" s="9" t="s">
        <v>155</v>
      </c>
      <c r="E127" s="5" t="s">
        <v>903</v>
      </c>
      <c r="F127" s="9" t="s">
        <v>147</v>
      </c>
      <c r="G127" s="415">
        <f t="shared" si="6"/>
        <v>40</v>
      </c>
      <c r="H127" s="415">
        <f t="shared" si="6"/>
        <v>40</v>
      </c>
      <c r="I127" s="230"/>
    </row>
    <row r="128" spans="1:9" ht="31.5" x14ac:dyDescent="0.25">
      <c r="A128" s="25" t="s">
        <v>148</v>
      </c>
      <c r="B128" s="16">
        <v>902</v>
      </c>
      <c r="C128" s="9" t="s">
        <v>133</v>
      </c>
      <c r="D128" s="9" t="s">
        <v>155</v>
      </c>
      <c r="E128" s="5" t="s">
        <v>903</v>
      </c>
      <c r="F128" s="9" t="s">
        <v>149</v>
      </c>
      <c r="G128" s="415">
        <v>40</v>
      </c>
      <c r="H128" s="415">
        <v>40</v>
      </c>
      <c r="I128" s="230"/>
    </row>
    <row r="129" spans="1:9" ht="63" x14ac:dyDescent="0.25">
      <c r="A129" s="41" t="s">
        <v>1446</v>
      </c>
      <c r="B129" s="19">
        <v>902</v>
      </c>
      <c r="C129" s="8" t="s">
        <v>133</v>
      </c>
      <c r="D129" s="8" t="s">
        <v>155</v>
      </c>
      <c r="E129" s="214" t="s">
        <v>863</v>
      </c>
      <c r="F129" s="8"/>
      <c r="G129" s="416">
        <f>G131</f>
        <v>100</v>
      </c>
      <c r="H129" s="416">
        <f>H131</f>
        <v>100</v>
      </c>
      <c r="I129" s="230"/>
    </row>
    <row r="130" spans="1:9" ht="31.5" x14ac:dyDescent="0.25">
      <c r="A130" s="58" t="s">
        <v>904</v>
      </c>
      <c r="B130" s="19">
        <v>902</v>
      </c>
      <c r="C130" s="8" t="s">
        <v>133</v>
      </c>
      <c r="D130" s="8" t="s">
        <v>155</v>
      </c>
      <c r="E130" s="214" t="s">
        <v>912</v>
      </c>
      <c r="F130" s="8"/>
      <c r="G130" s="416">
        <f t="shared" ref="G130:H132" si="7">G131</f>
        <v>100</v>
      </c>
      <c r="H130" s="416">
        <f t="shared" si="7"/>
        <v>100</v>
      </c>
      <c r="I130" s="230"/>
    </row>
    <row r="131" spans="1:9" ht="15.75" x14ac:dyDescent="0.25">
      <c r="A131" s="45" t="s">
        <v>868</v>
      </c>
      <c r="B131" s="16">
        <v>902</v>
      </c>
      <c r="C131" s="9" t="s">
        <v>133</v>
      </c>
      <c r="D131" s="9" t="s">
        <v>155</v>
      </c>
      <c r="E131" s="5" t="s">
        <v>905</v>
      </c>
      <c r="F131" s="9"/>
      <c r="G131" s="415">
        <f t="shared" si="7"/>
        <v>100</v>
      </c>
      <c r="H131" s="415">
        <f t="shared" si="7"/>
        <v>100</v>
      </c>
      <c r="I131" s="230"/>
    </row>
    <row r="132" spans="1:9" ht="31.5" x14ac:dyDescent="0.25">
      <c r="A132" s="25" t="s">
        <v>146</v>
      </c>
      <c r="B132" s="16">
        <v>902</v>
      </c>
      <c r="C132" s="9" t="s">
        <v>133</v>
      </c>
      <c r="D132" s="9" t="s">
        <v>155</v>
      </c>
      <c r="E132" s="5" t="s">
        <v>905</v>
      </c>
      <c r="F132" s="9" t="s">
        <v>147</v>
      </c>
      <c r="G132" s="415">
        <f t="shared" si="7"/>
        <v>100</v>
      </c>
      <c r="H132" s="415">
        <f t="shared" si="7"/>
        <v>100</v>
      </c>
      <c r="I132" s="230"/>
    </row>
    <row r="133" spans="1:9" ht="31.5" x14ac:dyDescent="0.25">
      <c r="A133" s="25" t="s">
        <v>148</v>
      </c>
      <c r="B133" s="16">
        <v>902</v>
      </c>
      <c r="C133" s="9" t="s">
        <v>133</v>
      </c>
      <c r="D133" s="9" t="s">
        <v>155</v>
      </c>
      <c r="E133" s="5" t="s">
        <v>905</v>
      </c>
      <c r="F133" s="9" t="s">
        <v>149</v>
      </c>
      <c r="G133" s="415">
        <v>100</v>
      </c>
      <c r="H133" s="415">
        <v>100</v>
      </c>
      <c r="I133" s="230"/>
    </row>
    <row r="134" spans="1:9" ht="15.75" hidden="1" x14ac:dyDescent="0.25">
      <c r="A134" s="23" t="s">
        <v>227</v>
      </c>
      <c r="B134" s="19">
        <v>902</v>
      </c>
      <c r="C134" s="24" t="s">
        <v>228</v>
      </c>
      <c r="D134" s="24"/>
      <c r="E134" s="24"/>
      <c r="F134" s="24"/>
      <c r="G134" s="416">
        <f t="shared" ref="G134:H137" si="8">G135</f>
        <v>0</v>
      </c>
      <c r="H134" s="416">
        <f t="shared" si="8"/>
        <v>0</v>
      </c>
      <c r="I134" s="230"/>
    </row>
    <row r="135" spans="1:9" ht="15.75" hidden="1" x14ac:dyDescent="0.25">
      <c r="A135" s="23" t="s">
        <v>233</v>
      </c>
      <c r="B135" s="19">
        <v>902</v>
      </c>
      <c r="C135" s="24" t="s">
        <v>228</v>
      </c>
      <c r="D135" s="24" t="s">
        <v>234</v>
      </c>
      <c r="E135" s="24"/>
      <c r="F135" s="24"/>
      <c r="G135" s="416">
        <f t="shared" si="8"/>
        <v>0</v>
      </c>
      <c r="H135" s="416">
        <f t="shared" si="8"/>
        <v>0</v>
      </c>
      <c r="I135" s="230"/>
    </row>
    <row r="136" spans="1:9" ht="15.75" hidden="1" x14ac:dyDescent="0.25">
      <c r="A136" s="23" t="s">
        <v>156</v>
      </c>
      <c r="B136" s="19">
        <v>902</v>
      </c>
      <c r="C136" s="24" t="s">
        <v>228</v>
      </c>
      <c r="D136" s="24" t="s">
        <v>234</v>
      </c>
      <c r="E136" s="24" t="s">
        <v>914</v>
      </c>
      <c r="F136" s="24"/>
      <c r="G136" s="416">
        <f t="shared" si="8"/>
        <v>0</v>
      </c>
      <c r="H136" s="416">
        <f t="shared" si="8"/>
        <v>0</v>
      </c>
      <c r="I136" s="230"/>
    </row>
    <row r="137" spans="1:9" ht="31.5" hidden="1" x14ac:dyDescent="0.25">
      <c r="A137" s="23" t="s">
        <v>918</v>
      </c>
      <c r="B137" s="19">
        <v>902</v>
      </c>
      <c r="C137" s="24" t="s">
        <v>228</v>
      </c>
      <c r="D137" s="24" t="s">
        <v>234</v>
      </c>
      <c r="E137" s="24" t="s">
        <v>913</v>
      </c>
      <c r="F137" s="24"/>
      <c r="G137" s="416">
        <f t="shared" si="8"/>
        <v>0</v>
      </c>
      <c r="H137" s="416">
        <f t="shared" si="8"/>
        <v>0</v>
      </c>
      <c r="I137" s="230"/>
    </row>
    <row r="138" spans="1:9" ht="15.75" hidden="1" x14ac:dyDescent="0.25">
      <c r="A138" s="25" t="s">
        <v>235</v>
      </c>
      <c r="B138" s="16">
        <v>902</v>
      </c>
      <c r="C138" s="20" t="s">
        <v>228</v>
      </c>
      <c r="D138" s="20" t="s">
        <v>234</v>
      </c>
      <c r="E138" s="20" t="s">
        <v>919</v>
      </c>
      <c r="F138" s="20"/>
      <c r="G138" s="415">
        <f>'Пр.6 ведом.20'!G135</f>
        <v>0</v>
      </c>
      <c r="H138" s="415">
        <f t="shared" si="3"/>
        <v>0</v>
      </c>
      <c r="I138" s="230"/>
    </row>
    <row r="139" spans="1:9" ht="31.5" hidden="1" x14ac:dyDescent="0.25">
      <c r="A139" s="25" t="s">
        <v>213</v>
      </c>
      <c r="B139" s="16">
        <v>902</v>
      </c>
      <c r="C139" s="20" t="s">
        <v>228</v>
      </c>
      <c r="D139" s="20" t="s">
        <v>234</v>
      </c>
      <c r="E139" s="20" t="s">
        <v>919</v>
      </c>
      <c r="F139" s="20" t="s">
        <v>147</v>
      </c>
      <c r="G139" s="415">
        <f>'Пр.6 ведом.20'!G136</f>
        <v>0</v>
      </c>
      <c r="H139" s="415">
        <f t="shared" si="3"/>
        <v>0</v>
      </c>
      <c r="I139" s="230"/>
    </row>
    <row r="140" spans="1:9" ht="31.5" hidden="1" x14ac:dyDescent="0.25">
      <c r="A140" s="25" t="s">
        <v>148</v>
      </c>
      <c r="B140" s="16">
        <v>902</v>
      </c>
      <c r="C140" s="20" t="s">
        <v>228</v>
      </c>
      <c r="D140" s="20" t="s">
        <v>234</v>
      </c>
      <c r="E140" s="20" t="s">
        <v>919</v>
      </c>
      <c r="F140" s="20" t="s">
        <v>149</v>
      </c>
      <c r="G140" s="415">
        <f>'Пр.6 ведом.20'!G137</f>
        <v>0</v>
      </c>
      <c r="H140" s="415">
        <f t="shared" si="3"/>
        <v>0</v>
      </c>
      <c r="I140" s="230"/>
    </row>
    <row r="141" spans="1:9" ht="31.5" x14ac:dyDescent="0.25">
      <c r="A141" s="23" t="s">
        <v>237</v>
      </c>
      <c r="B141" s="19">
        <v>902</v>
      </c>
      <c r="C141" s="24" t="s">
        <v>230</v>
      </c>
      <c r="D141" s="24"/>
      <c r="E141" s="24"/>
      <c r="F141" s="24"/>
      <c r="G141" s="416">
        <f>G142</f>
        <v>7922</v>
      </c>
      <c r="H141" s="416">
        <f>H142</f>
        <v>7922</v>
      </c>
      <c r="I141" s="230"/>
    </row>
    <row r="142" spans="1:9" ht="47.25" x14ac:dyDescent="0.25">
      <c r="A142" s="23" t="s">
        <v>238</v>
      </c>
      <c r="B142" s="19">
        <v>902</v>
      </c>
      <c r="C142" s="24" t="s">
        <v>230</v>
      </c>
      <c r="D142" s="24" t="s">
        <v>234</v>
      </c>
      <c r="E142" s="20"/>
      <c r="F142" s="20"/>
      <c r="G142" s="416">
        <f>G143</f>
        <v>7922</v>
      </c>
      <c r="H142" s="416">
        <f>H143</f>
        <v>7922</v>
      </c>
      <c r="I142" s="230"/>
    </row>
    <row r="143" spans="1:9" ht="15.75" x14ac:dyDescent="0.25">
      <c r="A143" s="23" t="s">
        <v>156</v>
      </c>
      <c r="B143" s="19">
        <v>902</v>
      </c>
      <c r="C143" s="24" t="s">
        <v>230</v>
      </c>
      <c r="D143" s="24" t="s">
        <v>234</v>
      </c>
      <c r="E143" s="24" t="s">
        <v>914</v>
      </c>
      <c r="F143" s="24"/>
      <c r="G143" s="416">
        <f>G144+G151</f>
        <v>7922</v>
      </c>
      <c r="H143" s="416">
        <f>H144+H151</f>
        <v>7922</v>
      </c>
      <c r="I143" s="230"/>
    </row>
    <row r="144" spans="1:9" ht="31.5" x14ac:dyDescent="0.25">
      <c r="A144" s="23" t="s">
        <v>918</v>
      </c>
      <c r="B144" s="19">
        <v>902</v>
      </c>
      <c r="C144" s="24" t="s">
        <v>230</v>
      </c>
      <c r="D144" s="24" t="s">
        <v>234</v>
      </c>
      <c r="E144" s="24" t="s">
        <v>913</v>
      </c>
      <c r="F144" s="24"/>
      <c r="G144" s="416">
        <f>G145+G148</f>
        <v>1982</v>
      </c>
      <c r="H144" s="416">
        <f>H145+H148</f>
        <v>1982</v>
      </c>
      <c r="I144" s="230"/>
    </row>
    <row r="145" spans="1:9" ht="47.25" x14ac:dyDescent="0.25">
      <c r="A145" s="25" t="s">
        <v>239</v>
      </c>
      <c r="B145" s="16">
        <v>902</v>
      </c>
      <c r="C145" s="20" t="s">
        <v>230</v>
      </c>
      <c r="D145" s="20" t="s">
        <v>234</v>
      </c>
      <c r="E145" s="20" t="s">
        <v>923</v>
      </c>
      <c r="F145" s="20"/>
      <c r="G145" s="415">
        <f>'Пр.6 ведом.20'!G142</f>
        <v>1785</v>
      </c>
      <c r="H145" s="415">
        <f t="shared" si="3"/>
        <v>1785</v>
      </c>
      <c r="I145" s="230"/>
    </row>
    <row r="146" spans="1:9" ht="31.5" x14ac:dyDescent="0.25">
      <c r="A146" s="25" t="s">
        <v>213</v>
      </c>
      <c r="B146" s="16">
        <v>902</v>
      </c>
      <c r="C146" s="20" t="s">
        <v>230</v>
      </c>
      <c r="D146" s="20" t="s">
        <v>234</v>
      </c>
      <c r="E146" s="20" t="s">
        <v>923</v>
      </c>
      <c r="F146" s="20" t="s">
        <v>147</v>
      </c>
      <c r="G146" s="415">
        <f>'Пр.6 ведом.20'!G143</f>
        <v>1785</v>
      </c>
      <c r="H146" s="415">
        <f t="shared" si="3"/>
        <v>1785</v>
      </c>
      <c r="I146" s="230"/>
    </row>
    <row r="147" spans="1:9" ht="31.5" x14ac:dyDescent="0.25">
      <c r="A147" s="25" t="s">
        <v>148</v>
      </c>
      <c r="B147" s="16">
        <v>902</v>
      </c>
      <c r="C147" s="20" t="s">
        <v>230</v>
      </c>
      <c r="D147" s="20" t="s">
        <v>234</v>
      </c>
      <c r="E147" s="20" t="s">
        <v>923</v>
      </c>
      <c r="F147" s="20" t="s">
        <v>149</v>
      </c>
      <c r="G147" s="415">
        <f>'Пр.6 ведом.20'!G144</f>
        <v>1785</v>
      </c>
      <c r="H147" s="415">
        <f t="shared" si="3"/>
        <v>1785</v>
      </c>
      <c r="I147" s="230"/>
    </row>
    <row r="148" spans="1:9" ht="15.75" x14ac:dyDescent="0.25">
      <c r="A148" s="25" t="s">
        <v>245</v>
      </c>
      <c r="B148" s="16">
        <v>902</v>
      </c>
      <c r="C148" s="20" t="s">
        <v>230</v>
      </c>
      <c r="D148" s="20" t="s">
        <v>234</v>
      </c>
      <c r="E148" s="20" t="s">
        <v>924</v>
      </c>
      <c r="F148" s="20"/>
      <c r="G148" s="415">
        <f>'Пр.6 ведом.20'!G145</f>
        <v>197</v>
      </c>
      <c r="H148" s="415">
        <f t="shared" si="3"/>
        <v>197</v>
      </c>
      <c r="I148" s="230"/>
    </row>
    <row r="149" spans="1:9" ht="31.5" x14ac:dyDescent="0.25">
      <c r="A149" s="25" t="s">
        <v>213</v>
      </c>
      <c r="B149" s="16">
        <v>902</v>
      </c>
      <c r="C149" s="20" t="s">
        <v>230</v>
      </c>
      <c r="D149" s="20" t="s">
        <v>234</v>
      </c>
      <c r="E149" s="20" t="s">
        <v>924</v>
      </c>
      <c r="F149" s="20" t="s">
        <v>147</v>
      </c>
      <c r="G149" s="415">
        <f>'Пр.6 ведом.20'!G146</f>
        <v>197</v>
      </c>
      <c r="H149" s="415">
        <f t="shared" si="3"/>
        <v>197</v>
      </c>
      <c r="I149" s="230"/>
    </row>
    <row r="150" spans="1:9" ht="31.5" x14ac:dyDescent="0.25">
      <c r="A150" s="25" t="s">
        <v>148</v>
      </c>
      <c r="B150" s="16">
        <v>902</v>
      </c>
      <c r="C150" s="20" t="s">
        <v>230</v>
      </c>
      <c r="D150" s="20" t="s">
        <v>234</v>
      </c>
      <c r="E150" s="20" t="s">
        <v>924</v>
      </c>
      <c r="F150" s="20" t="s">
        <v>149</v>
      </c>
      <c r="G150" s="415">
        <f>'Пр.6 ведом.20'!G147</f>
        <v>197</v>
      </c>
      <c r="H150" s="415">
        <f t="shared" ref="H150:H213" si="9">G150</f>
        <v>197</v>
      </c>
      <c r="I150" s="230"/>
    </row>
    <row r="151" spans="1:9" ht="31.5" x14ac:dyDescent="0.25">
      <c r="A151" s="23" t="s">
        <v>1000</v>
      </c>
      <c r="B151" s="19">
        <v>902</v>
      </c>
      <c r="C151" s="24" t="s">
        <v>230</v>
      </c>
      <c r="D151" s="24" t="s">
        <v>234</v>
      </c>
      <c r="E151" s="24" t="s">
        <v>920</v>
      </c>
      <c r="F151" s="24"/>
      <c r="G151" s="416">
        <f>G152+G157</f>
        <v>5940</v>
      </c>
      <c r="H151" s="416">
        <f>H152+H157</f>
        <v>5940</v>
      </c>
      <c r="I151" s="230"/>
    </row>
    <row r="152" spans="1:9" ht="31.5" x14ac:dyDescent="0.25">
      <c r="A152" s="25" t="s">
        <v>1004</v>
      </c>
      <c r="B152" s="16">
        <v>902</v>
      </c>
      <c r="C152" s="20" t="s">
        <v>230</v>
      </c>
      <c r="D152" s="20" t="s">
        <v>234</v>
      </c>
      <c r="E152" s="20" t="s">
        <v>921</v>
      </c>
      <c r="F152" s="20"/>
      <c r="G152" s="415">
        <f>'Пр.6 ведом.20'!G149</f>
        <v>5688</v>
      </c>
      <c r="H152" s="415">
        <f t="shared" si="9"/>
        <v>5688</v>
      </c>
      <c r="I152" s="230"/>
    </row>
    <row r="153" spans="1:9" ht="78.75" x14ac:dyDescent="0.25">
      <c r="A153" s="25" t="s">
        <v>142</v>
      </c>
      <c r="B153" s="16">
        <v>902</v>
      </c>
      <c r="C153" s="20" t="s">
        <v>230</v>
      </c>
      <c r="D153" s="20" t="s">
        <v>234</v>
      </c>
      <c r="E153" s="20" t="s">
        <v>921</v>
      </c>
      <c r="F153" s="20" t="s">
        <v>143</v>
      </c>
      <c r="G153" s="415">
        <f>'Пр.6 ведом.20'!G150</f>
        <v>5525</v>
      </c>
      <c r="H153" s="415">
        <f t="shared" si="9"/>
        <v>5525</v>
      </c>
      <c r="I153" s="230"/>
    </row>
    <row r="154" spans="1:9" ht="15.75" x14ac:dyDescent="0.25">
      <c r="A154" s="25" t="s">
        <v>223</v>
      </c>
      <c r="B154" s="16">
        <v>902</v>
      </c>
      <c r="C154" s="20" t="s">
        <v>230</v>
      </c>
      <c r="D154" s="20" t="s">
        <v>234</v>
      </c>
      <c r="E154" s="20" t="s">
        <v>921</v>
      </c>
      <c r="F154" s="20" t="s">
        <v>224</v>
      </c>
      <c r="G154" s="415">
        <f>'Пр.6 ведом.20'!G151</f>
        <v>5525</v>
      </c>
      <c r="H154" s="415">
        <f t="shared" si="9"/>
        <v>5525</v>
      </c>
      <c r="I154" s="230"/>
    </row>
    <row r="155" spans="1:9" ht="31.5" x14ac:dyDescent="0.25">
      <c r="A155" s="25" t="s">
        <v>213</v>
      </c>
      <c r="B155" s="16">
        <v>902</v>
      </c>
      <c r="C155" s="20" t="s">
        <v>230</v>
      </c>
      <c r="D155" s="20" t="s">
        <v>234</v>
      </c>
      <c r="E155" s="20" t="s">
        <v>921</v>
      </c>
      <c r="F155" s="20" t="s">
        <v>147</v>
      </c>
      <c r="G155" s="415">
        <f>'Пр.6 ведом.20'!G152</f>
        <v>163</v>
      </c>
      <c r="H155" s="415">
        <f t="shared" si="9"/>
        <v>163</v>
      </c>
      <c r="I155" s="230"/>
    </row>
    <row r="156" spans="1:9" ht="31.5" x14ac:dyDescent="0.25">
      <c r="A156" s="25" t="s">
        <v>148</v>
      </c>
      <c r="B156" s="16">
        <v>902</v>
      </c>
      <c r="C156" s="20" t="s">
        <v>230</v>
      </c>
      <c r="D156" s="20" t="s">
        <v>234</v>
      </c>
      <c r="E156" s="20" t="s">
        <v>921</v>
      </c>
      <c r="F156" s="20" t="s">
        <v>149</v>
      </c>
      <c r="G156" s="415">
        <f>'Пр.6 ведом.20'!G153</f>
        <v>163</v>
      </c>
      <c r="H156" s="415">
        <f t="shared" si="9"/>
        <v>163</v>
      </c>
      <c r="I156" s="230"/>
    </row>
    <row r="157" spans="1:9" ht="47.25" x14ac:dyDescent="0.25">
      <c r="A157" s="25" t="s">
        <v>886</v>
      </c>
      <c r="B157" s="16">
        <v>902</v>
      </c>
      <c r="C157" s="20" t="s">
        <v>230</v>
      </c>
      <c r="D157" s="20" t="s">
        <v>234</v>
      </c>
      <c r="E157" s="20" t="s">
        <v>922</v>
      </c>
      <c r="F157" s="20"/>
      <c r="G157" s="415">
        <f>'Пр.6 ведом.20'!G154</f>
        <v>252</v>
      </c>
      <c r="H157" s="415">
        <f t="shared" si="9"/>
        <v>252</v>
      </c>
      <c r="I157" s="230"/>
    </row>
    <row r="158" spans="1:9" ht="78.75" x14ac:dyDescent="0.25">
      <c r="A158" s="25" t="s">
        <v>142</v>
      </c>
      <c r="B158" s="16">
        <v>902</v>
      </c>
      <c r="C158" s="20" t="s">
        <v>230</v>
      </c>
      <c r="D158" s="20" t="s">
        <v>234</v>
      </c>
      <c r="E158" s="20" t="s">
        <v>922</v>
      </c>
      <c r="F158" s="20" t="s">
        <v>143</v>
      </c>
      <c r="G158" s="415">
        <f>'Пр.6 ведом.20'!G155</f>
        <v>252</v>
      </c>
      <c r="H158" s="415">
        <f t="shared" si="9"/>
        <v>252</v>
      </c>
      <c r="I158" s="230"/>
    </row>
    <row r="159" spans="1:9" ht="19.5" customHeight="1" x14ac:dyDescent="0.25">
      <c r="A159" s="25" t="s">
        <v>223</v>
      </c>
      <c r="B159" s="16">
        <v>902</v>
      </c>
      <c r="C159" s="20" t="s">
        <v>230</v>
      </c>
      <c r="D159" s="20" t="s">
        <v>234</v>
      </c>
      <c r="E159" s="20" t="s">
        <v>922</v>
      </c>
      <c r="F159" s="20" t="s">
        <v>224</v>
      </c>
      <c r="G159" s="415">
        <f>'Пр.6 ведом.20'!G156</f>
        <v>252</v>
      </c>
      <c r="H159" s="415">
        <f t="shared" si="9"/>
        <v>252</v>
      </c>
      <c r="I159" s="230"/>
    </row>
    <row r="160" spans="1:9" ht="15.75" x14ac:dyDescent="0.25">
      <c r="A160" s="23" t="s">
        <v>247</v>
      </c>
      <c r="B160" s="19">
        <v>902</v>
      </c>
      <c r="C160" s="24" t="s">
        <v>165</v>
      </c>
      <c r="D160" s="24"/>
      <c r="E160" s="24"/>
      <c r="F160" s="20"/>
      <c r="G160" s="416">
        <f>G174+G161</f>
        <v>594.79999999999995</v>
      </c>
      <c r="H160" s="416">
        <f>H174+H161</f>
        <v>594.79999999999995</v>
      </c>
      <c r="I160" s="230"/>
    </row>
    <row r="161" spans="1:9" ht="15.75" x14ac:dyDescent="0.25">
      <c r="A161" s="23" t="s">
        <v>248</v>
      </c>
      <c r="B161" s="19">
        <v>902</v>
      </c>
      <c r="C161" s="24" t="s">
        <v>165</v>
      </c>
      <c r="D161" s="24" t="s">
        <v>249</v>
      </c>
      <c r="E161" s="24"/>
      <c r="F161" s="20"/>
      <c r="G161" s="416">
        <f>G162</f>
        <v>306</v>
      </c>
      <c r="H161" s="416">
        <f>H162</f>
        <v>306</v>
      </c>
      <c r="I161" s="230"/>
    </row>
    <row r="162" spans="1:9" ht="47.25" x14ac:dyDescent="0.25">
      <c r="A162" s="34" t="s">
        <v>196</v>
      </c>
      <c r="B162" s="19">
        <v>902</v>
      </c>
      <c r="C162" s="24" t="s">
        <v>165</v>
      </c>
      <c r="D162" s="24" t="s">
        <v>249</v>
      </c>
      <c r="E162" s="214" t="s">
        <v>197</v>
      </c>
      <c r="F162" s="285"/>
      <c r="G162" s="416">
        <f>G163+G170</f>
        <v>306</v>
      </c>
      <c r="H162" s="416">
        <f>H163+H170</f>
        <v>306</v>
      </c>
      <c r="I162" s="230"/>
    </row>
    <row r="163" spans="1:9" ht="31.5" x14ac:dyDescent="0.25">
      <c r="A163" s="34" t="s">
        <v>1165</v>
      </c>
      <c r="B163" s="19">
        <v>902</v>
      </c>
      <c r="C163" s="24" t="s">
        <v>165</v>
      </c>
      <c r="D163" s="24" t="s">
        <v>249</v>
      </c>
      <c r="E163" s="350" t="s">
        <v>925</v>
      </c>
      <c r="F163" s="285"/>
      <c r="G163" s="416">
        <f>G164+G167</f>
        <v>256</v>
      </c>
      <c r="H163" s="416">
        <f>H164+H167</f>
        <v>256</v>
      </c>
      <c r="I163" s="230"/>
    </row>
    <row r="164" spans="1:9" ht="15.75" x14ac:dyDescent="0.25">
      <c r="A164" s="25" t="s">
        <v>926</v>
      </c>
      <c r="B164" s="16">
        <v>902</v>
      </c>
      <c r="C164" s="20" t="s">
        <v>165</v>
      </c>
      <c r="D164" s="20" t="s">
        <v>249</v>
      </c>
      <c r="E164" s="20" t="s">
        <v>970</v>
      </c>
      <c r="F164" s="32"/>
      <c r="G164" s="415">
        <f>'Пр.6 ведом.20'!G161</f>
        <v>1</v>
      </c>
      <c r="H164" s="415">
        <f t="shared" si="9"/>
        <v>1</v>
      </c>
      <c r="I164" s="230"/>
    </row>
    <row r="165" spans="1:9" ht="15.75" x14ac:dyDescent="0.25">
      <c r="A165" s="29" t="s">
        <v>150</v>
      </c>
      <c r="B165" s="16">
        <v>902</v>
      </c>
      <c r="C165" s="20" t="s">
        <v>165</v>
      </c>
      <c r="D165" s="20" t="s">
        <v>249</v>
      </c>
      <c r="E165" s="20" t="s">
        <v>970</v>
      </c>
      <c r="F165" s="32" t="s">
        <v>160</v>
      </c>
      <c r="G165" s="415">
        <f>'Пр.6 ведом.20'!G162</f>
        <v>1</v>
      </c>
      <c r="H165" s="415">
        <f t="shared" si="9"/>
        <v>1</v>
      </c>
      <c r="I165" s="230"/>
    </row>
    <row r="166" spans="1:9" ht="47.25" x14ac:dyDescent="0.25">
      <c r="A166" s="29" t="s">
        <v>199</v>
      </c>
      <c r="B166" s="16">
        <v>902</v>
      </c>
      <c r="C166" s="20" t="s">
        <v>165</v>
      </c>
      <c r="D166" s="20" t="s">
        <v>249</v>
      </c>
      <c r="E166" s="20" t="s">
        <v>970</v>
      </c>
      <c r="F166" s="32" t="s">
        <v>175</v>
      </c>
      <c r="G166" s="415">
        <f>'Пр.6 ведом.20'!G163</f>
        <v>1</v>
      </c>
      <c r="H166" s="415">
        <f t="shared" si="9"/>
        <v>1</v>
      </c>
      <c r="I166" s="230"/>
    </row>
    <row r="167" spans="1:9" ht="31.5" x14ac:dyDescent="0.25">
      <c r="A167" s="25" t="s">
        <v>250</v>
      </c>
      <c r="B167" s="16">
        <v>902</v>
      </c>
      <c r="C167" s="20" t="s">
        <v>165</v>
      </c>
      <c r="D167" s="20" t="s">
        <v>249</v>
      </c>
      <c r="E167" s="20" t="s">
        <v>929</v>
      </c>
      <c r="F167" s="20"/>
      <c r="G167" s="415">
        <f>'Пр.6 ведом.20'!G164</f>
        <v>255</v>
      </c>
      <c r="H167" s="415">
        <f t="shared" si="9"/>
        <v>255</v>
      </c>
      <c r="I167" s="230"/>
    </row>
    <row r="168" spans="1:9" ht="15.75" x14ac:dyDescent="0.25">
      <c r="A168" s="25" t="s">
        <v>150</v>
      </c>
      <c r="B168" s="16">
        <v>902</v>
      </c>
      <c r="C168" s="20" t="s">
        <v>165</v>
      </c>
      <c r="D168" s="20" t="s">
        <v>249</v>
      </c>
      <c r="E168" s="20" t="s">
        <v>929</v>
      </c>
      <c r="F168" s="20" t="s">
        <v>160</v>
      </c>
      <c r="G168" s="415">
        <f>'Пр.6 ведом.20'!G165</f>
        <v>255</v>
      </c>
      <c r="H168" s="415">
        <f t="shared" si="9"/>
        <v>255</v>
      </c>
      <c r="I168" s="230"/>
    </row>
    <row r="169" spans="1:9" ht="47.25" x14ac:dyDescent="0.25">
      <c r="A169" s="25" t="s">
        <v>199</v>
      </c>
      <c r="B169" s="16">
        <v>902</v>
      </c>
      <c r="C169" s="20" t="s">
        <v>165</v>
      </c>
      <c r="D169" s="20" t="s">
        <v>249</v>
      </c>
      <c r="E169" s="20" t="s">
        <v>929</v>
      </c>
      <c r="F169" s="20" t="s">
        <v>175</v>
      </c>
      <c r="G169" s="415">
        <f>'Пр.6 ведом.20'!G166</f>
        <v>255</v>
      </c>
      <c r="H169" s="415">
        <f t="shared" si="9"/>
        <v>255</v>
      </c>
      <c r="I169" s="230"/>
    </row>
    <row r="170" spans="1:9" ht="47.25" x14ac:dyDescent="0.25">
      <c r="A170" s="276" t="s">
        <v>1166</v>
      </c>
      <c r="B170" s="19">
        <v>902</v>
      </c>
      <c r="C170" s="24" t="s">
        <v>165</v>
      </c>
      <c r="D170" s="24" t="s">
        <v>249</v>
      </c>
      <c r="E170" s="214" t="s">
        <v>928</v>
      </c>
      <c r="F170" s="285"/>
      <c r="G170" s="416">
        <f>G171</f>
        <v>50</v>
      </c>
      <c r="H170" s="416">
        <f>H171</f>
        <v>50</v>
      </c>
      <c r="I170" s="230"/>
    </row>
    <row r="171" spans="1:9" ht="15.75" x14ac:dyDescent="0.25">
      <c r="A171" s="25" t="s">
        <v>927</v>
      </c>
      <c r="B171" s="16">
        <v>902</v>
      </c>
      <c r="C171" s="20" t="s">
        <v>165</v>
      </c>
      <c r="D171" s="20" t="s">
        <v>249</v>
      </c>
      <c r="E171" s="5" t="s">
        <v>971</v>
      </c>
      <c r="F171" s="32"/>
      <c r="G171" s="415">
        <f>'Пр.6 ведом.20'!G168</f>
        <v>50</v>
      </c>
      <c r="H171" s="415">
        <f t="shared" si="9"/>
        <v>50</v>
      </c>
      <c r="I171" s="230"/>
    </row>
    <row r="172" spans="1:9" ht="15.75" x14ac:dyDescent="0.25">
      <c r="A172" s="29" t="s">
        <v>150</v>
      </c>
      <c r="B172" s="16">
        <v>902</v>
      </c>
      <c r="C172" s="20" t="s">
        <v>165</v>
      </c>
      <c r="D172" s="20" t="s">
        <v>249</v>
      </c>
      <c r="E172" s="5" t="s">
        <v>971</v>
      </c>
      <c r="F172" s="32" t="s">
        <v>160</v>
      </c>
      <c r="G172" s="415">
        <f>'Пр.6 ведом.20'!G169</f>
        <v>50</v>
      </c>
      <c r="H172" s="415">
        <f t="shared" si="9"/>
        <v>50</v>
      </c>
      <c r="I172" s="230"/>
    </row>
    <row r="173" spans="1:9" ht="47.25" x14ac:dyDescent="0.25">
      <c r="A173" s="29" t="s">
        <v>199</v>
      </c>
      <c r="B173" s="16">
        <v>902</v>
      </c>
      <c r="C173" s="20" t="s">
        <v>165</v>
      </c>
      <c r="D173" s="20" t="s">
        <v>249</v>
      </c>
      <c r="E173" s="5" t="s">
        <v>971</v>
      </c>
      <c r="F173" s="32" t="s">
        <v>175</v>
      </c>
      <c r="G173" s="415">
        <f>'Пр.6 ведом.20'!G170</f>
        <v>50</v>
      </c>
      <c r="H173" s="415">
        <f t="shared" si="9"/>
        <v>50</v>
      </c>
      <c r="I173" s="230"/>
    </row>
    <row r="174" spans="1:9" ht="31.5" x14ac:dyDescent="0.25">
      <c r="A174" s="23" t="s">
        <v>252</v>
      </c>
      <c r="B174" s="19">
        <v>902</v>
      </c>
      <c r="C174" s="24" t="s">
        <v>165</v>
      </c>
      <c r="D174" s="24" t="s">
        <v>253</v>
      </c>
      <c r="E174" s="24"/>
      <c r="F174" s="24"/>
      <c r="G174" s="416">
        <f>G175+G182</f>
        <v>288.8</v>
      </c>
      <c r="H174" s="416">
        <f>H175+H182</f>
        <v>288.8</v>
      </c>
      <c r="I174" s="230"/>
    </row>
    <row r="175" spans="1:9" ht="31.5" x14ac:dyDescent="0.25">
      <c r="A175" s="23" t="s">
        <v>992</v>
      </c>
      <c r="B175" s="19">
        <v>902</v>
      </c>
      <c r="C175" s="24" t="s">
        <v>165</v>
      </c>
      <c r="D175" s="24" t="s">
        <v>253</v>
      </c>
      <c r="E175" s="24" t="s">
        <v>906</v>
      </c>
      <c r="F175" s="24"/>
      <c r="G175" s="416">
        <f>G176</f>
        <v>288.8</v>
      </c>
      <c r="H175" s="416">
        <f>H176</f>
        <v>288.8</v>
      </c>
      <c r="I175" s="230"/>
    </row>
    <row r="176" spans="1:9" ht="31.5" x14ac:dyDescent="0.25">
      <c r="A176" s="23" t="s">
        <v>934</v>
      </c>
      <c r="B176" s="19">
        <v>902</v>
      </c>
      <c r="C176" s="24" t="s">
        <v>165</v>
      </c>
      <c r="D176" s="24" t="s">
        <v>253</v>
      </c>
      <c r="E176" s="24" t="s">
        <v>911</v>
      </c>
      <c r="F176" s="24"/>
      <c r="G176" s="416">
        <f>G177+G187</f>
        <v>288.8</v>
      </c>
      <c r="H176" s="416">
        <f>H177+H187</f>
        <v>288.8</v>
      </c>
      <c r="I176" s="230"/>
    </row>
    <row r="177" spans="1:9" ht="63" x14ac:dyDescent="0.25">
      <c r="A177" s="31" t="s">
        <v>256</v>
      </c>
      <c r="B177" s="16">
        <v>902</v>
      </c>
      <c r="C177" s="20" t="s">
        <v>165</v>
      </c>
      <c r="D177" s="20" t="s">
        <v>253</v>
      </c>
      <c r="E177" s="20" t="s">
        <v>1001</v>
      </c>
      <c r="F177" s="20"/>
      <c r="G177" s="415">
        <f>G178+G180</f>
        <v>288.8</v>
      </c>
      <c r="H177" s="415">
        <f t="shared" si="9"/>
        <v>288.8</v>
      </c>
      <c r="I177" s="230"/>
    </row>
    <row r="178" spans="1:9" ht="78.75" x14ac:dyDescent="0.25">
      <c r="A178" s="25" t="s">
        <v>142</v>
      </c>
      <c r="B178" s="16">
        <v>902</v>
      </c>
      <c r="C178" s="20" t="s">
        <v>165</v>
      </c>
      <c r="D178" s="20" t="s">
        <v>253</v>
      </c>
      <c r="E178" s="20" t="s">
        <v>1001</v>
      </c>
      <c r="F178" s="20" t="s">
        <v>143</v>
      </c>
      <c r="G178" s="415">
        <f>G179</f>
        <v>187</v>
      </c>
      <c r="H178" s="415">
        <f t="shared" si="9"/>
        <v>187</v>
      </c>
      <c r="I178" s="230"/>
    </row>
    <row r="179" spans="1:9" ht="31.5" x14ac:dyDescent="0.25">
      <c r="A179" s="25" t="s">
        <v>144</v>
      </c>
      <c r="B179" s="16">
        <v>902</v>
      </c>
      <c r="C179" s="20" t="s">
        <v>165</v>
      </c>
      <c r="D179" s="20" t="s">
        <v>253</v>
      </c>
      <c r="E179" s="20" t="s">
        <v>1001</v>
      </c>
      <c r="F179" s="20" t="s">
        <v>145</v>
      </c>
      <c r="G179" s="415">
        <v>187</v>
      </c>
      <c r="H179" s="415">
        <f t="shared" si="9"/>
        <v>187</v>
      </c>
      <c r="I179" s="230"/>
    </row>
    <row r="180" spans="1:9" ht="31.5" x14ac:dyDescent="0.25">
      <c r="A180" s="25" t="s">
        <v>146</v>
      </c>
      <c r="B180" s="16">
        <v>902</v>
      </c>
      <c r="C180" s="20" t="s">
        <v>165</v>
      </c>
      <c r="D180" s="20" t="s">
        <v>253</v>
      </c>
      <c r="E180" s="20" t="s">
        <v>1001</v>
      </c>
      <c r="F180" s="20" t="s">
        <v>147</v>
      </c>
      <c r="G180" s="415">
        <f>G181</f>
        <v>101.8</v>
      </c>
      <c r="H180" s="415">
        <f t="shared" si="9"/>
        <v>101.8</v>
      </c>
      <c r="I180" s="230"/>
    </row>
    <row r="181" spans="1:9" ht="31.5" x14ac:dyDescent="0.25">
      <c r="A181" s="25" t="s">
        <v>148</v>
      </c>
      <c r="B181" s="16">
        <v>902</v>
      </c>
      <c r="C181" s="20" t="s">
        <v>165</v>
      </c>
      <c r="D181" s="20" t="s">
        <v>253</v>
      </c>
      <c r="E181" s="20" t="s">
        <v>1001</v>
      </c>
      <c r="F181" s="20" t="s">
        <v>149</v>
      </c>
      <c r="G181" s="415">
        <v>101.8</v>
      </c>
      <c r="H181" s="415">
        <f t="shared" si="9"/>
        <v>101.8</v>
      </c>
      <c r="I181" s="230"/>
    </row>
    <row r="182" spans="1:9" ht="47.25" hidden="1" x14ac:dyDescent="0.25">
      <c r="A182" s="23" t="s">
        <v>1250</v>
      </c>
      <c r="B182" s="19">
        <v>902</v>
      </c>
      <c r="C182" s="24" t="s">
        <v>165</v>
      </c>
      <c r="D182" s="24" t="s">
        <v>253</v>
      </c>
      <c r="E182" s="24" t="s">
        <v>171</v>
      </c>
      <c r="F182" s="24"/>
      <c r="G182" s="416">
        <f>G183</f>
        <v>0</v>
      </c>
      <c r="H182" s="416">
        <f>H183</f>
        <v>0</v>
      </c>
      <c r="I182" s="230"/>
    </row>
    <row r="183" spans="1:9" ht="47.25" hidden="1" x14ac:dyDescent="0.25">
      <c r="A183" s="23" t="s">
        <v>1254</v>
      </c>
      <c r="B183" s="19">
        <v>902</v>
      </c>
      <c r="C183" s="24" t="s">
        <v>165</v>
      </c>
      <c r="D183" s="24" t="s">
        <v>253</v>
      </c>
      <c r="E183" s="24" t="s">
        <v>1251</v>
      </c>
      <c r="F183" s="24"/>
      <c r="G183" s="416">
        <f>G184+G187</f>
        <v>0</v>
      </c>
      <c r="H183" s="416">
        <f>H184+H187</f>
        <v>0</v>
      </c>
      <c r="I183" s="230"/>
    </row>
    <row r="184" spans="1:9" ht="31.5" hidden="1" x14ac:dyDescent="0.25">
      <c r="A184" s="25" t="s">
        <v>1255</v>
      </c>
      <c r="B184" s="16">
        <v>902</v>
      </c>
      <c r="C184" s="20" t="s">
        <v>165</v>
      </c>
      <c r="D184" s="20" t="s">
        <v>253</v>
      </c>
      <c r="E184" s="20" t="s">
        <v>1252</v>
      </c>
      <c r="F184" s="20"/>
      <c r="G184" s="415">
        <f>'Пр.6 ведом.20'!G181</f>
        <v>0</v>
      </c>
      <c r="H184" s="415">
        <f t="shared" si="9"/>
        <v>0</v>
      </c>
      <c r="I184" s="230"/>
    </row>
    <row r="185" spans="1:9" ht="15.75" hidden="1" x14ac:dyDescent="0.25">
      <c r="A185" s="25" t="s">
        <v>150</v>
      </c>
      <c r="B185" s="16">
        <v>902</v>
      </c>
      <c r="C185" s="20" t="s">
        <v>165</v>
      </c>
      <c r="D185" s="20" t="s">
        <v>253</v>
      </c>
      <c r="E185" s="20" t="s">
        <v>1252</v>
      </c>
      <c r="F185" s="20" t="s">
        <v>160</v>
      </c>
      <c r="G185" s="415">
        <f>'Пр.6 ведом.20'!G182</f>
        <v>0</v>
      </c>
      <c r="H185" s="415">
        <f t="shared" si="9"/>
        <v>0</v>
      </c>
      <c r="I185" s="230"/>
    </row>
    <row r="186" spans="1:9" ht="47.25" hidden="1" x14ac:dyDescent="0.25">
      <c r="A186" s="25" t="s">
        <v>199</v>
      </c>
      <c r="B186" s="16">
        <v>902</v>
      </c>
      <c r="C186" s="20" t="s">
        <v>165</v>
      </c>
      <c r="D186" s="20" t="s">
        <v>253</v>
      </c>
      <c r="E186" s="20" t="s">
        <v>1252</v>
      </c>
      <c r="F186" s="20" t="s">
        <v>175</v>
      </c>
      <c r="G186" s="415">
        <f>'Пр.6 ведом.20'!G183</f>
        <v>0</v>
      </c>
      <c r="H186" s="415">
        <f t="shared" si="9"/>
        <v>0</v>
      </c>
      <c r="I186" s="230"/>
    </row>
    <row r="187" spans="1:9" ht="31.5" hidden="1" x14ac:dyDescent="0.25">
      <c r="A187" s="25" t="s">
        <v>254</v>
      </c>
      <c r="B187" s="16">
        <v>902</v>
      </c>
      <c r="C187" s="20" t="s">
        <v>165</v>
      </c>
      <c r="D187" s="20" t="s">
        <v>253</v>
      </c>
      <c r="E187" s="20" t="s">
        <v>1253</v>
      </c>
      <c r="F187" s="24"/>
      <c r="G187" s="415">
        <f>'Пр.6 ведом.20'!G184</f>
        <v>0</v>
      </c>
      <c r="H187" s="415">
        <f t="shared" si="9"/>
        <v>0</v>
      </c>
      <c r="I187" s="230"/>
    </row>
    <row r="188" spans="1:9" ht="15.75" hidden="1" x14ac:dyDescent="0.25">
      <c r="A188" s="25" t="s">
        <v>150</v>
      </c>
      <c r="B188" s="16">
        <v>902</v>
      </c>
      <c r="C188" s="20" t="s">
        <v>165</v>
      </c>
      <c r="D188" s="20" t="s">
        <v>253</v>
      </c>
      <c r="E188" s="20" t="s">
        <v>1253</v>
      </c>
      <c r="F188" s="20" t="s">
        <v>160</v>
      </c>
      <c r="G188" s="415">
        <f>'Пр.6 ведом.20'!G185</f>
        <v>0</v>
      </c>
      <c r="H188" s="415">
        <f t="shared" si="9"/>
        <v>0</v>
      </c>
      <c r="I188" s="230"/>
    </row>
    <row r="189" spans="1:9" ht="47.25" hidden="1" x14ac:dyDescent="0.25">
      <c r="A189" s="25" t="s">
        <v>199</v>
      </c>
      <c r="B189" s="16">
        <v>902</v>
      </c>
      <c r="C189" s="20" t="s">
        <v>165</v>
      </c>
      <c r="D189" s="20" t="s">
        <v>253</v>
      </c>
      <c r="E189" s="20" t="s">
        <v>1253</v>
      </c>
      <c r="F189" s="20" t="s">
        <v>175</v>
      </c>
      <c r="G189" s="415">
        <f>'Пр.6 ведом.20'!G186</f>
        <v>0</v>
      </c>
      <c r="H189" s="415">
        <f t="shared" si="9"/>
        <v>0</v>
      </c>
      <c r="I189" s="230"/>
    </row>
    <row r="190" spans="1:9" ht="15.75" x14ac:dyDescent="0.25">
      <c r="A190" s="23" t="s">
        <v>258</v>
      </c>
      <c r="B190" s="19">
        <v>902</v>
      </c>
      <c r="C190" s="24" t="s">
        <v>259</v>
      </c>
      <c r="D190" s="24"/>
      <c r="E190" s="24"/>
      <c r="F190" s="24"/>
      <c r="G190" s="416">
        <f>G191+G197+G206</f>
        <v>18087.400000000001</v>
      </c>
      <c r="H190" s="416">
        <f>H191+H197+H206</f>
        <v>13087.4</v>
      </c>
      <c r="I190" s="230"/>
    </row>
    <row r="191" spans="1:9" ht="15.75" x14ac:dyDescent="0.25">
      <c r="A191" s="23" t="s">
        <v>260</v>
      </c>
      <c r="B191" s="19">
        <v>902</v>
      </c>
      <c r="C191" s="24" t="s">
        <v>259</v>
      </c>
      <c r="D191" s="24" t="s">
        <v>133</v>
      </c>
      <c r="E191" s="24"/>
      <c r="F191" s="24"/>
      <c r="G191" s="416">
        <f t="shared" ref="G191:H193" si="10">G192</f>
        <v>9456</v>
      </c>
      <c r="H191" s="416">
        <f t="shared" si="10"/>
        <v>9456</v>
      </c>
      <c r="I191" s="230"/>
    </row>
    <row r="192" spans="1:9" ht="15.75" x14ac:dyDescent="0.25">
      <c r="A192" s="23" t="s">
        <v>156</v>
      </c>
      <c r="B192" s="19">
        <v>902</v>
      </c>
      <c r="C192" s="24" t="s">
        <v>259</v>
      </c>
      <c r="D192" s="24" t="s">
        <v>133</v>
      </c>
      <c r="E192" s="24" t="s">
        <v>914</v>
      </c>
      <c r="F192" s="24"/>
      <c r="G192" s="416">
        <f t="shared" si="10"/>
        <v>9456</v>
      </c>
      <c r="H192" s="416">
        <f t="shared" si="10"/>
        <v>9456</v>
      </c>
      <c r="I192" s="230"/>
    </row>
    <row r="193" spans="1:9" ht="31.5" x14ac:dyDescent="0.25">
      <c r="A193" s="23" t="s">
        <v>918</v>
      </c>
      <c r="B193" s="19">
        <v>902</v>
      </c>
      <c r="C193" s="24" t="s">
        <v>259</v>
      </c>
      <c r="D193" s="24" t="s">
        <v>133</v>
      </c>
      <c r="E193" s="24" t="s">
        <v>913</v>
      </c>
      <c r="F193" s="24"/>
      <c r="G193" s="416">
        <f t="shared" si="10"/>
        <v>9456</v>
      </c>
      <c r="H193" s="416">
        <f t="shared" si="10"/>
        <v>9456</v>
      </c>
      <c r="I193" s="230"/>
    </row>
    <row r="194" spans="1:9" ht="15.75" x14ac:dyDescent="0.25">
      <c r="A194" s="25" t="s">
        <v>261</v>
      </c>
      <c r="B194" s="16">
        <v>902</v>
      </c>
      <c r="C194" s="20" t="s">
        <v>259</v>
      </c>
      <c r="D194" s="20" t="s">
        <v>133</v>
      </c>
      <c r="E194" s="20" t="s">
        <v>930</v>
      </c>
      <c r="F194" s="20"/>
      <c r="G194" s="415">
        <f>'Пр.6 ведом.20'!G191</f>
        <v>9456</v>
      </c>
      <c r="H194" s="415">
        <f t="shared" si="9"/>
        <v>9456</v>
      </c>
      <c r="I194" s="230"/>
    </row>
    <row r="195" spans="1:9" ht="22.5" customHeight="1" x14ac:dyDescent="0.25">
      <c r="A195" s="25" t="s">
        <v>263</v>
      </c>
      <c r="B195" s="16">
        <v>902</v>
      </c>
      <c r="C195" s="20" t="s">
        <v>259</v>
      </c>
      <c r="D195" s="20" t="s">
        <v>133</v>
      </c>
      <c r="E195" s="20" t="s">
        <v>930</v>
      </c>
      <c r="F195" s="20" t="s">
        <v>264</v>
      </c>
      <c r="G195" s="415">
        <f>'Пр.6 ведом.20'!G192</f>
        <v>9456</v>
      </c>
      <c r="H195" s="415">
        <f t="shared" si="9"/>
        <v>9456</v>
      </c>
      <c r="I195" s="230"/>
    </row>
    <row r="196" spans="1:9" ht="31.5" x14ac:dyDescent="0.25">
      <c r="A196" s="25" t="s">
        <v>265</v>
      </c>
      <c r="B196" s="16">
        <v>902</v>
      </c>
      <c r="C196" s="20" t="s">
        <v>259</v>
      </c>
      <c r="D196" s="20" t="s">
        <v>133</v>
      </c>
      <c r="E196" s="20" t="s">
        <v>930</v>
      </c>
      <c r="F196" s="20" t="s">
        <v>266</v>
      </c>
      <c r="G196" s="415">
        <f>'Пр.6 ведом.20'!G193</f>
        <v>9456</v>
      </c>
      <c r="H196" s="415">
        <f t="shared" si="9"/>
        <v>9456</v>
      </c>
      <c r="I196" s="230"/>
    </row>
    <row r="197" spans="1:9" ht="15.75" x14ac:dyDescent="0.25">
      <c r="A197" s="23" t="s">
        <v>267</v>
      </c>
      <c r="B197" s="19">
        <v>902</v>
      </c>
      <c r="C197" s="24" t="s">
        <v>259</v>
      </c>
      <c r="D197" s="24" t="s">
        <v>230</v>
      </c>
      <c r="E197" s="20"/>
      <c r="F197" s="20"/>
      <c r="G197" s="416">
        <f>G198</f>
        <v>5010</v>
      </c>
      <c r="H197" s="416">
        <f>H198</f>
        <v>10</v>
      </c>
      <c r="I197" s="230"/>
    </row>
    <row r="198" spans="1:9" ht="78.75" x14ac:dyDescent="0.25">
      <c r="A198" s="23" t="s">
        <v>268</v>
      </c>
      <c r="B198" s="19">
        <v>902</v>
      </c>
      <c r="C198" s="24" t="s">
        <v>259</v>
      </c>
      <c r="D198" s="24" t="s">
        <v>230</v>
      </c>
      <c r="E198" s="24" t="s">
        <v>269</v>
      </c>
      <c r="F198" s="24"/>
      <c r="G198" s="416">
        <f>G199</f>
        <v>5010</v>
      </c>
      <c r="H198" s="416">
        <f>H199</f>
        <v>10</v>
      </c>
      <c r="I198" s="230"/>
    </row>
    <row r="199" spans="1:9" ht="47.25" x14ac:dyDescent="0.25">
      <c r="A199" s="23" t="s">
        <v>933</v>
      </c>
      <c r="B199" s="19">
        <v>902</v>
      </c>
      <c r="C199" s="24" t="s">
        <v>259</v>
      </c>
      <c r="D199" s="24" t="s">
        <v>230</v>
      </c>
      <c r="E199" s="24" t="s">
        <v>931</v>
      </c>
      <c r="F199" s="24"/>
      <c r="G199" s="416">
        <f>G200+G203</f>
        <v>5010</v>
      </c>
      <c r="H199" s="416">
        <f>H200+H203</f>
        <v>10</v>
      </c>
      <c r="I199" s="230"/>
    </row>
    <row r="200" spans="1:9" ht="31.5" x14ac:dyDescent="0.25">
      <c r="A200" s="25" t="s">
        <v>932</v>
      </c>
      <c r="B200" s="16">
        <v>902</v>
      </c>
      <c r="C200" s="20" t="s">
        <v>259</v>
      </c>
      <c r="D200" s="20" t="s">
        <v>230</v>
      </c>
      <c r="E200" s="20" t="s">
        <v>1155</v>
      </c>
      <c r="F200" s="20"/>
      <c r="G200" s="415">
        <f>'Пр.6 ведом.20'!G197</f>
        <v>10</v>
      </c>
      <c r="H200" s="415">
        <f t="shared" si="9"/>
        <v>10</v>
      </c>
      <c r="I200" s="230"/>
    </row>
    <row r="201" spans="1:9" ht="19.5" customHeight="1" x14ac:dyDescent="0.25">
      <c r="A201" s="25" t="s">
        <v>263</v>
      </c>
      <c r="B201" s="16">
        <v>902</v>
      </c>
      <c r="C201" s="20" t="s">
        <v>259</v>
      </c>
      <c r="D201" s="20" t="s">
        <v>230</v>
      </c>
      <c r="E201" s="20" t="s">
        <v>1155</v>
      </c>
      <c r="F201" s="20" t="s">
        <v>264</v>
      </c>
      <c r="G201" s="415">
        <f>'Пр.6 ведом.20'!G198</f>
        <v>10</v>
      </c>
      <c r="H201" s="415">
        <f t="shared" si="9"/>
        <v>10</v>
      </c>
      <c r="I201" s="230"/>
    </row>
    <row r="202" spans="1:9" ht="31.5" x14ac:dyDescent="0.25">
      <c r="A202" s="25" t="s">
        <v>265</v>
      </c>
      <c r="B202" s="16">
        <v>902</v>
      </c>
      <c r="C202" s="20" t="s">
        <v>259</v>
      </c>
      <c r="D202" s="20" t="s">
        <v>230</v>
      </c>
      <c r="E202" s="20" t="s">
        <v>1155</v>
      </c>
      <c r="F202" s="20" t="s">
        <v>266</v>
      </c>
      <c r="G202" s="415">
        <f>'Пр.6 ведом.20'!G199</f>
        <v>10</v>
      </c>
      <c r="H202" s="415">
        <f t="shared" si="9"/>
        <v>10</v>
      </c>
      <c r="I202" s="230"/>
    </row>
    <row r="203" spans="1:9" s="229" customFormat="1" ht="63" x14ac:dyDescent="0.25">
      <c r="A203" s="25" t="s">
        <v>1445</v>
      </c>
      <c r="B203" s="16">
        <v>902</v>
      </c>
      <c r="C203" s="20" t="s">
        <v>259</v>
      </c>
      <c r="D203" s="20" t="s">
        <v>230</v>
      </c>
      <c r="E203" s="20" t="s">
        <v>1444</v>
      </c>
      <c r="F203" s="20"/>
      <c r="G203" s="415">
        <f>G204</f>
        <v>5000</v>
      </c>
      <c r="H203" s="415">
        <f>H204</f>
        <v>0</v>
      </c>
      <c r="I203" s="230"/>
    </row>
    <row r="204" spans="1:9" s="229" customFormat="1" ht="20.25" customHeight="1" x14ac:dyDescent="0.25">
      <c r="A204" s="25" t="s">
        <v>263</v>
      </c>
      <c r="B204" s="16">
        <v>902</v>
      </c>
      <c r="C204" s="20" t="s">
        <v>259</v>
      </c>
      <c r="D204" s="20" t="s">
        <v>230</v>
      </c>
      <c r="E204" s="20" t="s">
        <v>1444</v>
      </c>
      <c r="F204" s="20" t="s">
        <v>264</v>
      </c>
      <c r="G204" s="415">
        <f>G205</f>
        <v>5000</v>
      </c>
      <c r="H204" s="415">
        <f>H205</f>
        <v>0</v>
      </c>
      <c r="I204" s="230"/>
    </row>
    <row r="205" spans="1:9" s="229" customFormat="1" ht="31.5" x14ac:dyDescent="0.25">
      <c r="A205" s="25" t="s">
        <v>265</v>
      </c>
      <c r="B205" s="16">
        <v>902</v>
      </c>
      <c r="C205" s="20" t="s">
        <v>259</v>
      </c>
      <c r="D205" s="20" t="s">
        <v>230</v>
      </c>
      <c r="E205" s="20" t="s">
        <v>1444</v>
      </c>
      <c r="F205" s="20" t="s">
        <v>266</v>
      </c>
      <c r="G205" s="415">
        <v>5000</v>
      </c>
      <c r="H205" s="415">
        <v>0</v>
      </c>
      <c r="I205" s="230"/>
    </row>
    <row r="206" spans="1:9" ht="15.75" x14ac:dyDescent="0.25">
      <c r="A206" s="23" t="s">
        <v>273</v>
      </c>
      <c r="B206" s="19">
        <v>902</v>
      </c>
      <c r="C206" s="24" t="s">
        <v>259</v>
      </c>
      <c r="D206" s="24" t="s">
        <v>135</v>
      </c>
      <c r="E206" s="24"/>
      <c r="F206" s="24"/>
      <c r="G206" s="416">
        <f t="shared" ref="G206:H208" si="11">G207</f>
        <v>3621.4</v>
      </c>
      <c r="H206" s="416">
        <f t="shared" si="11"/>
        <v>3621.4</v>
      </c>
      <c r="I206" s="230"/>
    </row>
    <row r="207" spans="1:9" ht="31.5" x14ac:dyDescent="0.25">
      <c r="A207" s="23" t="s">
        <v>992</v>
      </c>
      <c r="B207" s="19">
        <v>902</v>
      </c>
      <c r="C207" s="24" t="s">
        <v>259</v>
      </c>
      <c r="D207" s="24" t="s">
        <v>135</v>
      </c>
      <c r="E207" s="24" t="s">
        <v>906</v>
      </c>
      <c r="F207" s="24"/>
      <c r="G207" s="416">
        <f t="shared" si="11"/>
        <v>3621.4</v>
      </c>
      <c r="H207" s="416">
        <f t="shared" si="11"/>
        <v>3621.4</v>
      </c>
      <c r="I207" s="230"/>
    </row>
    <row r="208" spans="1:9" ht="31.5" x14ac:dyDescent="0.25">
      <c r="A208" s="23" t="s">
        <v>934</v>
      </c>
      <c r="B208" s="19">
        <v>902</v>
      </c>
      <c r="C208" s="24" t="s">
        <v>259</v>
      </c>
      <c r="D208" s="24" t="s">
        <v>135</v>
      </c>
      <c r="E208" s="24" t="s">
        <v>911</v>
      </c>
      <c r="F208" s="24"/>
      <c r="G208" s="416">
        <f t="shared" si="11"/>
        <v>3621.4</v>
      </c>
      <c r="H208" s="416">
        <f t="shared" si="11"/>
        <v>3621.4</v>
      </c>
      <c r="I208" s="230"/>
    </row>
    <row r="209" spans="1:9" ht="47.25" x14ac:dyDescent="0.25">
      <c r="A209" s="31" t="s">
        <v>274</v>
      </c>
      <c r="B209" s="16">
        <v>902</v>
      </c>
      <c r="C209" s="20" t="s">
        <v>259</v>
      </c>
      <c r="D209" s="20" t="s">
        <v>135</v>
      </c>
      <c r="E209" s="20" t="s">
        <v>1002</v>
      </c>
      <c r="F209" s="20"/>
      <c r="G209" s="415">
        <f>G210+G212</f>
        <v>3621.4</v>
      </c>
      <c r="H209" s="415">
        <f>H210+H212</f>
        <v>3621.4</v>
      </c>
      <c r="I209" s="230"/>
    </row>
    <row r="210" spans="1:9" ht="78.75" x14ac:dyDescent="0.25">
      <c r="A210" s="25" t="s">
        <v>142</v>
      </c>
      <c r="B210" s="16">
        <v>902</v>
      </c>
      <c r="C210" s="20" t="s">
        <v>259</v>
      </c>
      <c r="D210" s="20" t="s">
        <v>135</v>
      </c>
      <c r="E210" s="20" t="s">
        <v>1002</v>
      </c>
      <c r="F210" s="20" t="s">
        <v>143</v>
      </c>
      <c r="G210" s="415">
        <f>G211</f>
        <v>3353.3</v>
      </c>
      <c r="H210" s="415">
        <f>H211</f>
        <v>3353.3</v>
      </c>
      <c r="I210" s="230"/>
    </row>
    <row r="211" spans="1:9" ht="31.5" x14ac:dyDescent="0.25">
      <c r="A211" s="25" t="s">
        <v>144</v>
      </c>
      <c r="B211" s="16">
        <v>902</v>
      </c>
      <c r="C211" s="20" t="s">
        <v>259</v>
      </c>
      <c r="D211" s="20" t="s">
        <v>135</v>
      </c>
      <c r="E211" s="20" t="s">
        <v>1002</v>
      </c>
      <c r="F211" s="20" t="s">
        <v>145</v>
      </c>
      <c r="G211" s="415">
        <f>'Пр.6 ведом.20'!G205</f>
        <v>3353.3</v>
      </c>
      <c r="H211" s="415">
        <f t="shared" si="9"/>
        <v>3353.3</v>
      </c>
      <c r="I211" s="230"/>
    </row>
    <row r="212" spans="1:9" ht="31.5" x14ac:dyDescent="0.25">
      <c r="A212" s="25" t="s">
        <v>146</v>
      </c>
      <c r="B212" s="16">
        <v>902</v>
      </c>
      <c r="C212" s="20" t="s">
        <v>259</v>
      </c>
      <c r="D212" s="20" t="s">
        <v>135</v>
      </c>
      <c r="E212" s="20" t="s">
        <v>1002</v>
      </c>
      <c r="F212" s="20" t="s">
        <v>147</v>
      </c>
      <c r="G212" s="415">
        <f>G213</f>
        <v>268.09999999999997</v>
      </c>
      <c r="H212" s="415">
        <f>H213</f>
        <v>268.09999999999997</v>
      </c>
      <c r="I212" s="230"/>
    </row>
    <row r="213" spans="1:9" ht="31.5" x14ac:dyDescent="0.25">
      <c r="A213" s="25" t="s">
        <v>148</v>
      </c>
      <c r="B213" s="16">
        <v>902</v>
      </c>
      <c r="C213" s="20" t="s">
        <v>259</v>
      </c>
      <c r="D213" s="20" t="s">
        <v>135</v>
      </c>
      <c r="E213" s="20" t="s">
        <v>1002</v>
      </c>
      <c r="F213" s="20" t="s">
        <v>149</v>
      </c>
      <c r="G213" s="415">
        <f>'Пр.6 ведом.20'!G207</f>
        <v>268.09999999999997</v>
      </c>
      <c r="H213" s="415">
        <f t="shared" si="9"/>
        <v>268.09999999999997</v>
      </c>
      <c r="I213" s="230"/>
    </row>
    <row r="214" spans="1:9" ht="47.25" x14ac:dyDescent="0.25">
      <c r="A214" s="19" t="s">
        <v>276</v>
      </c>
      <c r="B214" s="19">
        <v>903</v>
      </c>
      <c r="C214" s="20"/>
      <c r="D214" s="20"/>
      <c r="E214" s="20"/>
      <c r="F214" s="20"/>
      <c r="G214" s="416">
        <f>G277+G338+G438+G215+G248+G467</f>
        <v>95814.23000000001</v>
      </c>
      <c r="H214" s="416">
        <f>H277+H338+H438+H215+H248+H467</f>
        <v>93621.83</v>
      </c>
      <c r="I214" s="230"/>
    </row>
    <row r="215" spans="1:9" ht="15.75" x14ac:dyDescent="0.25">
      <c r="A215" s="23" t="s">
        <v>132</v>
      </c>
      <c r="B215" s="19">
        <v>903</v>
      </c>
      <c r="C215" s="24" t="s">
        <v>133</v>
      </c>
      <c r="D215" s="20"/>
      <c r="E215" s="20"/>
      <c r="F215" s="20"/>
      <c r="G215" s="416">
        <f>G216</f>
        <v>120</v>
      </c>
      <c r="H215" s="416">
        <f>H216</f>
        <v>120</v>
      </c>
      <c r="I215" s="230"/>
    </row>
    <row r="216" spans="1:9" ht="15.75" x14ac:dyDescent="0.25">
      <c r="A216" s="23" t="s">
        <v>154</v>
      </c>
      <c r="B216" s="19">
        <v>903</v>
      </c>
      <c r="C216" s="24" t="s">
        <v>133</v>
      </c>
      <c r="D216" s="24" t="s">
        <v>155</v>
      </c>
      <c r="E216" s="20"/>
      <c r="F216" s="20"/>
      <c r="G216" s="416">
        <f>G217+G226+G243</f>
        <v>120</v>
      </c>
      <c r="H216" s="416">
        <f>H217+H226+H243</f>
        <v>120</v>
      </c>
      <c r="I216" s="230"/>
    </row>
    <row r="217" spans="1:9" ht="47.25" x14ac:dyDescent="0.25">
      <c r="A217" s="23" t="s">
        <v>1450</v>
      </c>
      <c r="B217" s="19">
        <v>903</v>
      </c>
      <c r="C217" s="8" t="s">
        <v>133</v>
      </c>
      <c r="D217" s="8" t="s">
        <v>155</v>
      </c>
      <c r="E217" s="214" t="s">
        <v>359</v>
      </c>
      <c r="F217" s="8"/>
      <c r="G217" s="416">
        <f>G218</f>
        <v>60</v>
      </c>
      <c r="H217" s="416">
        <f>H218</f>
        <v>60</v>
      </c>
      <c r="I217" s="230"/>
    </row>
    <row r="218" spans="1:9" ht="94.5" x14ac:dyDescent="0.25">
      <c r="A218" s="41" t="s">
        <v>395</v>
      </c>
      <c r="B218" s="19">
        <v>903</v>
      </c>
      <c r="C218" s="7" t="s">
        <v>133</v>
      </c>
      <c r="D218" s="7" t="s">
        <v>155</v>
      </c>
      <c r="E218" s="7" t="s">
        <v>396</v>
      </c>
      <c r="F218" s="7"/>
      <c r="G218" s="416">
        <f>G219</f>
        <v>60</v>
      </c>
      <c r="H218" s="416">
        <f>H219</f>
        <v>60</v>
      </c>
      <c r="I218" s="230"/>
    </row>
    <row r="219" spans="1:9" ht="63" x14ac:dyDescent="0.25">
      <c r="A219" s="349" t="s">
        <v>1230</v>
      </c>
      <c r="B219" s="19">
        <v>903</v>
      </c>
      <c r="C219" s="7" t="s">
        <v>133</v>
      </c>
      <c r="D219" s="7" t="s">
        <v>155</v>
      </c>
      <c r="E219" s="7" t="s">
        <v>935</v>
      </c>
      <c r="F219" s="7"/>
      <c r="G219" s="416">
        <f>G220+G223</f>
        <v>60</v>
      </c>
      <c r="H219" s="416">
        <f>H220+H223</f>
        <v>60</v>
      </c>
      <c r="I219" s="230"/>
    </row>
    <row r="220" spans="1:9" ht="31.5" x14ac:dyDescent="0.25">
      <c r="A220" s="101" t="s">
        <v>1231</v>
      </c>
      <c r="B220" s="16">
        <v>903</v>
      </c>
      <c r="C220" s="40" t="s">
        <v>133</v>
      </c>
      <c r="D220" s="40" t="s">
        <v>155</v>
      </c>
      <c r="E220" s="40" t="s">
        <v>936</v>
      </c>
      <c r="F220" s="40"/>
      <c r="G220" s="415">
        <f>'Пр.6 ведом.20'!G214</f>
        <v>60</v>
      </c>
      <c r="H220" s="415">
        <f t="shared" ref="H220:H284" si="12">G220</f>
        <v>60</v>
      </c>
      <c r="I220" s="230"/>
    </row>
    <row r="221" spans="1:9" ht="31.5" x14ac:dyDescent="0.25">
      <c r="A221" s="29" t="s">
        <v>146</v>
      </c>
      <c r="B221" s="16">
        <v>903</v>
      </c>
      <c r="C221" s="40" t="s">
        <v>133</v>
      </c>
      <c r="D221" s="40" t="s">
        <v>155</v>
      </c>
      <c r="E221" s="40" t="s">
        <v>936</v>
      </c>
      <c r="F221" s="40" t="s">
        <v>147</v>
      </c>
      <c r="G221" s="415">
        <f>'Пр.6 ведом.20'!G215</f>
        <v>60</v>
      </c>
      <c r="H221" s="415">
        <f t="shared" si="12"/>
        <v>60</v>
      </c>
      <c r="I221" s="230"/>
    </row>
    <row r="222" spans="1:9" ht="31.5" x14ac:dyDescent="0.25">
      <c r="A222" s="29" t="s">
        <v>148</v>
      </c>
      <c r="B222" s="16">
        <v>903</v>
      </c>
      <c r="C222" s="40" t="s">
        <v>133</v>
      </c>
      <c r="D222" s="40" t="s">
        <v>155</v>
      </c>
      <c r="E222" s="40" t="s">
        <v>936</v>
      </c>
      <c r="F222" s="40" t="s">
        <v>149</v>
      </c>
      <c r="G222" s="415">
        <f>'Пр.6 ведом.20'!G216</f>
        <v>60</v>
      </c>
      <c r="H222" s="415">
        <f t="shared" si="12"/>
        <v>60</v>
      </c>
      <c r="I222" s="230"/>
    </row>
    <row r="223" spans="1:9" ht="47.25" hidden="1" x14ac:dyDescent="0.25">
      <c r="A223" s="35" t="s">
        <v>938</v>
      </c>
      <c r="B223" s="16">
        <v>903</v>
      </c>
      <c r="C223" s="20" t="s">
        <v>133</v>
      </c>
      <c r="D223" s="20" t="s">
        <v>155</v>
      </c>
      <c r="E223" s="20" t="s">
        <v>937</v>
      </c>
      <c r="F223" s="24"/>
      <c r="G223" s="415">
        <f>'Пр.6 ведом.20'!G217</f>
        <v>0</v>
      </c>
      <c r="H223" s="415">
        <f t="shared" si="12"/>
        <v>0</v>
      </c>
      <c r="I223" s="230"/>
    </row>
    <row r="224" spans="1:9" ht="31.5" hidden="1" x14ac:dyDescent="0.25">
      <c r="A224" s="25" t="s">
        <v>146</v>
      </c>
      <c r="B224" s="16">
        <v>903</v>
      </c>
      <c r="C224" s="20" t="s">
        <v>133</v>
      </c>
      <c r="D224" s="20" t="s">
        <v>155</v>
      </c>
      <c r="E224" s="20" t="s">
        <v>937</v>
      </c>
      <c r="F224" s="20" t="s">
        <v>147</v>
      </c>
      <c r="G224" s="415">
        <f>'Пр.6 ведом.20'!G218</f>
        <v>0</v>
      </c>
      <c r="H224" s="415">
        <f t="shared" si="12"/>
        <v>0</v>
      </c>
      <c r="I224" s="230"/>
    </row>
    <row r="225" spans="1:9" ht="31.5" hidden="1" x14ac:dyDescent="0.25">
      <c r="A225" s="25" t="s">
        <v>148</v>
      </c>
      <c r="B225" s="16">
        <v>903</v>
      </c>
      <c r="C225" s="20" t="s">
        <v>133</v>
      </c>
      <c r="D225" s="20" t="s">
        <v>155</v>
      </c>
      <c r="E225" s="20" t="s">
        <v>937</v>
      </c>
      <c r="F225" s="20" t="s">
        <v>149</v>
      </c>
      <c r="G225" s="415">
        <f>'Пр.6 ведом.20'!G219</f>
        <v>0</v>
      </c>
      <c r="H225" s="415">
        <f t="shared" si="12"/>
        <v>0</v>
      </c>
      <c r="I225" s="230"/>
    </row>
    <row r="226" spans="1:9" ht="47.25" x14ac:dyDescent="0.25">
      <c r="A226" s="23" t="s">
        <v>1451</v>
      </c>
      <c r="B226" s="19">
        <v>903</v>
      </c>
      <c r="C226" s="24" t="s">
        <v>133</v>
      </c>
      <c r="D226" s="24" t="s">
        <v>155</v>
      </c>
      <c r="E226" s="24" t="s">
        <v>350</v>
      </c>
      <c r="F226" s="24"/>
      <c r="G226" s="416">
        <f>G227</f>
        <v>55</v>
      </c>
      <c r="H226" s="416">
        <f>H227</f>
        <v>55</v>
      </c>
      <c r="I226" s="230"/>
    </row>
    <row r="227" spans="1:9" ht="31.5" x14ac:dyDescent="0.25">
      <c r="A227" s="23" t="s">
        <v>1236</v>
      </c>
      <c r="B227" s="19">
        <v>903</v>
      </c>
      <c r="C227" s="24" t="s">
        <v>133</v>
      </c>
      <c r="D227" s="24" t="s">
        <v>155</v>
      </c>
      <c r="E227" s="24" t="s">
        <v>1237</v>
      </c>
      <c r="F227" s="24"/>
      <c r="G227" s="416">
        <f>G228+G231+G234+G237+G240</f>
        <v>55</v>
      </c>
      <c r="H227" s="416">
        <f>H228+H231+H234+H237+H240</f>
        <v>55</v>
      </c>
      <c r="I227" s="230"/>
    </row>
    <row r="228" spans="1:9" ht="31.5" hidden="1" x14ac:dyDescent="0.25">
      <c r="A228" s="100" t="s">
        <v>351</v>
      </c>
      <c r="B228" s="16">
        <v>903</v>
      </c>
      <c r="C228" s="20" t="s">
        <v>133</v>
      </c>
      <c r="D228" s="20" t="s">
        <v>155</v>
      </c>
      <c r="E228" s="20" t="s">
        <v>1238</v>
      </c>
      <c r="F228" s="20"/>
      <c r="G228" s="415">
        <f>'Пр.6 ведом.20'!G222</f>
        <v>0</v>
      </c>
      <c r="H228" s="415">
        <f t="shared" si="12"/>
        <v>0</v>
      </c>
      <c r="I228" s="230"/>
    </row>
    <row r="229" spans="1:9" ht="31.5" hidden="1" x14ac:dyDescent="0.25">
      <c r="A229" s="25" t="s">
        <v>146</v>
      </c>
      <c r="B229" s="16">
        <v>903</v>
      </c>
      <c r="C229" s="20" t="s">
        <v>133</v>
      </c>
      <c r="D229" s="20" t="s">
        <v>155</v>
      </c>
      <c r="E229" s="20" t="s">
        <v>1238</v>
      </c>
      <c r="F229" s="20" t="s">
        <v>147</v>
      </c>
      <c r="G229" s="415">
        <f>'Пр.6 ведом.20'!G223</f>
        <v>0</v>
      </c>
      <c r="H229" s="415">
        <f t="shared" si="12"/>
        <v>0</v>
      </c>
      <c r="I229" s="230"/>
    </row>
    <row r="230" spans="1:9" ht="31.5" hidden="1" x14ac:dyDescent="0.25">
      <c r="A230" s="25" t="s">
        <v>148</v>
      </c>
      <c r="B230" s="16">
        <v>903</v>
      </c>
      <c r="C230" s="20" t="s">
        <v>133</v>
      </c>
      <c r="D230" s="20" t="s">
        <v>155</v>
      </c>
      <c r="E230" s="20" t="s">
        <v>1238</v>
      </c>
      <c r="F230" s="20" t="s">
        <v>149</v>
      </c>
      <c r="G230" s="415">
        <f>'Пр.6 ведом.20'!G224</f>
        <v>0</v>
      </c>
      <c r="H230" s="415">
        <f t="shared" si="12"/>
        <v>0</v>
      </c>
      <c r="I230" s="230"/>
    </row>
    <row r="231" spans="1:9" ht="31.5" x14ac:dyDescent="0.25">
      <c r="A231" s="25" t="s">
        <v>353</v>
      </c>
      <c r="B231" s="16">
        <v>903</v>
      </c>
      <c r="C231" s="20" t="s">
        <v>133</v>
      </c>
      <c r="D231" s="20" t="s">
        <v>155</v>
      </c>
      <c r="E231" s="20" t="s">
        <v>1239</v>
      </c>
      <c r="F231" s="20"/>
      <c r="G231" s="415">
        <f>'Пр.6 ведом.20'!G225</f>
        <v>25</v>
      </c>
      <c r="H231" s="415">
        <f t="shared" si="12"/>
        <v>25</v>
      </c>
      <c r="I231" s="230"/>
    </row>
    <row r="232" spans="1:9" ht="31.5" x14ac:dyDescent="0.25">
      <c r="A232" s="25" t="s">
        <v>146</v>
      </c>
      <c r="B232" s="16">
        <v>903</v>
      </c>
      <c r="C232" s="20" t="s">
        <v>133</v>
      </c>
      <c r="D232" s="20" t="s">
        <v>155</v>
      </c>
      <c r="E232" s="20" t="s">
        <v>1239</v>
      </c>
      <c r="F232" s="20" t="s">
        <v>147</v>
      </c>
      <c r="G232" s="415">
        <f>'Пр.6 ведом.20'!G226</f>
        <v>25</v>
      </c>
      <c r="H232" s="415">
        <f t="shared" si="12"/>
        <v>25</v>
      </c>
      <c r="I232" s="230"/>
    </row>
    <row r="233" spans="1:9" ht="31.5" x14ac:dyDescent="0.25">
      <c r="A233" s="25" t="s">
        <v>148</v>
      </c>
      <c r="B233" s="16">
        <v>903</v>
      </c>
      <c r="C233" s="20" t="s">
        <v>133</v>
      </c>
      <c r="D233" s="20" t="s">
        <v>155</v>
      </c>
      <c r="E233" s="20" t="s">
        <v>1239</v>
      </c>
      <c r="F233" s="20" t="s">
        <v>149</v>
      </c>
      <c r="G233" s="415">
        <f>'Пр.6 ведом.20'!G227</f>
        <v>25</v>
      </c>
      <c r="H233" s="415">
        <f t="shared" si="12"/>
        <v>25</v>
      </c>
      <c r="I233" s="230"/>
    </row>
    <row r="234" spans="1:9" ht="47.25" x14ac:dyDescent="0.25">
      <c r="A234" s="31" t="s">
        <v>793</v>
      </c>
      <c r="B234" s="16">
        <v>903</v>
      </c>
      <c r="C234" s="20" t="s">
        <v>133</v>
      </c>
      <c r="D234" s="20" t="s">
        <v>155</v>
      </c>
      <c r="E234" s="20" t="s">
        <v>1240</v>
      </c>
      <c r="F234" s="20"/>
      <c r="G234" s="415">
        <f>'Пр.6 ведом.20'!G228</f>
        <v>10</v>
      </c>
      <c r="H234" s="415">
        <f t="shared" si="12"/>
        <v>10</v>
      </c>
      <c r="I234" s="230"/>
    </row>
    <row r="235" spans="1:9" ht="31.5" x14ac:dyDescent="0.25">
      <c r="A235" s="25" t="s">
        <v>146</v>
      </c>
      <c r="B235" s="16">
        <v>903</v>
      </c>
      <c r="C235" s="20" t="s">
        <v>133</v>
      </c>
      <c r="D235" s="20" t="s">
        <v>155</v>
      </c>
      <c r="E235" s="20" t="s">
        <v>1240</v>
      </c>
      <c r="F235" s="20" t="s">
        <v>147</v>
      </c>
      <c r="G235" s="415">
        <f>'Пр.6 ведом.20'!G229</f>
        <v>10</v>
      </c>
      <c r="H235" s="415">
        <f t="shared" si="12"/>
        <v>10</v>
      </c>
      <c r="I235" s="230"/>
    </row>
    <row r="236" spans="1:9" ht="31.5" x14ac:dyDescent="0.25">
      <c r="A236" s="25" t="s">
        <v>148</v>
      </c>
      <c r="B236" s="16">
        <v>903</v>
      </c>
      <c r="C236" s="20" t="s">
        <v>133</v>
      </c>
      <c r="D236" s="20" t="s">
        <v>155</v>
      </c>
      <c r="E236" s="20" t="s">
        <v>1240</v>
      </c>
      <c r="F236" s="20" t="s">
        <v>149</v>
      </c>
      <c r="G236" s="415">
        <f>'Пр.6 ведом.20'!G230</f>
        <v>10</v>
      </c>
      <c r="H236" s="415">
        <f t="shared" si="12"/>
        <v>10</v>
      </c>
      <c r="I236" s="230"/>
    </row>
    <row r="237" spans="1:9" ht="15.75" hidden="1" x14ac:dyDescent="0.25">
      <c r="A237" s="25" t="s">
        <v>1149</v>
      </c>
      <c r="B237" s="16">
        <v>903</v>
      </c>
      <c r="C237" s="20" t="s">
        <v>133</v>
      </c>
      <c r="D237" s="20" t="s">
        <v>155</v>
      </c>
      <c r="E237" s="20" t="s">
        <v>1241</v>
      </c>
      <c r="F237" s="20"/>
      <c r="G237" s="415">
        <f>'Пр.6 ведом.20'!G231</f>
        <v>0</v>
      </c>
      <c r="H237" s="415">
        <f t="shared" si="12"/>
        <v>0</v>
      </c>
      <c r="I237" s="230"/>
    </row>
    <row r="238" spans="1:9" ht="31.5" hidden="1" x14ac:dyDescent="0.25">
      <c r="A238" s="25" t="s">
        <v>146</v>
      </c>
      <c r="B238" s="16">
        <v>903</v>
      </c>
      <c r="C238" s="20" t="s">
        <v>133</v>
      </c>
      <c r="D238" s="20" t="s">
        <v>155</v>
      </c>
      <c r="E238" s="20" t="s">
        <v>1241</v>
      </c>
      <c r="F238" s="20" t="s">
        <v>147</v>
      </c>
      <c r="G238" s="415">
        <f>'Пр.6 ведом.20'!G232</f>
        <v>0</v>
      </c>
      <c r="H238" s="415">
        <f t="shared" si="12"/>
        <v>0</v>
      </c>
      <c r="I238" s="230"/>
    </row>
    <row r="239" spans="1:9" ht="31.5" hidden="1" x14ac:dyDescent="0.25">
      <c r="A239" s="25" t="s">
        <v>148</v>
      </c>
      <c r="B239" s="16">
        <v>903</v>
      </c>
      <c r="C239" s="20" t="s">
        <v>133</v>
      </c>
      <c r="D239" s="20" t="s">
        <v>155</v>
      </c>
      <c r="E239" s="20" t="s">
        <v>1241</v>
      </c>
      <c r="F239" s="20" t="s">
        <v>149</v>
      </c>
      <c r="G239" s="415">
        <f>'Пр.6 ведом.20'!G233</f>
        <v>0</v>
      </c>
      <c r="H239" s="415">
        <f t="shared" si="12"/>
        <v>0</v>
      </c>
      <c r="I239" s="230"/>
    </row>
    <row r="240" spans="1:9" ht="31.5" x14ac:dyDescent="0.25">
      <c r="A240" s="31" t="s">
        <v>794</v>
      </c>
      <c r="B240" s="16">
        <v>903</v>
      </c>
      <c r="C240" s="20" t="s">
        <v>133</v>
      </c>
      <c r="D240" s="20" t="s">
        <v>155</v>
      </c>
      <c r="E240" s="20" t="s">
        <v>1242</v>
      </c>
      <c r="F240" s="20"/>
      <c r="G240" s="415">
        <f>'Пр.6 ведом.20'!G234</f>
        <v>20</v>
      </c>
      <c r="H240" s="415">
        <f t="shared" si="12"/>
        <v>20</v>
      </c>
      <c r="I240" s="230"/>
    </row>
    <row r="241" spans="1:9" ht="31.5" x14ac:dyDescent="0.25">
      <c r="A241" s="25" t="s">
        <v>146</v>
      </c>
      <c r="B241" s="16">
        <v>903</v>
      </c>
      <c r="C241" s="20" t="s">
        <v>133</v>
      </c>
      <c r="D241" s="20" t="s">
        <v>155</v>
      </c>
      <c r="E241" s="20" t="s">
        <v>1242</v>
      </c>
      <c r="F241" s="20" t="s">
        <v>147</v>
      </c>
      <c r="G241" s="415">
        <f>'Пр.6 ведом.20'!G235</f>
        <v>20</v>
      </c>
      <c r="H241" s="415">
        <f t="shared" si="12"/>
        <v>20</v>
      </c>
      <c r="I241" s="230"/>
    </row>
    <row r="242" spans="1:9" ht="31.5" x14ac:dyDescent="0.25">
      <c r="A242" s="25" t="s">
        <v>148</v>
      </c>
      <c r="B242" s="16">
        <v>903</v>
      </c>
      <c r="C242" s="20" t="s">
        <v>133</v>
      </c>
      <c r="D242" s="20" t="s">
        <v>155</v>
      </c>
      <c r="E242" s="20" t="s">
        <v>1242</v>
      </c>
      <c r="F242" s="20" t="s">
        <v>149</v>
      </c>
      <c r="G242" s="415">
        <f>'Пр.6 ведом.20'!G236</f>
        <v>20</v>
      </c>
      <c r="H242" s="415">
        <f t="shared" si="12"/>
        <v>20</v>
      </c>
      <c r="I242" s="230"/>
    </row>
    <row r="243" spans="1:9" ht="63" x14ac:dyDescent="0.25">
      <c r="A243" s="41" t="s">
        <v>1452</v>
      </c>
      <c r="B243" s="19">
        <v>903</v>
      </c>
      <c r="C243" s="24" t="s">
        <v>133</v>
      </c>
      <c r="D243" s="24" t="s">
        <v>155</v>
      </c>
      <c r="E243" s="24" t="s">
        <v>727</v>
      </c>
      <c r="F243" s="24"/>
      <c r="G243" s="416">
        <f>G245</f>
        <v>5</v>
      </c>
      <c r="H243" s="416">
        <f>H245</f>
        <v>5</v>
      </c>
      <c r="I243" s="230"/>
    </row>
    <row r="244" spans="1:9" ht="47.25" x14ac:dyDescent="0.25">
      <c r="A244" s="273" t="s">
        <v>894</v>
      </c>
      <c r="B244" s="19">
        <v>903</v>
      </c>
      <c r="C244" s="24" t="s">
        <v>133</v>
      </c>
      <c r="D244" s="24" t="s">
        <v>155</v>
      </c>
      <c r="E244" s="24" t="s">
        <v>900</v>
      </c>
      <c r="F244" s="24"/>
      <c r="G244" s="416">
        <f>G245</f>
        <v>5</v>
      </c>
      <c r="H244" s="416">
        <f>H245</f>
        <v>5</v>
      </c>
      <c r="I244" s="230"/>
    </row>
    <row r="245" spans="1:9" ht="31.5" x14ac:dyDescent="0.25">
      <c r="A245" s="101" t="s">
        <v>798</v>
      </c>
      <c r="B245" s="16">
        <v>903</v>
      </c>
      <c r="C245" s="20" t="s">
        <v>133</v>
      </c>
      <c r="D245" s="20" t="s">
        <v>155</v>
      </c>
      <c r="E245" s="20" t="s">
        <v>895</v>
      </c>
      <c r="F245" s="20"/>
      <c r="G245" s="415">
        <f>'Пр.6 ведом.20'!G239</f>
        <v>5</v>
      </c>
      <c r="H245" s="415">
        <f t="shared" si="12"/>
        <v>5</v>
      </c>
      <c r="I245" s="230"/>
    </row>
    <row r="246" spans="1:9" ht="31.5" x14ac:dyDescent="0.25">
      <c r="A246" s="25" t="s">
        <v>146</v>
      </c>
      <c r="B246" s="16">
        <v>903</v>
      </c>
      <c r="C246" s="20" t="s">
        <v>133</v>
      </c>
      <c r="D246" s="20" t="s">
        <v>155</v>
      </c>
      <c r="E246" s="20" t="s">
        <v>895</v>
      </c>
      <c r="F246" s="20" t="s">
        <v>147</v>
      </c>
      <c r="G246" s="415">
        <f>'Пр.6 ведом.20'!G240</f>
        <v>5</v>
      </c>
      <c r="H246" s="415">
        <f t="shared" si="12"/>
        <v>5</v>
      </c>
      <c r="I246" s="230"/>
    </row>
    <row r="247" spans="1:9" ht="31.5" x14ac:dyDescent="0.25">
      <c r="A247" s="25" t="s">
        <v>148</v>
      </c>
      <c r="B247" s="16">
        <v>903</v>
      </c>
      <c r="C247" s="20" t="s">
        <v>133</v>
      </c>
      <c r="D247" s="20" t="s">
        <v>155</v>
      </c>
      <c r="E247" s="20" t="s">
        <v>895</v>
      </c>
      <c r="F247" s="20" t="s">
        <v>149</v>
      </c>
      <c r="G247" s="415">
        <f>'Пр.6 ведом.20'!G241</f>
        <v>5</v>
      </c>
      <c r="H247" s="415">
        <f t="shared" si="12"/>
        <v>5</v>
      </c>
      <c r="I247" s="230"/>
    </row>
    <row r="248" spans="1:9" ht="15.75" x14ac:dyDescent="0.25">
      <c r="A248" s="279" t="s">
        <v>247</v>
      </c>
      <c r="B248" s="19">
        <v>903</v>
      </c>
      <c r="C248" s="24" t="s">
        <v>165</v>
      </c>
      <c r="D248" s="20"/>
      <c r="E248" s="20"/>
      <c r="F248" s="32"/>
      <c r="G248" s="416">
        <f t="shared" ref="G248:H250" si="13">G249</f>
        <v>570</v>
      </c>
      <c r="H248" s="416">
        <f t="shared" si="13"/>
        <v>570</v>
      </c>
      <c r="I248" s="230"/>
    </row>
    <row r="249" spans="1:9" ht="31.5" x14ac:dyDescent="0.25">
      <c r="A249" s="23" t="s">
        <v>252</v>
      </c>
      <c r="B249" s="19">
        <v>903</v>
      </c>
      <c r="C249" s="24" t="s">
        <v>165</v>
      </c>
      <c r="D249" s="24" t="s">
        <v>253</v>
      </c>
      <c r="E249" s="20"/>
      <c r="F249" s="32"/>
      <c r="G249" s="416">
        <f t="shared" si="13"/>
        <v>570</v>
      </c>
      <c r="H249" s="416">
        <f t="shared" si="13"/>
        <v>570</v>
      </c>
      <c r="I249" s="230"/>
    </row>
    <row r="250" spans="1:9" ht="47.25" x14ac:dyDescent="0.25">
      <c r="A250" s="23" t="s">
        <v>1450</v>
      </c>
      <c r="B250" s="19">
        <v>903</v>
      </c>
      <c r="C250" s="24" t="s">
        <v>165</v>
      </c>
      <c r="D250" s="24" t="s">
        <v>253</v>
      </c>
      <c r="E250" s="24" t="s">
        <v>359</v>
      </c>
      <c r="F250" s="285"/>
      <c r="G250" s="416">
        <f t="shared" si="13"/>
        <v>570</v>
      </c>
      <c r="H250" s="416">
        <f t="shared" si="13"/>
        <v>570</v>
      </c>
      <c r="I250" s="230"/>
    </row>
    <row r="251" spans="1:9" ht="52.5" customHeight="1" x14ac:dyDescent="0.25">
      <c r="A251" s="23" t="s">
        <v>382</v>
      </c>
      <c r="B251" s="19">
        <v>903</v>
      </c>
      <c r="C251" s="24" t="s">
        <v>165</v>
      </c>
      <c r="D251" s="24" t="s">
        <v>253</v>
      </c>
      <c r="E251" s="24" t="s">
        <v>383</v>
      </c>
      <c r="F251" s="24"/>
      <c r="G251" s="416">
        <f>G252+G259+G266+G273</f>
        <v>570</v>
      </c>
      <c r="H251" s="416">
        <f>H252+H259+H266+H273</f>
        <v>570</v>
      </c>
      <c r="I251" s="230"/>
    </row>
    <row r="252" spans="1:9" ht="47.25" hidden="1" x14ac:dyDescent="0.25">
      <c r="A252" s="277" t="s">
        <v>1222</v>
      </c>
      <c r="B252" s="19">
        <v>903</v>
      </c>
      <c r="C252" s="24" t="s">
        <v>165</v>
      </c>
      <c r="D252" s="24" t="s">
        <v>253</v>
      </c>
      <c r="E252" s="24" t="s">
        <v>939</v>
      </c>
      <c r="F252" s="24"/>
      <c r="G252" s="416">
        <f>G253+G256</f>
        <v>0</v>
      </c>
      <c r="H252" s="416">
        <f>H253+H256</f>
        <v>0</v>
      </c>
      <c r="I252" s="230"/>
    </row>
    <row r="253" spans="1:9" ht="47.25" hidden="1" x14ac:dyDescent="0.25">
      <c r="A253" s="25" t="s">
        <v>390</v>
      </c>
      <c r="B253" s="16">
        <v>903</v>
      </c>
      <c r="C253" s="20" t="s">
        <v>165</v>
      </c>
      <c r="D253" s="20" t="s">
        <v>253</v>
      </c>
      <c r="E253" s="20" t="s">
        <v>1223</v>
      </c>
      <c r="F253" s="20"/>
      <c r="G253" s="415">
        <f>'Пр.6 ведом.20'!G247</f>
        <v>0</v>
      </c>
      <c r="H253" s="415">
        <f t="shared" si="12"/>
        <v>0</v>
      </c>
      <c r="I253" s="230"/>
    </row>
    <row r="254" spans="1:9" ht="31.5" hidden="1" x14ac:dyDescent="0.25">
      <c r="A254" s="25" t="s">
        <v>263</v>
      </c>
      <c r="B254" s="16">
        <v>903</v>
      </c>
      <c r="C254" s="20" t="s">
        <v>165</v>
      </c>
      <c r="D254" s="20" t="s">
        <v>253</v>
      </c>
      <c r="E254" s="20" t="s">
        <v>1223</v>
      </c>
      <c r="F254" s="20" t="s">
        <v>264</v>
      </c>
      <c r="G254" s="415">
        <f>'Пр.6 ведом.20'!G248</f>
        <v>0</v>
      </c>
      <c r="H254" s="415">
        <f t="shared" si="12"/>
        <v>0</v>
      </c>
      <c r="I254" s="230"/>
    </row>
    <row r="255" spans="1:9" ht="31.5" hidden="1" x14ac:dyDescent="0.25">
      <c r="A255" s="25" t="s">
        <v>265</v>
      </c>
      <c r="B255" s="16">
        <v>903</v>
      </c>
      <c r="C255" s="20" t="s">
        <v>165</v>
      </c>
      <c r="D255" s="20" t="s">
        <v>253</v>
      </c>
      <c r="E255" s="20" t="s">
        <v>1223</v>
      </c>
      <c r="F255" s="20" t="s">
        <v>266</v>
      </c>
      <c r="G255" s="415">
        <f>'Пр.6 ведом.20'!G249</f>
        <v>0</v>
      </c>
      <c r="H255" s="415">
        <f t="shared" si="12"/>
        <v>0</v>
      </c>
      <c r="I255" s="230"/>
    </row>
    <row r="256" spans="1:9" ht="47.25" hidden="1" x14ac:dyDescent="0.25">
      <c r="A256" s="25" t="s">
        <v>390</v>
      </c>
      <c r="B256" s="16">
        <v>903</v>
      </c>
      <c r="C256" s="20" t="s">
        <v>165</v>
      </c>
      <c r="D256" s="20" t="s">
        <v>253</v>
      </c>
      <c r="E256" s="20" t="s">
        <v>1224</v>
      </c>
      <c r="F256" s="20"/>
      <c r="G256" s="415">
        <f>'Пр.6 ведом.20'!G250</f>
        <v>0</v>
      </c>
      <c r="H256" s="415">
        <f t="shared" si="12"/>
        <v>0</v>
      </c>
      <c r="I256" s="230"/>
    </row>
    <row r="257" spans="1:9" ht="31.5" hidden="1" x14ac:dyDescent="0.25">
      <c r="A257" s="25" t="s">
        <v>263</v>
      </c>
      <c r="B257" s="16">
        <v>903</v>
      </c>
      <c r="C257" s="20" t="s">
        <v>165</v>
      </c>
      <c r="D257" s="20" t="s">
        <v>253</v>
      </c>
      <c r="E257" s="20" t="s">
        <v>1224</v>
      </c>
      <c r="F257" s="20" t="s">
        <v>264</v>
      </c>
      <c r="G257" s="415">
        <f>'Пр.6 ведом.20'!G251</f>
        <v>0</v>
      </c>
      <c r="H257" s="415">
        <f t="shared" si="12"/>
        <v>0</v>
      </c>
      <c r="I257" s="230"/>
    </row>
    <row r="258" spans="1:9" ht="31.5" hidden="1" x14ac:dyDescent="0.25">
      <c r="A258" s="25" t="s">
        <v>265</v>
      </c>
      <c r="B258" s="16">
        <v>903</v>
      </c>
      <c r="C258" s="20" t="s">
        <v>165</v>
      </c>
      <c r="D258" s="20" t="s">
        <v>253</v>
      </c>
      <c r="E258" s="20" t="s">
        <v>1224</v>
      </c>
      <c r="F258" s="20" t="s">
        <v>266</v>
      </c>
      <c r="G258" s="415">
        <f>'Пр.6 ведом.20'!G252</f>
        <v>0</v>
      </c>
      <c r="H258" s="415">
        <f t="shared" si="12"/>
        <v>0</v>
      </c>
      <c r="I258" s="230"/>
    </row>
    <row r="259" spans="1:9" ht="31.5" x14ac:dyDescent="0.25">
      <c r="A259" s="23" t="s">
        <v>1220</v>
      </c>
      <c r="B259" s="19">
        <v>903</v>
      </c>
      <c r="C259" s="24" t="s">
        <v>165</v>
      </c>
      <c r="D259" s="24" t="s">
        <v>253</v>
      </c>
      <c r="E259" s="24" t="s">
        <v>940</v>
      </c>
      <c r="F259" s="24"/>
      <c r="G259" s="416">
        <f>G260+G263</f>
        <v>560</v>
      </c>
      <c r="H259" s="416">
        <f>H260+H263</f>
        <v>560</v>
      </c>
      <c r="I259" s="230"/>
    </row>
    <row r="260" spans="1:9" ht="31.5" x14ac:dyDescent="0.25">
      <c r="A260" s="25" t="s">
        <v>1221</v>
      </c>
      <c r="B260" s="16">
        <v>903</v>
      </c>
      <c r="C260" s="20" t="s">
        <v>165</v>
      </c>
      <c r="D260" s="20" t="s">
        <v>253</v>
      </c>
      <c r="E260" s="20" t="s">
        <v>1225</v>
      </c>
      <c r="F260" s="20"/>
      <c r="G260" s="415">
        <f>'Пр.6 ведом.20'!G254</f>
        <v>60</v>
      </c>
      <c r="H260" s="415">
        <f t="shared" si="12"/>
        <v>60</v>
      </c>
      <c r="I260" s="230"/>
    </row>
    <row r="261" spans="1:9" ht="31.5" x14ac:dyDescent="0.25">
      <c r="A261" s="25" t="s">
        <v>287</v>
      </c>
      <c r="B261" s="16">
        <v>903</v>
      </c>
      <c r="C261" s="20" t="s">
        <v>165</v>
      </c>
      <c r="D261" s="20" t="s">
        <v>253</v>
      </c>
      <c r="E261" s="20" t="s">
        <v>1225</v>
      </c>
      <c r="F261" s="20" t="s">
        <v>288</v>
      </c>
      <c r="G261" s="415">
        <f>'Пр.6 ведом.20'!G255</f>
        <v>60</v>
      </c>
      <c r="H261" s="415">
        <f t="shared" si="12"/>
        <v>60</v>
      </c>
      <c r="I261" s="230"/>
    </row>
    <row r="262" spans="1:9" ht="63" x14ac:dyDescent="0.25">
      <c r="A262" s="25" t="s">
        <v>1303</v>
      </c>
      <c r="B262" s="16">
        <v>903</v>
      </c>
      <c r="C262" s="20" t="s">
        <v>165</v>
      </c>
      <c r="D262" s="20" t="s">
        <v>253</v>
      </c>
      <c r="E262" s="20" t="s">
        <v>1225</v>
      </c>
      <c r="F262" s="20" t="s">
        <v>387</v>
      </c>
      <c r="G262" s="415">
        <f>'Пр.6 ведом.20'!G256</f>
        <v>60</v>
      </c>
      <c r="H262" s="415">
        <f t="shared" si="12"/>
        <v>60</v>
      </c>
      <c r="I262" s="230"/>
    </row>
    <row r="263" spans="1:9" ht="110.25" x14ac:dyDescent="0.25">
      <c r="A263" s="25" t="s">
        <v>388</v>
      </c>
      <c r="B263" s="16">
        <v>903</v>
      </c>
      <c r="C263" s="20" t="s">
        <v>165</v>
      </c>
      <c r="D263" s="20" t="s">
        <v>253</v>
      </c>
      <c r="E263" s="20" t="s">
        <v>1226</v>
      </c>
      <c r="F263" s="20"/>
      <c r="G263" s="415">
        <f>G264</f>
        <v>500</v>
      </c>
      <c r="H263" s="415">
        <f>H264</f>
        <v>500</v>
      </c>
      <c r="I263" s="230"/>
    </row>
    <row r="264" spans="1:9" ht="31.5" x14ac:dyDescent="0.25">
      <c r="A264" s="25" t="s">
        <v>287</v>
      </c>
      <c r="B264" s="16">
        <v>903</v>
      </c>
      <c r="C264" s="20" t="s">
        <v>165</v>
      </c>
      <c r="D264" s="20" t="s">
        <v>253</v>
      </c>
      <c r="E264" s="20" t="s">
        <v>1226</v>
      </c>
      <c r="F264" s="20" t="s">
        <v>288</v>
      </c>
      <c r="G264" s="415">
        <f>G265</f>
        <v>500</v>
      </c>
      <c r="H264" s="415">
        <f>H265</f>
        <v>500</v>
      </c>
      <c r="I264" s="230"/>
    </row>
    <row r="265" spans="1:9" ht="63" x14ac:dyDescent="0.25">
      <c r="A265" s="25" t="s">
        <v>1303</v>
      </c>
      <c r="B265" s="16">
        <v>903</v>
      </c>
      <c r="C265" s="20" t="s">
        <v>165</v>
      </c>
      <c r="D265" s="20" t="s">
        <v>253</v>
      </c>
      <c r="E265" s="20" t="s">
        <v>1226</v>
      </c>
      <c r="F265" s="20" t="s">
        <v>387</v>
      </c>
      <c r="G265" s="415">
        <f>'Пр.6 ведом.20'!G259</f>
        <v>500</v>
      </c>
      <c r="H265" s="415">
        <f t="shared" si="12"/>
        <v>500</v>
      </c>
      <c r="I265" s="230"/>
    </row>
    <row r="266" spans="1:9" ht="31.5" hidden="1" x14ac:dyDescent="0.25">
      <c r="A266" s="23" t="s">
        <v>1150</v>
      </c>
      <c r="B266" s="19">
        <v>903</v>
      </c>
      <c r="C266" s="24" t="s">
        <v>165</v>
      </c>
      <c r="D266" s="24" t="s">
        <v>253</v>
      </c>
      <c r="E266" s="24" t="s">
        <v>941</v>
      </c>
      <c r="F266" s="24"/>
      <c r="G266" s="416">
        <f>G267+G270</f>
        <v>0</v>
      </c>
      <c r="H266" s="416">
        <f>H267+H270</f>
        <v>0</v>
      </c>
      <c r="I266" s="230"/>
    </row>
    <row r="267" spans="1:9" ht="31.5" hidden="1" x14ac:dyDescent="0.25">
      <c r="A267" s="351" t="s">
        <v>1229</v>
      </c>
      <c r="B267" s="16">
        <v>903</v>
      </c>
      <c r="C267" s="20" t="s">
        <v>165</v>
      </c>
      <c r="D267" s="20" t="s">
        <v>253</v>
      </c>
      <c r="E267" s="20" t="s">
        <v>1227</v>
      </c>
      <c r="F267" s="20"/>
      <c r="G267" s="415">
        <f>'Пр.6 ведом.20'!G261</f>
        <v>0</v>
      </c>
      <c r="H267" s="415">
        <f t="shared" si="12"/>
        <v>0</v>
      </c>
      <c r="I267" s="230"/>
    </row>
    <row r="268" spans="1:9" ht="31.5" hidden="1" x14ac:dyDescent="0.25">
      <c r="A268" s="25" t="s">
        <v>146</v>
      </c>
      <c r="B268" s="16">
        <v>903</v>
      </c>
      <c r="C268" s="20" t="s">
        <v>165</v>
      </c>
      <c r="D268" s="20" t="s">
        <v>253</v>
      </c>
      <c r="E268" s="20" t="s">
        <v>1227</v>
      </c>
      <c r="F268" s="20" t="s">
        <v>147</v>
      </c>
      <c r="G268" s="415">
        <f>'Пр.6 ведом.20'!G262</f>
        <v>0</v>
      </c>
      <c r="H268" s="415">
        <f t="shared" si="12"/>
        <v>0</v>
      </c>
      <c r="I268" s="230"/>
    </row>
    <row r="269" spans="1:9" ht="31.5" hidden="1" x14ac:dyDescent="0.25">
      <c r="A269" s="25" t="s">
        <v>148</v>
      </c>
      <c r="B269" s="16">
        <v>903</v>
      </c>
      <c r="C269" s="20" t="s">
        <v>165</v>
      </c>
      <c r="D269" s="20" t="s">
        <v>253</v>
      </c>
      <c r="E269" s="20" t="s">
        <v>1227</v>
      </c>
      <c r="F269" s="20" t="s">
        <v>149</v>
      </c>
      <c r="G269" s="415">
        <f>'Пр.6 ведом.20'!G263</f>
        <v>0</v>
      </c>
      <c r="H269" s="415">
        <f t="shared" si="12"/>
        <v>0</v>
      </c>
      <c r="I269" s="230"/>
    </row>
    <row r="270" spans="1:9" ht="31.5" hidden="1" x14ac:dyDescent="0.25">
      <c r="A270" s="25" t="s">
        <v>392</v>
      </c>
      <c r="B270" s="16">
        <v>903</v>
      </c>
      <c r="C270" s="20" t="s">
        <v>165</v>
      </c>
      <c r="D270" s="20" t="s">
        <v>253</v>
      </c>
      <c r="E270" s="20" t="s">
        <v>1228</v>
      </c>
      <c r="F270" s="20"/>
      <c r="G270" s="415">
        <f>'Пр.6 ведом.20'!G264</f>
        <v>0</v>
      </c>
      <c r="H270" s="415">
        <f t="shared" si="12"/>
        <v>0</v>
      </c>
      <c r="I270" s="230"/>
    </row>
    <row r="271" spans="1:9" ht="31.5" hidden="1" x14ac:dyDescent="0.25">
      <c r="A271" s="25" t="s">
        <v>146</v>
      </c>
      <c r="B271" s="16">
        <v>903</v>
      </c>
      <c r="C271" s="20" t="s">
        <v>165</v>
      </c>
      <c r="D271" s="20" t="s">
        <v>253</v>
      </c>
      <c r="E271" s="20" t="s">
        <v>1228</v>
      </c>
      <c r="F271" s="20" t="s">
        <v>147</v>
      </c>
      <c r="G271" s="415">
        <f>'Пр.6 ведом.20'!G265</f>
        <v>0</v>
      </c>
      <c r="H271" s="415">
        <f t="shared" si="12"/>
        <v>0</v>
      </c>
      <c r="I271" s="230"/>
    </row>
    <row r="272" spans="1:9" ht="31.5" hidden="1" x14ac:dyDescent="0.25">
      <c r="A272" s="25" t="s">
        <v>148</v>
      </c>
      <c r="B272" s="16">
        <v>903</v>
      </c>
      <c r="C272" s="20" t="s">
        <v>165</v>
      </c>
      <c r="D272" s="20" t="s">
        <v>253</v>
      </c>
      <c r="E272" s="20" t="s">
        <v>1228</v>
      </c>
      <c r="F272" s="20" t="s">
        <v>149</v>
      </c>
      <c r="G272" s="415">
        <f>'Пр.6 ведом.20'!G266</f>
        <v>0</v>
      </c>
      <c r="H272" s="415">
        <f t="shared" si="12"/>
        <v>0</v>
      </c>
      <c r="I272" s="230"/>
    </row>
    <row r="273" spans="1:9" s="229" customFormat="1" ht="31.5" x14ac:dyDescent="0.25">
      <c r="A273" s="274" t="s">
        <v>1323</v>
      </c>
      <c r="B273" s="19">
        <v>903</v>
      </c>
      <c r="C273" s="24" t="s">
        <v>165</v>
      </c>
      <c r="D273" s="24" t="s">
        <v>253</v>
      </c>
      <c r="E273" s="24" t="s">
        <v>1322</v>
      </c>
      <c r="F273" s="24"/>
      <c r="G273" s="416">
        <f t="shared" ref="G273:H275" si="14">G274</f>
        <v>10</v>
      </c>
      <c r="H273" s="416">
        <f t="shared" si="14"/>
        <v>10</v>
      </c>
      <c r="I273" s="230"/>
    </row>
    <row r="274" spans="1:9" s="229" customFormat="1" ht="31.5" x14ac:dyDescent="0.25">
      <c r="A274" s="303" t="s">
        <v>1324</v>
      </c>
      <c r="B274" s="16">
        <v>903</v>
      </c>
      <c r="C274" s="20" t="s">
        <v>165</v>
      </c>
      <c r="D274" s="20" t="s">
        <v>253</v>
      </c>
      <c r="E274" s="20" t="s">
        <v>1381</v>
      </c>
      <c r="F274" s="20"/>
      <c r="G274" s="415">
        <f t="shared" si="14"/>
        <v>10</v>
      </c>
      <c r="H274" s="415">
        <f t="shared" si="14"/>
        <v>10</v>
      </c>
      <c r="I274" s="230"/>
    </row>
    <row r="275" spans="1:9" s="229" customFormat="1" ht="31.5" x14ac:dyDescent="0.25">
      <c r="A275" s="25" t="s">
        <v>146</v>
      </c>
      <c r="B275" s="16">
        <v>903</v>
      </c>
      <c r="C275" s="20" t="s">
        <v>165</v>
      </c>
      <c r="D275" s="20" t="s">
        <v>253</v>
      </c>
      <c r="E275" s="20" t="s">
        <v>1381</v>
      </c>
      <c r="F275" s="20" t="s">
        <v>147</v>
      </c>
      <c r="G275" s="415">
        <f t="shared" si="14"/>
        <v>10</v>
      </c>
      <c r="H275" s="415">
        <f t="shared" si="14"/>
        <v>10</v>
      </c>
      <c r="I275" s="230"/>
    </row>
    <row r="276" spans="1:9" s="229" customFormat="1" ht="31.5" x14ac:dyDescent="0.25">
      <c r="A276" s="25" t="s">
        <v>148</v>
      </c>
      <c r="B276" s="16">
        <v>903</v>
      </c>
      <c r="C276" s="20" t="s">
        <v>165</v>
      </c>
      <c r="D276" s="20" t="s">
        <v>253</v>
      </c>
      <c r="E276" s="20" t="s">
        <v>1381</v>
      </c>
      <c r="F276" s="20" t="s">
        <v>149</v>
      </c>
      <c r="G276" s="415">
        <f>'Пр.6 ведом.20'!G270</f>
        <v>10</v>
      </c>
      <c r="H276" s="415">
        <f>G276</f>
        <v>10</v>
      </c>
      <c r="I276" s="230"/>
    </row>
    <row r="277" spans="1:9" ht="15.75" x14ac:dyDescent="0.25">
      <c r="A277" s="23" t="s">
        <v>278</v>
      </c>
      <c r="B277" s="19">
        <v>903</v>
      </c>
      <c r="C277" s="24" t="s">
        <v>279</v>
      </c>
      <c r="D277" s="20"/>
      <c r="E277" s="20"/>
      <c r="F277" s="20"/>
      <c r="G277" s="416">
        <f>G278+G318</f>
        <v>17624.63</v>
      </c>
      <c r="H277" s="416">
        <f>H278+H318</f>
        <v>17624.63</v>
      </c>
      <c r="I277" s="230"/>
    </row>
    <row r="278" spans="1:9" ht="15.75" x14ac:dyDescent="0.25">
      <c r="A278" s="23" t="s">
        <v>280</v>
      </c>
      <c r="B278" s="19">
        <v>903</v>
      </c>
      <c r="C278" s="24" t="s">
        <v>279</v>
      </c>
      <c r="D278" s="24" t="s">
        <v>230</v>
      </c>
      <c r="E278" s="24"/>
      <c r="F278" s="24"/>
      <c r="G278" s="416">
        <f>G279+G313</f>
        <v>16864.63</v>
      </c>
      <c r="H278" s="416">
        <f>H279+H313</f>
        <v>16864.63</v>
      </c>
      <c r="I278" s="230"/>
    </row>
    <row r="279" spans="1:9" ht="47.25" x14ac:dyDescent="0.25">
      <c r="A279" s="23" t="s">
        <v>1453</v>
      </c>
      <c r="B279" s="19">
        <v>903</v>
      </c>
      <c r="C279" s="24" t="s">
        <v>279</v>
      </c>
      <c r="D279" s="24" t="s">
        <v>230</v>
      </c>
      <c r="E279" s="24" t="s">
        <v>282</v>
      </c>
      <c r="F279" s="24"/>
      <c r="G279" s="416">
        <f>G280</f>
        <v>16643.63</v>
      </c>
      <c r="H279" s="416">
        <f>H280</f>
        <v>16643.63</v>
      </c>
      <c r="I279" s="230"/>
    </row>
    <row r="280" spans="1:9" ht="47.25" x14ac:dyDescent="0.25">
      <c r="A280" s="23" t="s">
        <v>283</v>
      </c>
      <c r="B280" s="19">
        <v>903</v>
      </c>
      <c r="C280" s="24" t="s">
        <v>279</v>
      </c>
      <c r="D280" s="24" t="s">
        <v>230</v>
      </c>
      <c r="E280" s="24" t="s">
        <v>284</v>
      </c>
      <c r="F280" s="24"/>
      <c r="G280" s="416">
        <f>G281+G289+G293+G303+G299</f>
        <v>16643.63</v>
      </c>
      <c r="H280" s="416">
        <f>H281+H289+H293+H303+H299</f>
        <v>16643.63</v>
      </c>
      <c r="I280" s="230"/>
    </row>
    <row r="281" spans="1:9" ht="36" customHeight="1" x14ac:dyDescent="0.25">
      <c r="A281" s="23" t="s">
        <v>943</v>
      </c>
      <c r="B281" s="19">
        <v>903</v>
      </c>
      <c r="C281" s="24" t="s">
        <v>279</v>
      </c>
      <c r="D281" s="24" t="s">
        <v>230</v>
      </c>
      <c r="E281" s="24" t="s">
        <v>944</v>
      </c>
      <c r="F281" s="24"/>
      <c r="G281" s="315">
        <f>G282</f>
        <v>15011</v>
      </c>
      <c r="H281" s="315">
        <f>H282</f>
        <v>15011</v>
      </c>
      <c r="I281" s="230"/>
    </row>
    <row r="282" spans="1:9" ht="15.75" x14ac:dyDescent="0.25">
      <c r="A282" s="25" t="s">
        <v>832</v>
      </c>
      <c r="B282" s="16">
        <v>903</v>
      </c>
      <c r="C282" s="20" t="s">
        <v>279</v>
      </c>
      <c r="D282" s="20" t="s">
        <v>230</v>
      </c>
      <c r="E282" s="20" t="s">
        <v>942</v>
      </c>
      <c r="F282" s="20"/>
      <c r="G282" s="415">
        <f>'Пр.6 ведом.20'!G276</f>
        <v>15011</v>
      </c>
      <c r="H282" s="415">
        <f t="shared" si="12"/>
        <v>15011</v>
      </c>
      <c r="I282" s="230"/>
    </row>
    <row r="283" spans="1:9" ht="78.75" x14ac:dyDescent="0.25">
      <c r="A283" s="25" t="s">
        <v>142</v>
      </c>
      <c r="B283" s="16">
        <v>903</v>
      </c>
      <c r="C283" s="20" t="s">
        <v>279</v>
      </c>
      <c r="D283" s="20" t="s">
        <v>230</v>
      </c>
      <c r="E283" s="20" t="s">
        <v>942</v>
      </c>
      <c r="F283" s="20" t="s">
        <v>143</v>
      </c>
      <c r="G283" s="415">
        <f>'Пр.6 ведом.20'!G277</f>
        <v>13393</v>
      </c>
      <c r="H283" s="415">
        <f t="shared" si="12"/>
        <v>13393</v>
      </c>
      <c r="I283" s="230"/>
    </row>
    <row r="284" spans="1:9" ht="21" customHeight="1" x14ac:dyDescent="0.25">
      <c r="A284" s="46" t="s">
        <v>357</v>
      </c>
      <c r="B284" s="16">
        <v>903</v>
      </c>
      <c r="C284" s="20" t="s">
        <v>279</v>
      </c>
      <c r="D284" s="20" t="s">
        <v>230</v>
      </c>
      <c r="E284" s="20" t="s">
        <v>942</v>
      </c>
      <c r="F284" s="20" t="s">
        <v>224</v>
      </c>
      <c r="G284" s="415">
        <f>'Пр.6 ведом.20'!G278</f>
        <v>13393</v>
      </c>
      <c r="H284" s="415">
        <f t="shared" si="12"/>
        <v>13393</v>
      </c>
      <c r="I284" s="230"/>
    </row>
    <row r="285" spans="1:9" ht="31.5" x14ac:dyDescent="0.25">
      <c r="A285" s="25" t="s">
        <v>146</v>
      </c>
      <c r="B285" s="16">
        <v>903</v>
      </c>
      <c r="C285" s="20" t="s">
        <v>279</v>
      </c>
      <c r="D285" s="20" t="s">
        <v>230</v>
      </c>
      <c r="E285" s="20" t="s">
        <v>942</v>
      </c>
      <c r="F285" s="20" t="s">
        <v>147</v>
      </c>
      <c r="G285" s="415">
        <f>'Пр.6 ведом.20'!G279</f>
        <v>1540</v>
      </c>
      <c r="H285" s="415">
        <f t="shared" ref="H285:H348" si="15">G285</f>
        <v>1540</v>
      </c>
      <c r="I285" s="230"/>
    </row>
    <row r="286" spans="1:9" ht="31.5" x14ac:dyDescent="0.25">
      <c r="A286" s="25" t="s">
        <v>148</v>
      </c>
      <c r="B286" s="16">
        <v>903</v>
      </c>
      <c r="C286" s="20" t="s">
        <v>279</v>
      </c>
      <c r="D286" s="20" t="s">
        <v>230</v>
      </c>
      <c r="E286" s="20" t="s">
        <v>942</v>
      </c>
      <c r="F286" s="20" t="s">
        <v>149</v>
      </c>
      <c r="G286" s="415">
        <f>'Пр.6 ведом.20'!G280</f>
        <v>1540</v>
      </c>
      <c r="H286" s="415">
        <f t="shared" si="15"/>
        <v>1540</v>
      </c>
      <c r="I286" s="230"/>
    </row>
    <row r="287" spans="1:9" ht="15.75" x14ac:dyDescent="0.25">
      <c r="A287" s="25" t="s">
        <v>150</v>
      </c>
      <c r="B287" s="16">
        <v>903</v>
      </c>
      <c r="C287" s="20" t="s">
        <v>279</v>
      </c>
      <c r="D287" s="20" t="s">
        <v>230</v>
      </c>
      <c r="E287" s="20" t="s">
        <v>942</v>
      </c>
      <c r="F287" s="20" t="s">
        <v>160</v>
      </c>
      <c r="G287" s="415">
        <f>'Пр.6 ведом.20'!G281</f>
        <v>78</v>
      </c>
      <c r="H287" s="415">
        <f t="shared" si="15"/>
        <v>78</v>
      </c>
      <c r="I287" s="230"/>
    </row>
    <row r="288" spans="1:9" ht="15.75" x14ac:dyDescent="0.25">
      <c r="A288" s="25" t="s">
        <v>726</v>
      </c>
      <c r="B288" s="16">
        <v>903</v>
      </c>
      <c r="C288" s="20" t="s">
        <v>279</v>
      </c>
      <c r="D288" s="20" t="s">
        <v>230</v>
      </c>
      <c r="E288" s="20" t="s">
        <v>942</v>
      </c>
      <c r="F288" s="20" t="s">
        <v>153</v>
      </c>
      <c r="G288" s="415">
        <f>'Пр.6 ведом.20'!G282</f>
        <v>78</v>
      </c>
      <c r="H288" s="415">
        <f t="shared" si="15"/>
        <v>78</v>
      </c>
      <c r="I288" s="230"/>
    </row>
    <row r="289" spans="1:9" ht="47.25" x14ac:dyDescent="0.25">
      <c r="A289" s="278" t="s">
        <v>1196</v>
      </c>
      <c r="B289" s="19">
        <v>903</v>
      </c>
      <c r="C289" s="24" t="s">
        <v>279</v>
      </c>
      <c r="D289" s="24" t="s">
        <v>230</v>
      </c>
      <c r="E289" s="24" t="s">
        <v>946</v>
      </c>
      <c r="F289" s="24"/>
      <c r="G289" s="315">
        <f>G290</f>
        <v>45</v>
      </c>
      <c r="H289" s="315">
        <f>H290</f>
        <v>45</v>
      </c>
      <c r="I289" s="230"/>
    </row>
    <row r="290" spans="1:9" ht="31.5" x14ac:dyDescent="0.25">
      <c r="A290" s="216" t="s">
        <v>831</v>
      </c>
      <c r="B290" s="16">
        <v>903</v>
      </c>
      <c r="C290" s="20" t="s">
        <v>279</v>
      </c>
      <c r="D290" s="20" t="s">
        <v>230</v>
      </c>
      <c r="E290" s="20" t="s">
        <v>945</v>
      </c>
      <c r="F290" s="20"/>
      <c r="G290" s="415">
        <f>'Пр.6 ведом.20'!G284</f>
        <v>45</v>
      </c>
      <c r="H290" s="415">
        <f t="shared" si="15"/>
        <v>45</v>
      </c>
      <c r="I290" s="230"/>
    </row>
    <row r="291" spans="1:9" ht="20.25" customHeight="1" x14ac:dyDescent="0.25">
      <c r="A291" s="25" t="s">
        <v>263</v>
      </c>
      <c r="B291" s="16">
        <v>903</v>
      </c>
      <c r="C291" s="20" t="s">
        <v>279</v>
      </c>
      <c r="D291" s="20" t="s">
        <v>230</v>
      </c>
      <c r="E291" s="20" t="s">
        <v>945</v>
      </c>
      <c r="F291" s="20" t="s">
        <v>264</v>
      </c>
      <c r="G291" s="415">
        <f>'Пр.6 ведом.20'!G285</f>
        <v>45</v>
      </c>
      <c r="H291" s="415">
        <f t="shared" si="15"/>
        <v>45</v>
      </c>
      <c r="I291" s="230"/>
    </row>
    <row r="292" spans="1:9" ht="15.75" x14ac:dyDescent="0.25">
      <c r="A292" s="25" t="s">
        <v>866</v>
      </c>
      <c r="B292" s="16">
        <v>903</v>
      </c>
      <c r="C292" s="20" t="s">
        <v>279</v>
      </c>
      <c r="D292" s="20" t="s">
        <v>230</v>
      </c>
      <c r="E292" s="20" t="s">
        <v>945</v>
      </c>
      <c r="F292" s="20" t="s">
        <v>865</v>
      </c>
      <c r="G292" s="415">
        <f>'Пр.6 ведом.20'!G286</f>
        <v>45</v>
      </c>
      <c r="H292" s="415">
        <f t="shared" si="15"/>
        <v>45</v>
      </c>
      <c r="I292" s="230"/>
    </row>
    <row r="293" spans="1:9" ht="47.25" x14ac:dyDescent="0.25">
      <c r="A293" s="283" t="s">
        <v>1174</v>
      </c>
      <c r="B293" s="19">
        <v>903</v>
      </c>
      <c r="C293" s="24" t="s">
        <v>279</v>
      </c>
      <c r="D293" s="24" t="s">
        <v>230</v>
      </c>
      <c r="E293" s="24" t="s">
        <v>947</v>
      </c>
      <c r="F293" s="24"/>
      <c r="G293" s="416">
        <f>G294</f>
        <v>250.00000000000003</v>
      </c>
      <c r="H293" s="416">
        <f>H294</f>
        <v>250.00000000000003</v>
      </c>
      <c r="I293" s="230"/>
    </row>
    <row r="294" spans="1:9" ht="31.5" x14ac:dyDescent="0.25">
      <c r="A294" s="31" t="s">
        <v>861</v>
      </c>
      <c r="B294" s="16">
        <v>903</v>
      </c>
      <c r="C294" s="20" t="s">
        <v>279</v>
      </c>
      <c r="D294" s="20" t="s">
        <v>230</v>
      </c>
      <c r="E294" s="20" t="s">
        <v>948</v>
      </c>
      <c r="F294" s="20"/>
      <c r="G294" s="415">
        <f>'Пр.6 ведом.20'!G288</f>
        <v>250.00000000000003</v>
      </c>
      <c r="H294" s="415">
        <f t="shared" si="15"/>
        <v>250.00000000000003</v>
      </c>
      <c r="I294" s="230"/>
    </row>
    <row r="295" spans="1:9" ht="78.75" x14ac:dyDescent="0.25">
      <c r="A295" s="25" t="s">
        <v>142</v>
      </c>
      <c r="B295" s="16">
        <v>903</v>
      </c>
      <c r="C295" s="20" t="s">
        <v>279</v>
      </c>
      <c r="D295" s="20" t="s">
        <v>230</v>
      </c>
      <c r="E295" s="20" t="s">
        <v>948</v>
      </c>
      <c r="F295" s="20" t="s">
        <v>143</v>
      </c>
      <c r="G295" s="415">
        <f>'Пр.6 ведом.20'!G289</f>
        <v>250.00000000000003</v>
      </c>
      <c r="H295" s="415">
        <f t="shared" si="15"/>
        <v>250.00000000000003</v>
      </c>
      <c r="I295" s="230"/>
    </row>
    <row r="296" spans="1:9" ht="24" customHeight="1" x14ac:dyDescent="0.25">
      <c r="A296" s="46" t="s">
        <v>357</v>
      </c>
      <c r="B296" s="16">
        <v>903</v>
      </c>
      <c r="C296" s="20" t="s">
        <v>279</v>
      </c>
      <c r="D296" s="20" t="s">
        <v>230</v>
      </c>
      <c r="E296" s="20" t="s">
        <v>948</v>
      </c>
      <c r="F296" s="20" t="s">
        <v>224</v>
      </c>
      <c r="G296" s="415">
        <f>'Пр.6 ведом.20'!G290</f>
        <v>250.00000000000003</v>
      </c>
      <c r="H296" s="415">
        <f t="shared" si="15"/>
        <v>250.00000000000003</v>
      </c>
      <c r="I296" s="230"/>
    </row>
    <row r="297" spans="1:9" ht="31.5" hidden="1" x14ac:dyDescent="0.25">
      <c r="A297" s="25" t="s">
        <v>146</v>
      </c>
      <c r="B297" s="16">
        <v>903</v>
      </c>
      <c r="C297" s="20" t="s">
        <v>279</v>
      </c>
      <c r="D297" s="20" t="s">
        <v>230</v>
      </c>
      <c r="E297" s="20" t="s">
        <v>948</v>
      </c>
      <c r="F297" s="20" t="s">
        <v>147</v>
      </c>
      <c r="G297" s="415">
        <f>'Пр.6 ведом.20'!G291</f>
        <v>0</v>
      </c>
      <c r="H297" s="415">
        <f t="shared" si="15"/>
        <v>0</v>
      </c>
      <c r="I297" s="230"/>
    </row>
    <row r="298" spans="1:9" ht="31.5" hidden="1" x14ac:dyDescent="0.25">
      <c r="A298" s="25" t="s">
        <v>148</v>
      </c>
      <c r="B298" s="16">
        <v>903</v>
      </c>
      <c r="C298" s="20" t="s">
        <v>279</v>
      </c>
      <c r="D298" s="20" t="s">
        <v>230</v>
      </c>
      <c r="E298" s="20" t="s">
        <v>948</v>
      </c>
      <c r="F298" s="20" t="s">
        <v>149</v>
      </c>
      <c r="G298" s="415">
        <f>'Пр.6 ведом.20'!G292</f>
        <v>0</v>
      </c>
      <c r="H298" s="415">
        <f t="shared" si="15"/>
        <v>0</v>
      </c>
      <c r="I298" s="230"/>
    </row>
    <row r="299" spans="1:9" ht="31.5" x14ac:dyDescent="0.25">
      <c r="A299" s="23" t="s">
        <v>1081</v>
      </c>
      <c r="B299" s="19">
        <v>903</v>
      </c>
      <c r="C299" s="24" t="s">
        <v>279</v>
      </c>
      <c r="D299" s="24" t="s">
        <v>230</v>
      </c>
      <c r="E299" s="24" t="s">
        <v>953</v>
      </c>
      <c r="F299" s="24"/>
      <c r="G299" s="315">
        <f>G300</f>
        <v>336</v>
      </c>
      <c r="H299" s="315">
        <f>H300</f>
        <v>336</v>
      </c>
      <c r="I299" s="230"/>
    </row>
    <row r="300" spans="1:9" ht="47.25" x14ac:dyDescent="0.25">
      <c r="A300" s="25" t="s">
        <v>886</v>
      </c>
      <c r="B300" s="16">
        <v>903</v>
      </c>
      <c r="C300" s="20" t="s">
        <v>279</v>
      </c>
      <c r="D300" s="20" t="s">
        <v>230</v>
      </c>
      <c r="E300" s="20" t="s">
        <v>1274</v>
      </c>
      <c r="F300" s="20"/>
      <c r="G300" s="415">
        <f>'Пр.6 ведом.20'!G294</f>
        <v>336</v>
      </c>
      <c r="H300" s="415">
        <f t="shared" si="15"/>
        <v>336</v>
      </c>
      <c r="I300" s="230"/>
    </row>
    <row r="301" spans="1:9" ht="78.75" x14ac:dyDescent="0.25">
      <c r="A301" s="25" t="s">
        <v>142</v>
      </c>
      <c r="B301" s="16">
        <v>903</v>
      </c>
      <c r="C301" s="20" t="s">
        <v>279</v>
      </c>
      <c r="D301" s="20" t="s">
        <v>230</v>
      </c>
      <c r="E301" s="20" t="s">
        <v>1274</v>
      </c>
      <c r="F301" s="20" t="s">
        <v>143</v>
      </c>
      <c r="G301" s="415">
        <f>'Пр.6 ведом.20'!G295</f>
        <v>336</v>
      </c>
      <c r="H301" s="415">
        <f t="shared" si="15"/>
        <v>336</v>
      </c>
      <c r="I301" s="230"/>
    </row>
    <row r="302" spans="1:9" ht="31.5" x14ac:dyDescent="0.25">
      <c r="A302" s="25" t="s">
        <v>357</v>
      </c>
      <c r="B302" s="16">
        <v>903</v>
      </c>
      <c r="C302" s="20" t="s">
        <v>279</v>
      </c>
      <c r="D302" s="20" t="s">
        <v>230</v>
      </c>
      <c r="E302" s="20" t="s">
        <v>1274</v>
      </c>
      <c r="F302" s="20" t="s">
        <v>224</v>
      </c>
      <c r="G302" s="415">
        <f>'Пр.6 ведом.20'!G296</f>
        <v>336</v>
      </c>
      <c r="H302" s="415">
        <f t="shared" si="15"/>
        <v>336</v>
      </c>
      <c r="I302" s="230"/>
    </row>
    <row r="303" spans="1:9" ht="47.25" x14ac:dyDescent="0.25">
      <c r="A303" s="23" t="s">
        <v>973</v>
      </c>
      <c r="B303" s="19">
        <v>903</v>
      </c>
      <c r="C303" s="24" t="s">
        <v>279</v>
      </c>
      <c r="D303" s="24" t="s">
        <v>230</v>
      </c>
      <c r="E303" s="24" t="s">
        <v>1275</v>
      </c>
      <c r="F303" s="24"/>
      <c r="G303" s="315">
        <f>G304+G307+G310</f>
        <v>1001.6300000000001</v>
      </c>
      <c r="H303" s="315">
        <f>H304+H307+H310</f>
        <v>1001.6300000000001</v>
      </c>
      <c r="I303" s="230"/>
    </row>
    <row r="304" spans="1:9" ht="63" x14ac:dyDescent="0.25">
      <c r="A304" s="31" t="s">
        <v>304</v>
      </c>
      <c r="B304" s="16">
        <v>903</v>
      </c>
      <c r="C304" s="20" t="s">
        <v>279</v>
      </c>
      <c r="D304" s="20" t="s">
        <v>230</v>
      </c>
      <c r="E304" s="20" t="s">
        <v>1276</v>
      </c>
      <c r="F304" s="20"/>
      <c r="G304" s="415">
        <f>'Пр.6 ведом.20'!G298</f>
        <v>100.8</v>
      </c>
      <c r="H304" s="415">
        <f t="shared" si="15"/>
        <v>100.8</v>
      </c>
      <c r="I304" s="230"/>
    </row>
    <row r="305" spans="1:9" ht="78.75" x14ac:dyDescent="0.25">
      <c r="A305" s="25" t="s">
        <v>142</v>
      </c>
      <c r="B305" s="16">
        <v>903</v>
      </c>
      <c r="C305" s="20" t="s">
        <v>279</v>
      </c>
      <c r="D305" s="20" t="s">
        <v>230</v>
      </c>
      <c r="E305" s="20" t="s">
        <v>1276</v>
      </c>
      <c r="F305" s="20" t="s">
        <v>143</v>
      </c>
      <c r="G305" s="415">
        <f>'Пр.6 ведом.20'!G299</f>
        <v>100.8</v>
      </c>
      <c r="H305" s="415">
        <f t="shared" si="15"/>
        <v>100.8</v>
      </c>
      <c r="I305" s="230"/>
    </row>
    <row r="306" spans="1:9" ht="31.5" x14ac:dyDescent="0.25">
      <c r="A306" s="46" t="s">
        <v>357</v>
      </c>
      <c r="B306" s="16">
        <v>903</v>
      </c>
      <c r="C306" s="20" t="s">
        <v>279</v>
      </c>
      <c r="D306" s="20" t="s">
        <v>230</v>
      </c>
      <c r="E306" s="20" t="s">
        <v>1276</v>
      </c>
      <c r="F306" s="20" t="s">
        <v>224</v>
      </c>
      <c r="G306" s="415">
        <f>'Пр.6 ведом.20'!G300</f>
        <v>100.8</v>
      </c>
      <c r="H306" s="415">
        <f t="shared" si="15"/>
        <v>100.8</v>
      </c>
      <c r="I306" s="230"/>
    </row>
    <row r="307" spans="1:9" ht="63" x14ac:dyDescent="0.25">
      <c r="A307" s="31" t="s">
        <v>306</v>
      </c>
      <c r="B307" s="16">
        <v>903</v>
      </c>
      <c r="C307" s="20" t="s">
        <v>279</v>
      </c>
      <c r="D307" s="20" t="s">
        <v>230</v>
      </c>
      <c r="E307" s="20" t="s">
        <v>1277</v>
      </c>
      <c r="F307" s="20"/>
      <c r="G307" s="415">
        <f>'Пр.6 ведом.20'!G301</f>
        <v>298.35000000000002</v>
      </c>
      <c r="H307" s="415">
        <f t="shared" si="15"/>
        <v>298.35000000000002</v>
      </c>
      <c r="I307" s="230"/>
    </row>
    <row r="308" spans="1:9" ht="78.75" x14ac:dyDescent="0.25">
      <c r="A308" s="25" t="s">
        <v>142</v>
      </c>
      <c r="B308" s="16">
        <v>903</v>
      </c>
      <c r="C308" s="20" t="s">
        <v>279</v>
      </c>
      <c r="D308" s="20" t="s">
        <v>230</v>
      </c>
      <c r="E308" s="20" t="s">
        <v>1277</v>
      </c>
      <c r="F308" s="20" t="s">
        <v>143</v>
      </c>
      <c r="G308" s="415">
        <f>'Пр.6 ведом.20'!G302</f>
        <v>298.35000000000002</v>
      </c>
      <c r="H308" s="415">
        <f t="shared" si="15"/>
        <v>298.35000000000002</v>
      </c>
      <c r="I308" s="230"/>
    </row>
    <row r="309" spans="1:9" ht="31.5" x14ac:dyDescent="0.25">
      <c r="A309" s="46" t="s">
        <v>357</v>
      </c>
      <c r="B309" s="16">
        <v>903</v>
      </c>
      <c r="C309" s="20" t="s">
        <v>279</v>
      </c>
      <c r="D309" s="20" t="s">
        <v>230</v>
      </c>
      <c r="E309" s="20" t="s">
        <v>1277</v>
      </c>
      <c r="F309" s="20" t="s">
        <v>224</v>
      </c>
      <c r="G309" s="415">
        <f>'Пр.6 ведом.20'!G303</f>
        <v>298.35000000000002</v>
      </c>
      <c r="H309" s="415">
        <f t="shared" si="15"/>
        <v>298.35000000000002</v>
      </c>
      <c r="I309" s="230"/>
    </row>
    <row r="310" spans="1:9" ht="94.5" x14ac:dyDescent="0.25">
      <c r="A310" s="31" t="s">
        <v>308</v>
      </c>
      <c r="B310" s="16">
        <v>903</v>
      </c>
      <c r="C310" s="20" t="s">
        <v>279</v>
      </c>
      <c r="D310" s="20" t="s">
        <v>230</v>
      </c>
      <c r="E310" s="20" t="s">
        <v>1278</v>
      </c>
      <c r="F310" s="20"/>
      <c r="G310" s="415">
        <f>'Пр.6 ведом.20'!G304</f>
        <v>602.48</v>
      </c>
      <c r="H310" s="415">
        <f t="shared" si="15"/>
        <v>602.48</v>
      </c>
      <c r="I310" s="230"/>
    </row>
    <row r="311" spans="1:9" ht="78.75" x14ac:dyDescent="0.25">
      <c r="A311" s="25" t="s">
        <v>142</v>
      </c>
      <c r="B311" s="16">
        <v>903</v>
      </c>
      <c r="C311" s="20" t="s">
        <v>279</v>
      </c>
      <c r="D311" s="20" t="s">
        <v>230</v>
      </c>
      <c r="E311" s="20" t="s">
        <v>1278</v>
      </c>
      <c r="F311" s="20" t="s">
        <v>143</v>
      </c>
      <c r="G311" s="415">
        <f>'Пр.6 ведом.20'!G305</f>
        <v>602.48</v>
      </c>
      <c r="H311" s="415">
        <f t="shared" si="15"/>
        <v>602.48</v>
      </c>
      <c r="I311" s="230"/>
    </row>
    <row r="312" spans="1:9" ht="31.5" x14ac:dyDescent="0.25">
      <c r="A312" s="46" t="s">
        <v>357</v>
      </c>
      <c r="B312" s="16">
        <v>903</v>
      </c>
      <c r="C312" s="20" t="s">
        <v>279</v>
      </c>
      <c r="D312" s="20" t="s">
        <v>230</v>
      </c>
      <c r="E312" s="20" t="s">
        <v>1278</v>
      </c>
      <c r="F312" s="20" t="s">
        <v>224</v>
      </c>
      <c r="G312" s="415">
        <f>'Пр.6 ведом.20'!G306</f>
        <v>602.48</v>
      </c>
      <c r="H312" s="415">
        <f t="shared" si="15"/>
        <v>602.48</v>
      </c>
      <c r="I312" s="230"/>
    </row>
    <row r="313" spans="1:9" ht="63" x14ac:dyDescent="0.25">
      <c r="A313" s="41" t="s">
        <v>1452</v>
      </c>
      <c r="B313" s="19">
        <v>903</v>
      </c>
      <c r="C313" s="24" t="s">
        <v>279</v>
      </c>
      <c r="D313" s="24" t="s">
        <v>230</v>
      </c>
      <c r="E313" s="24" t="s">
        <v>727</v>
      </c>
      <c r="F313" s="24"/>
      <c r="G313" s="416">
        <f>G315</f>
        <v>221</v>
      </c>
      <c r="H313" s="416">
        <f>H315</f>
        <v>221</v>
      </c>
      <c r="I313" s="230"/>
    </row>
    <row r="314" spans="1:9" ht="47.25" x14ac:dyDescent="0.25">
      <c r="A314" s="41" t="s">
        <v>951</v>
      </c>
      <c r="B314" s="19">
        <v>903</v>
      </c>
      <c r="C314" s="24" t="s">
        <v>279</v>
      </c>
      <c r="D314" s="24" t="s">
        <v>230</v>
      </c>
      <c r="E314" s="24" t="s">
        <v>949</v>
      </c>
      <c r="F314" s="24"/>
      <c r="G314" s="416">
        <f>G315</f>
        <v>221</v>
      </c>
      <c r="H314" s="416">
        <f>H315</f>
        <v>221</v>
      </c>
      <c r="I314" s="230"/>
    </row>
    <row r="315" spans="1:9" ht="47.25" x14ac:dyDescent="0.25">
      <c r="A315" s="101" t="s">
        <v>1163</v>
      </c>
      <c r="B315" s="20" t="s">
        <v>643</v>
      </c>
      <c r="C315" s="20" t="s">
        <v>279</v>
      </c>
      <c r="D315" s="20" t="s">
        <v>230</v>
      </c>
      <c r="E315" s="20" t="s">
        <v>950</v>
      </c>
      <c r="F315" s="32"/>
      <c r="G315" s="415">
        <f>'Пр.6 ведом.20'!G309</f>
        <v>221</v>
      </c>
      <c r="H315" s="415">
        <f t="shared" si="15"/>
        <v>221</v>
      </c>
      <c r="I315" s="230"/>
    </row>
    <row r="316" spans="1:9" ht="31.5" x14ac:dyDescent="0.25">
      <c r="A316" s="25" t="s">
        <v>146</v>
      </c>
      <c r="B316" s="16">
        <v>903</v>
      </c>
      <c r="C316" s="20" t="s">
        <v>279</v>
      </c>
      <c r="D316" s="20" t="s">
        <v>230</v>
      </c>
      <c r="E316" s="20" t="s">
        <v>950</v>
      </c>
      <c r="F316" s="32" t="s">
        <v>147</v>
      </c>
      <c r="G316" s="415">
        <f>'Пр.6 ведом.20'!G310</f>
        <v>221</v>
      </c>
      <c r="H316" s="415">
        <f t="shared" si="15"/>
        <v>221</v>
      </c>
      <c r="I316" s="230"/>
    </row>
    <row r="317" spans="1:9" ht="31.5" x14ac:dyDescent="0.25">
      <c r="A317" s="25" t="s">
        <v>148</v>
      </c>
      <c r="B317" s="16">
        <v>903</v>
      </c>
      <c r="C317" s="20" t="s">
        <v>279</v>
      </c>
      <c r="D317" s="20" t="s">
        <v>230</v>
      </c>
      <c r="E317" s="20" t="s">
        <v>950</v>
      </c>
      <c r="F317" s="32" t="s">
        <v>149</v>
      </c>
      <c r="G317" s="415">
        <f>'Пр.6 ведом.20'!G311</f>
        <v>221</v>
      </c>
      <c r="H317" s="415">
        <f t="shared" si="15"/>
        <v>221</v>
      </c>
      <c r="I317" s="230"/>
    </row>
    <row r="318" spans="1:9" ht="15.75" x14ac:dyDescent="0.25">
      <c r="A318" s="23" t="s">
        <v>481</v>
      </c>
      <c r="B318" s="19">
        <v>903</v>
      </c>
      <c r="C318" s="24" t="s">
        <v>279</v>
      </c>
      <c r="D318" s="24" t="s">
        <v>279</v>
      </c>
      <c r="E318" s="20"/>
      <c r="F318" s="20"/>
      <c r="G318" s="416">
        <f>G319</f>
        <v>760</v>
      </c>
      <c r="H318" s="416">
        <f>H319</f>
        <v>760</v>
      </c>
      <c r="I318" s="230"/>
    </row>
    <row r="319" spans="1:9" ht="47.25" x14ac:dyDescent="0.25">
      <c r="A319" s="23" t="s">
        <v>1450</v>
      </c>
      <c r="B319" s="19">
        <v>903</v>
      </c>
      <c r="C319" s="24" t="s">
        <v>279</v>
      </c>
      <c r="D319" s="24" t="s">
        <v>279</v>
      </c>
      <c r="E319" s="24" t="s">
        <v>359</v>
      </c>
      <c r="F319" s="24"/>
      <c r="G319" s="416">
        <f>G320</f>
        <v>760</v>
      </c>
      <c r="H319" s="416">
        <f>H320</f>
        <v>760</v>
      </c>
      <c r="I319" s="230"/>
    </row>
    <row r="320" spans="1:9" ht="31.5" x14ac:dyDescent="0.25">
      <c r="A320" s="23" t="s">
        <v>360</v>
      </c>
      <c r="B320" s="19">
        <v>903</v>
      </c>
      <c r="C320" s="24" t="s">
        <v>279</v>
      </c>
      <c r="D320" s="24" t="s">
        <v>279</v>
      </c>
      <c r="E320" s="24" t="s">
        <v>361</v>
      </c>
      <c r="F320" s="24"/>
      <c r="G320" s="416">
        <f>G321+G328+G334</f>
        <v>760</v>
      </c>
      <c r="H320" s="416">
        <f>H321+H328+H334</f>
        <v>760</v>
      </c>
      <c r="I320" s="230"/>
    </row>
    <row r="321" spans="1:9" ht="47.25" x14ac:dyDescent="0.25">
      <c r="A321" s="273" t="s">
        <v>1207</v>
      </c>
      <c r="B321" s="19">
        <v>903</v>
      </c>
      <c r="C321" s="24" t="s">
        <v>279</v>
      </c>
      <c r="D321" s="24" t="s">
        <v>279</v>
      </c>
      <c r="E321" s="24" t="s">
        <v>954</v>
      </c>
      <c r="F321" s="24"/>
      <c r="G321" s="416">
        <f>G322+G325</f>
        <v>280</v>
      </c>
      <c r="H321" s="416">
        <f>H322+H325</f>
        <v>280</v>
      </c>
      <c r="I321" s="230"/>
    </row>
    <row r="322" spans="1:9" ht="31.5" x14ac:dyDescent="0.25">
      <c r="A322" s="101" t="s">
        <v>1213</v>
      </c>
      <c r="B322" s="16">
        <v>903</v>
      </c>
      <c r="C322" s="20" t="s">
        <v>279</v>
      </c>
      <c r="D322" s="20" t="s">
        <v>279</v>
      </c>
      <c r="E322" s="20" t="s">
        <v>955</v>
      </c>
      <c r="F322" s="20"/>
      <c r="G322" s="415">
        <f>'Пр.6 ведом.20'!G316</f>
        <v>280</v>
      </c>
      <c r="H322" s="415">
        <f t="shared" si="15"/>
        <v>280</v>
      </c>
      <c r="I322" s="230"/>
    </row>
    <row r="323" spans="1:9" ht="78.75" x14ac:dyDescent="0.25">
      <c r="A323" s="25" t="s">
        <v>142</v>
      </c>
      <c r="B323" s="16">
        <v>903</v>
      </c>
      <c r="C323" s="20" t="s">
        <v>279</v>
      </c>
      <c r="D323" s="20" t="s">
        <v>279</v>
      </c>
      <c r="E323" s="20" t="s">
        <v>955</v>
      </c>
      <c r="F323" s="20" t="s">
        <v>143</v>
      </c>
      <c r="G323" s="415">
        <f>'Пр.6 ведом.20'!G317</f>
        <v>280</v>
      </c>
      <c r="H323" s="415">
        <f t="shared" si="15"/>
        <v>280</v>
      </c>
      <c r="I323" s="230"/>
    </row>
    <row r="324" spans="1:9" ht="31.5" x14ac:dyDescent="0.25">
      <c r="A324" s="25" t="s">
        <v>357</v>
      </c>
      <c r="B324" s="16">
        <v>903</v>
      </c>
      <c r="C324" s="20" t="s">
        <v>279</v>
      </c>
      <c r="D324" s="20" t="s">
        <v>279</v>
      </c>
      <c r="E324" s="20" t="s">
        <v>955</v>
      </c>
      <c r="F324" s="20" t="s">
        <v>224</v>
      </c>
      <c r="G324" s="415">
        <f>'Пр.6 ведом.20'!G318</f>
        <v>280</v>
      </c>
      <c r="H324" s="415">
        <f t="shared" si="15"/>
        <v>280</v>
      </c>
      <c r="I324" s="230"/>
    </row>
    <row r="325" spans="1:9" ht="31.5" hidden="1" x14ac:dyDescent="0.25">
      <c r="A325" s="25" t="s">
        <v>1208</v>
      </c>
      <c r="B325" s="16">
        <v>903</v>
      </c>
      <c r="C325" s="20" t="s">
        <v>279</v>
      </c>
      <c r="D325" s="20" t="s">
        <v>279</v>
      </c>
      <c r="E325" s="20" t="s">
        <v>1232</v>
      </c>
      <c r="F325" s="20"/>
      <c r="G325" s="415">
        <f>'Пр.6 ведом.20'!G319</f>
        <v>0</v>
      </c>
      <c r="H325" s="415">
        <f t="shared" si="15"/>
        <v>0</v>
      </c>
      <c r="I325" s="230"/>
    </row>
    <row r="326" spans="1:9" ht="31.5" hidden="1" x14ac:dyDescent="0.25">
      <c r="A326" s="25" t="s">
        <v>146</v>
      </c>
      <c r="B326" s="16">
        <v>903</v>
      </c>
      <c r="C326" s="20" t="s">
        <v>279</v>
      </c>
      <c r="D326" s="20" t="s">
        <v>279</v>
      </c>
      <c r="E326" s="20" t="s">
        <v>1232</v>
      </c>
      <c r="F326" s="20" t="s">
        <v>147</v>
      </c>
      <c r="G326" s="415">
        <f>'Пр.6 ведом.20'!G320</f>
        <v>0</v>
      </c>
      <c r="H326" s="415">
        <f t="shared" si="15"/>
        <v>0</v>
      </c>
      <c r="I326" s="230"/>
    </row>
    <row r="327" spans="1:9" ht="31.5" hidden="1" x14ac:dyDescent="0.25">
      <c r="A327" s="25" t="s">
        <v>148</v>
      </c>
      <c r="B327" s="16">
        <v>903</v>
      </c>
      <c r="C327" s="20" t="s">
        <v>279</v>
      </c>
      <c r="D327" s="20" t="s">
        <v>279</v>
      </c>
      <c r="E327" s="20" t="s">
        <v>1232</v>
      </c>
      <c r="F327" s="20" t="s">
        <v>149</v>
      </c>
      <c r="G327" s="415">
        <f>'Пр.6 ведом.20'!G321</f>
        <v>0</v>
      </c>
      <c r="H327" s="415">
        <f t="shared" si="15"/>
        <v>0</v>
      </c>
      <c r="I327" s="230"/>
    </row>
    <row r="328" spans="1:9" ht="63" x14ac:dyDescent="0.25">
      <c r="A328" s="23" t="s">
        <v>1209</v>
      </c>
      <c r="B328" s="19">
        <v>903</v>
      </c>
      <c r="C328" s="24" t="s">
        <v>279</v>
      </c>
      <c r="D328" s="24" t="s">
        <v>279</v>
      </c>
      <c r="E328" s="24" t="s">
        <v>956</v>
      </c>
      <c r="F328" s="24"/>
      <c r="G328" s="416">
        <f>G329</f>
        <v>455</v>
      </c>
      <c r="H328" s="416">
        <f>H329</f>
        <v>455</v>
      </c>
      <c r="I328" s="230"/>
    </row>
    <row r="329" spans="1:9" ht="15.75" x14ac:dyDescent="0.25">
      <c r="A329" s="25" t="s">
        <v>1210</v>
      </c>
      <c r="B329" s="16">
        <v>903</v>
      </c>
      <c r="C329" s="20" t="s">
        <v>279</v>
      </c>
      <c r="D329" s="20" t="s">
        <v>279</v>
      </c>
      <c r="E329" s="20" t="s">
        <v>974</v>
      </c>
      <c r="F329" s="20"/>
      <c r="G329" s="415">
        <f>'Пр.6 ведом.20'!G323</f>
        <v>455</v>
      </c>
      <c r="H329" s="415">
        <f t="shared" si="15"/>
        <v>455</v>
      </c>
      <c r="I329" s="230"/>
    </row>
    <row r="330" spans="1:9" ht="78.75" x14ac:dyDescent="0.25">
      <c r="A330" s="25" t="s">
        <v>142</v>
      </c>
      <c r="B330" s="16">
        <v>903</v>
      </c>
      <c r="C330" s="20" t="s">
        <v>279</v>
      </c>
      <c r="D330" s="20" t="s">
        <v>279</v>
      </c>
      <c r="E330" s="20" t="s">
        <v>974</v>
      </c>
      <c r="F330" s="20" t="s">
        <v>143</v>
      </c>
      <c r="G330" s="415">
        <f>'Пр.6 ведом.20'!G324</f>
        <v>40</v>
      </c>
      <c r="H330" s="415">
        <f t="shared" si="15"/>
        <v>40</v>
      </c>
      <c r="I330" s="230"/>
    </row>
    <row r="331" spans="1:9" ht="31.5" x14ac:dyDescent="0.25">
      <c r="A331" s="25" t="s">
        <v>357</v>
      </c>
      <c r="B331" s="16">
        <v>903</v>
      </c>
      <c r="C331" s="20" t="s">
        <v>279</v>
      </c>
      <c r="D331" s="20" t="s">
        <v>279</v>
      </c>
      <c r="E331" s="20" t="s">
        <v>974</v>
      </c>
      <c r="F331" s="20" t="s">
        <v>224</v>
      </c>
      <c r="G331" s="415">
        <f>'Пр.6 ведом.20'!G325</f>
        <v>40</v>
      </c>
      <c r="H331" s="415">
        <f t="shared" si="15"/>
        <v>40</v>
      </c>
      <c r="I331" s="230"/>
    </row>
    <row r="332" spans="1:9" ht="31.5" x14ac:dyDescent="0.25">
      <c r="A332" s="25" t="s">
        <v>146</v>
      </c>
      <c r="B332" s="16">
        <v>903</v>
      </c>
      <c r="C332" s="20" t="s">
        <v>279</v>
      </c>
      <c r="D332" s="20" t="s">
        <v>279</v>
      </c>
      <c r="E332" s="20" t="s">
        <v>974</v>
      </c>
      <c r="F332" s="20" t="s">
        <v>147</v>
      </c>
      <c r="G332" s="415">
        <f>'Пр.6 ведом.20'!G326</f>
        <v>415</v>
      </c>
      <c r="H332" s="415">
        <f t="shared" si="15"/>
        <v>415</v>
      </c>
      <c r="I332" s="230"/>
    </row>
    <row r="333" spans="1:9" ht="31.5" x14ac:dyDescent="0.25">
      <c r="A333" s="25" t="s">
        <v>148</v>
      </c>
      <c r="B333" s="16">
        <v>903</v>
      </c>
      <c r="C333" s="20" t="s">
        <v>279</v>
      </c>
      <c r="D333" s="20" t="s">
        <v>279</v>
      </c>
      <c r="E333" s="20" t="s">
        <v>974</v>
      </c>
      <c r="F333" s="20" t="s">
        <v>149</v>
      </c>
      <c r="G333" s="415">
        <f>'Пр.6 ведом.20'!G327</f>
        <v>415</v>
      </c>
      <c r="H333" s="415">
        <f t="shared" si="15"/>
        <v>415</v>
      </c>
      <c r="I333" s="230"/>
    </row>
    <row r="334" spans="1:9" ht="31.5" x14ac:dyDescent="0.25">
      <c r="A334" s="23" t="s">
        <v>1215</v>
      </c>
      <c r="B334" s="19">
        <v>903</v>
      </c>
      <c r="C334" s="24" t="s">
        <v>279</v>
      </c>
      <c r="D334" s="24" t="s">
        <v>279</v>
      </c>
      <c r="E334" s="24" t="s">
        <v>1211</v>
      </c>
      <c r="F334" s="24"/>
      <c r="G334" s="416">
        <f>G335</f>
        <v>25</v>
      </c>
      <c r="H334" s="416">
        <f>H335</f>
        <v>25</v>
      </c>
      <c r="I334" s="230"/>
    </row>
    <row r="335" spans="1:9" ht="47.25" x14ac:dyDescent="0.25">
      <c r="A335" s="303" t="s">
        <v>1212</v>
      </c>
      <c r="B335" s="16">
        <v>903</v>
      </c>
      <c r="C335" s="20" t="s">
        <v>279</v>
      </c>
      <c r="D335" s="20" t="s">
        <v>279</v>
      </c>
      <c r="E335" s="20" t="s">
        <v>1233</v>
      </c>
      <c r="F335" s="20"/>
      <c r="G335" s="415">
        <f>'Пр.6 ведом.20'!G329</f>
        <v>25</v>
      </c>
      <c r="H335" s="415">
        <f t="shared" si="15"/>
        <v>25</v>
      </c>
      <c r="I335" s="230"/>
    </row>
    <row r="336" spans="1:9" ht="31.5" x14ac:dyDescent="0.25">
      <c r="A336" s="25" t="s">
        <v>263</v>
      </c>
      <c r="B336" s="16">
        <v>903</v>
      </c>
      <c r="C336" s="20" t="s">
        <v>279</v>
      </c>
      <c r="D336" s="20" t="s">
        <v>279</v>
      </c>
      <c r="E336" s="20" t="s">
        <v>1233</v>
      </c>
      <c r="F336" s="20" t="s">
        <v>264</v>
      </c>
      <c r="G336" s="415">
        <f>'Пр.6 ведом.20'!G330</f>
        <v>25</v>
      </c>
      <c r="H336" s="415">
        <f t="shared" si="15"/>
        <v>25</v>
      </c>
      <c r="I336" s="230"/>
    </row>
    <row r="337" spans="1:9" ht="31.5" x14ac:dyDescent="0.25">
      <c r="A337" s="25" t="s">
        <v>363</v>
      </c>
      <c r="B337" s="16">
        <v>903</v>
      </c>
      <c r="C337" s="20" t="s">
        <v>279</v>
      </c>
      <c r="D337" s="20" t="s">
        <v>279</v>
      </c>
      <c r="E337" s="20" t="s">
        <v>1233</v>
      </c>
      <c r="F337" s="20" t="s">
        <v>364</v>
      </c>
      <c r="G337" s="415">
        <f>'Пр.6 ведом.20'!G331</f>
        <v>25</v>
      </c>
      <c r="H337" s="415">
        <f t="shared" si="15"/>
        <v>25</v>
      </c>
      <c r="I337" s="230"/>
    </row>
    <row r="338" spans="1:9" ht="15.75" x14ac:dyDescent="0.25">
      <c r="A338" s="23" t="s">
        <v>313</v>
      </c>
      <c r="B338" s="19">
        <v>903</v>
      </c>
      <c r="C338" s="24" t="s">
        <v>314</v>
      </c>
      <c r="D338" s="24"/>
      <c r="E338" s="24"/>
      <c r="F338" s="24"/>
      <c r="G338" s="416">
        <f>G339+G409</f>
        <v>70196.600000000006</v>
      </c>
      <c r="H338" s="416">
        <f>H339+H409</f>
        <v>67994.2</v>
      </c>
      <c r="I338" s="230"/>
    </row>
    <row r="339" spans="1:9" ht="15.75" x14ac:dyDescent="0.25">
      <c r="A339" s="23" t="s">
        <v>315</v>
      </c>
      <c r="B339" s="19">
        <v>903</v>
      </c>
      <c r="C339" s="24" t="s">
        <v>314</v>
      </c>
      <c r="D339" s="24" t="s">
        <v>133</v>
      </c>
      <c r="E339" s="24"/>
      <c r="F339" s="24"/>
      <c r="G339" s="416">
        <f>G340+G404+G399</f>
        <v>52857.599999999999</v>
      </c>
      <c r="H339" s="416">
        <f>H340+H404+H399</f>
        <v>50655.199999999997</v>
      </c>
      <c r="I339" s="230"/>
    </row>
    <row r="340" spans="1:9" ht="39" customHeight="1" x14ac:dyDescent="0.25">
      <c r="A340" s="23" t="s">
        <v>1453</v>
      </c>
      <c r="B340" s="19">
        <v>903</v>
      </c>
      <c r="C340" s="24" t="s">
        <v>314</v>
      </c>
      <c r="D340" s="24" t="s">
        <v>133</v>
      </c>
      <c r="E340" s="24" t="s">
        <v>282</v>
      </c>
      <c r="F340" s="24"/>
      <c r="G340" s="416">
        <f>G341+G368</f>
        <v>52064.4</v>
      </c>
      <c r="H340" s="416">
        <f>H341+H368</f>
        <v>49862</v>
      </c>
      <c r="I340" s="230"/>
    </row>
    <row r="341" spans="1:9" ht="47.25" x14ac:dyDescent="0.25">
      <c r="A341" s="23" t="s">
        <v>1454</v>
      </c>
      <c r="B341" s="19">
        <v>903</v>
      </c>
      <c r="C341" s="24" t="s">
        <v>314</v>
      </c>
      <c r="D341" s="24" t="s">
        <v>133</v>
      </c>
      <c r="E341" s="24" t="s">
        <v>317</v>
      </c>
      <c r="F341" s="24"/>
      <c r="G341" s="416">
        <f>G342+G350+G356+G360+G364</f>
        <v>27648.690000000002</v>
      </c>
      <c r="H341" s="416">
        <f>H342+H350+H356+H360+H364</f>
        <v>25446.29</v>
      </c>
      <c r="I341" s="230"/>
    </row>
    <row r="342" spans="1:9" ht="33.75" customHeight="1" x14ac:dyDescent="0.25">
      <c r="A342" s="23" t="s">
        <v>958</v>
      </c>
      <c r="B342" s="19">
        <v>903</v>
      </c>
      <c r="C342" s="24" t="s">
        <v>314</v>
      </c>
      <c r="D342" s="24" t="s">
        <v>133</v>
      </c>
      <c r="E342" s="24" t="s">
        <v>959</v>
      </c>
      <c r="F342" s="24"/>
      <c r="G342" s="416">
        <f>G343</f>
        <v>23784</v>
      </c>
      <c r="H342" s="416">
        <f>H343</f>
        <v>23784</v>
      </c>
      <c r="I342" s="230"/>
    </row>
    <row r="343" spans="1:9" ht="15.75" x14ac:dyDescent="0.25">
      <c r="A343" s="25" t="s">
        <v>832</v>
      </c>
      <c r="B343" s="16">
        <v>903</v>
      </c>
      <c r="C343" s="20" t="s">
        <v>314</v>
      </c>
      <c r="D343" s="20" t="s">
        <v>133</v>
      </c>
      <c r="E343" s="20" t="s">
        <v>957</v>
      </c>
      <c r="F343" s="20"/>
      <c r="G343" s="415">
        <f>'Пр.6 ведом.20'!G337</f>
        <v>23784</v>
      </c>
      <c r="H343" s="415">
        <f t="shared" si="15"/>
        <v>23784</v>
      </c>
      <c r="I343" s="230"/>
    </row>
    <row r="344" spans="1:9" ht="78.75" x14ac:dyDescent="0.25">
      <c r="A344" s="25" t="s">
        <v>142</v>
      </c>
      <c r="B344" s="16">
        <v>903</v>
      </c>
      <c r="C344" s="20" t="s">
        <v>314</v>
      </c>
      <c r="D344" s="20" t="s">
        <v>133</v>
      </c>
      <c r="E344" s="20" t="s">
        <v>957</v>
      </c>
      <c r="F344" s="20" t="s">
        <v>143</v>
      </c>
      <c r="G344" s="415">
        <f>'Пр.6 ведом.20'!G338</f>
        <v>20032</v>
      </c>
      <c r="H344" s="415">
        <f t="shared" si="15"/>
        <v>20032</v>
      </c>
      <c r="I344" s="230"/>
    </row>
    <row r="345" spans="1:9" ht="15.75" x14ac:dyDescent="0.25">
      <c r="A345" s="25" t="s">
        <v>223</v>
      </c>
      <c r="B345" s="16">
        <v>903</v>
      </c>
      <c r="C345" s="20" t="s">
        <v>314</v>
      </c>
      <c r="D345" s="20" t="s">
        <v>133</v>
      </c>
      <c r="E345" s="20" t="s">
        <v>957</v>
      </c>
      <c r="F345" s="20" t="s">
        <v>224</v>
      </c>
      <c r="G345" s="415">
        <f>'Пр.6 ведом.20'!G339</f>
        <v>20032</v>
      </c>
      <c r="H345" s="415">
        <f t="shared" si="15"/>
        <v>20032</v>
      </c>
      <c r="I345" s="230"/>
    </row>
    <row r="346" spans="1:9" ht="31.5" x14ac:dyDescent="0.25">
      <c r="A346" s="25" t="s">
        <v>146</v>
      </c>
      <c r="B346" s="16">
        <v>903</v>
      </c>
      <c r="C346" s="20" t="s">
        <v>314</v>
      </c>
      <c r="D346" s="20" t="s">
        <v>133</v>
      </c>
      <c r="E346" s="20" t="s">
        <v>957</v>
      </c>
      <c r="F346" s="20" t="s">
        <v>147</v>
      </c>
      <c r="G346" s="415">
        <f>'Пр.6 ведом.20'!G340</f>
        <v>3715</v>
      </c>
      <c r="H346" s="415">
        <f t="shared" si="15"/>
        <v>3715</v>
      </c>
      <c r="I346" s="230"/>
    </row>
    <row r="347" spans="1:9" ht="31.5" x14ac:dyDescent="0.25">
      <c r="A347" s="25" t="s">
        <v>148</v>
      </c>
      <c r="B347" s="16">
        <v>903</v>
      </c>
      <c r="C347" s="20" t="s">
        <v>314</v>
      </c>
      <c r="D347" s="20" t="s">
        <v>133</v>
      </c>
      <c r="E347" s="20" t="s">
        <v>957</v>
      </c>
      <c r="F347" s="20" t="s">
        <v>149</v>
      </c>
      <c r="G347" s="415">
        <f>'Пр.6 ведом.20'!G341</f>
        <v>3715</v>
      </c>
      <c r="H347" s="415">
        <f t="shared" si="15"/>
        <v>3715</v>
      </c>
      <c r="I347" s="230"/>
    </row>
    <row r="348" spans="1:9" ht="15.75" x14ac:dyDescent="0.25">
      <c r="A348" s="25" t="s">
        <v>150</v>
      </c>
      <c r="B348" s="16">
        <v>903</v>
      </c>
      <c r="C348" s="20" t="s">
        <v>314</v>
      </c>
      <c r="D348" s="20" t="s">
        <v>133</v>
      </c>
      <c r="E348" s="20" t="s">
        <v>957</v>
      </c>
      <c r="F348" s="20" t="s">
        <v>160</v>
      </c>
      <c r="G348" s="415">
        <f>'Пр.6 ведом.20'!G342</f>
        <v>37</v>
      </c>
      <c r="H348" s="415">
        <f t="shared" si="15"/>
        <v>37</v>
      </c>
      <c r="I348" s="230"/>
    </row>
    <row r="349" spans="1:9" ht="15.75" x14ac:dyDescent="0.25">
      <c r="A349" s="25" t="s">
        <v>583</v>
      </c>
      <c r="B349" s="16">
        <v>903</v>
      </c>
      <c r="C349" s="20" t="s">
        <v>314</v>
      </c>
      <c r="D349" s="20" t="s">
        <v>133</v>
      </c>
      <c r="E349" s="20" t="s">
        <v>957</v>
      </c>
      <c r="F349" s="20" t="s">
        <v>153</v>
      </c>
      <c r="G349" s="415">
        <f>'Пр.6 ведом.20'!G343</f>
        <v>37</v>
      </c>
      <c r="H349" s="415">
        <f t="shared" ref="H349:H413" si="16">G349</f>
        <v>37</v>
      </c>
      <c r="I349" s="230"/>
    </row>
    <row r="350" spans="1:9" ht="31.5" x14ac:dyDescent="0.25">
      <c r="A350" s="279" t="s">
        <v>972</v>
      </c>
      <c r="B350" s="19">
        <v>903</v>
      </c>
      <c r="C350" s="24" t="s">
        <v>314</v>
      </c>
      <c r="D350" s="24" t="s">
        <v>133</v>
      </c>
      <c r="E350" s="24" t="s">
        <v>960</v>
      </c>
      <c r="F350" s="24"/>
      <c r="G350" s="416">
        <f>G351</f>
        <v>250</v>
      </c>
      <c r="H350" s="416">
        <f>H351</f>
        <v>250</v>
      </c>
      <c r="I350" s="230"/>
    </row>
    <row r="351" spans="1:9" ht="31.5" x14ac:dyDescent="0.25">
      <c r="A351" s="31" t="s">
        <v>861</v>
      </c>
      <c r="B351" s="16">
        <v>903</v>
      </c>
      <c r="C351" s="20" t="s">
        <v>314</v>
      </c>
      <c r="D351" s="20" t="s">
        <v>133</v>
      </c>
      <c r="E351" s="20" t="s">
        <v>961</v>
      </c>
      <c r="F351" s="20"/>
      <c r="G351" s="415">
        <f>'Пр.6 ведом.20'!G345</f>
        <v>250</v>
      </c>
      <c r="H351" s="415">
        <f t="shared" si="16"/>
        <v>250</v>
      </c>
      <c r="I351" s="230"/>
    </row>
    <row r="352" spans="1:9" ht="78.75" hidden="1" x14ac:dyDescent="0.25">
      <c r="A352" s="25" t="s">
        <v>142</v>
      </c>
      <c r="B352" s="16">
        <v>903</v>
      </c>
      <c r="C352" s="20" t="s">
        <v>314</v>
      </c>
      <c r="D352" s="20" t="s">
        <v>133</v>
      </c>
      <c r="E352" s="20" t="s">
        <v>961</v>
      </c>
      <c r="F352" s="20" t="s">
        <v>143</v>
      </c>
      <c r="G352" s="415">
        <f>'Пр.6 ведом.20'!G346</f>
        <v>0</v>
      </c>
      <c r="H352" s="415">
        <f t="shared" si="16"/>
        <v>0</v>
      </c>
      <c r="I352" s="230"/>
    </row>
    <row r="353" spans="1:9" ht="15.75" hidden="1" x14ac:dyDescent="0.25">
      <c r="A353" s="25" t="s">
        <v>223</v>
      </c>
      <c r="B353" s="16">
        <v>903</v>
      </c>
      <c r="C353" s="20" t="s">
        <v>314</v>
      </c>
      <c r="D353" s="20" t="s">
        <v>133</v>
      </c>
      <c r="E353" s="20" t="s">
        <v>961</v>
      </c>
      <c r="F353" s="20" t="s">
        <v>224</v>
      </c>
      <c r="G353" s="415">
        <f>'Пр.6 ведом.20'!G347</f>
        <v>0</v>
      </c>
      <c r="H353" s="415">
        <f t="shared" si="16"/>
        <v>0</v>
      </c>
      <c r="I353" s="230"/>
    </row>
    <row r="354" spans="1:9" ht="31.5" x14ac:dyDescent="0.25">
      <c r="A354" s="25" t="s">
        <v>146</v>
      </c>
      <c r="B354" s="16">
        <v>903</v>
      </c>
      <c r="C354" s="20" t="s">
        <v>314</v>
      </c>
      <c r="D354" s="20" t="s">
        <v>133</v>
      </c>
      <c r="E354" s="20" t="s">
        <v>961</v>
      </c>
      <c r="F354" s="20" t="s">
        <v>147</v>
      </c>
      <c r="G354" s="415">
        <f>'Пр.6 ведом.20'!G348</f>
        <v>250</v>
      </c>
      <c r="H354" s="415">
        <f t="shared" si="16"/>
        <v>250</v>
      </c>
      <c r="I354" s="230"/>
    </row>
    <row r="355" spans="1:9" ht="31.5" x14ac:dyDescent="0.25">
      <c r="A355" s="25" t="s">
        <v>148</v>
      </c>
      <c r="B355" s="16">
        <v>903</v>
      </c>
      <c r="C355" s="20" t="s">
        <v>314</v>
      </c>
      <c r="D355" s="20" t="s">
        <v>133</v>
      </c>
      <c r="E355" s="20" t="s">
        <v>961</v>
      </c>
      <c r="F355" s="20" t="s">
        <v>149</v>
      </c>
      <c r="G355" s="415">
        <f>'Пр.6 ведом.20'!G349</f>
        <v>250</v>
      </c>
      <c r="H355" s="415">
        <f t="shared" si="16"/>
        <v>250</v>
      </c>
      <c r="I355" s="230"/>
    </row>
    <row r="356" spans="1:9" ht="31.5" x14ac:dyDescent="0.25">
      <c r="A356" s="23" t="s">
        <v>1081</v>
      </c>
      <c r="B356" s="19">
        <v>903</v>
      </c>
      <c r="C356" s="24" t="s">
        <v>314</v>
      </c>
      <c r="D356" s="24" t="s">
        <v>133</v>
      </c>
      <c r="E356" s="24" t="s">
        <v>1170</v>
      </c>
      <c r="F356" s="24"/>
      <c r="G356" s="315">
        <f>G357</f>
        <v>588</v>
      </c>
      <c r="H356" s="315">
        <f>H357</f>
        <v>588</v>
      </c>
      <c r="I356" s="230"/>
    </row>
    <row r="357" spans="1:9" ht="47.25" x14ac:dyDescent="0.25">
      <c r="A357" s="25" t="s">
        <v>886</v>
      </c>
      <c r="B357" s="16">
        <v>903</v>
      </c>
      <c r="C357" s="20" t="s">
        <v>314</v>
      </c>
      <c r="D357" s="20" t="s">
        <v>133</v>
      </c>
      <c r="E357" s="20" t="s">
        <v>1171</v>
      </c>
      <c r="F357" s="20"/>
      <c r="G357" s="415">
        <f>'Пр.6 ведом.20'!G351</f>
        <v>588</v>
      </c>
      <c r="H357" s="415">
        <f t="shared" si="16"/>
        <v>588</v>
      </c>
      <c r="I357" s="230"/>
    </row>
    <row r="358" spans="1:9" ht="78.75" x14ac:dyDescent="0.25">
      <c r="A358" s="25" t="s">
        <v>142</v>
      </c>
      <c r="B358" s="16">
        <v>903</v>
      </c>
      <c r="C358" s="20" t="s">
        <v>314</v>
      </c>
      <c r="D358" s="20" t="s">
        <v>133</v>
      </c>
      <c r="E358" s="20" t="s">
        <v>1171</v>
      </c>
      <c r="F358" s="20" t="s">
        <v>143</v>
      </c>
      <c r="G358" s="415">
        <f>'Пр.6 ведом.20'!G352</f>
        <v>588</v>
      </c>
      <c r="H358" s="415">
        <f t="shared" si="16"/>
        <v>588</v>
      </c>
      <c r="I358" s="230"/>
    </row>
    <row r="359" spans="1:9" ht="31.5" x14ac:dyDescent="0.25">
      <c r="A359" s="25" t="s">
        <v>144</v>
      </c>
      <c r="B359" s="16">
        <v>903</v>
      </c>
      <c r="C359" s="20" t="s">
        <v>314</v>
      </c>
      <c r="D359" s="20" t="s">
        <v>133</v>
      </c>
      <c r="E359" s="20" t="s">
        <v>1171</v>
      </c>
      <c r="F359" s="20" t="s">
        <v>224</v>
      </c>
      <c r="G359" s="415">
        <f>'Пр.6 ведом.20'!G353</f>
        <v>588</v>
      </c>
      <c r="H359" s="415">
        <f t="shared" si="16"/>
        <v>588</v>
      </c>
      <c r="I359" s="230"/>
    </row>
    <row r="360" spans="1:9" ht="47.25" x14ac:dyDescent="0.25">
      <c r="A360" s="280" t="s">
        <v>973</v>
      </c>
      <c r="B360" s="19">
        <v>903</v>
      </c>
      <c r="C360" s="24" t="s">
        <v>314</v>
      </c>
      <c r="D360" s="24" t="s">
        <v>133</v>
      </c>
      <c r="E360" s="24" t="s">
        <v>1172</v>
      </c>
      <c r="F360" s="24"/>
      <c r="G360" s="416">
        <f>G361</f>
        <v>824.29</v>
      </c>
      <c r="H360" s="416">
        <f>H361</f>
        <v>824.29</v>
      </c>
      <c r="I360" s="230"/>
    </row>
    <row r="361" spans="1:9" ht="94.5" x14ac:dyDescent="0.25">
      <c r="A361" s="31" t="s">
        <v>308</v>
      </c>
      <c r="B361" s="16">
        <v>903</v>
      </c>
      <c r="C361" s="20" t="s">
        <v>314</v>
      </c>
      <c r="D361" s="20" t="s">
        <v>133</v>
      </c>
      <c r="E361" s="20" t="s">
        <v>1173</v>
      </c>
      <c r="F361" s="20"/>
      <c r="G361" s="415">
        <f>'Пр.6 ведом.20'!G355</f>
        <v>824.29</v>
      </c>
      <c r="H361" s="415">
        <f t="shared" si="16"/>
        <v>824.29</v>
      </c>
      <c r="I361" s="230"/>
    </row>
    <row r="362" spans="1:9" ht="78.75" x14ac:dyDescent="0.25">
      <c r="A362" s="25" t="s">
        <v>142</v>
      </c>
      <c r="B362" s="16">
        <v>903</v>
      </c>
      <c r="C362" s="20" t="s">
        <v>314</v>
      </c>
      <c r="D362" s="20" t="s">
        <v>133</v>
      </c>
      <c r="E362" s="20" t="s">
        <v>1173</v>
      </c>
      <c r="F362" s="20" t="s">
        <v>143</v>
      </c>
      <c r="G362" s="415">
        <f>'Пр.6 ведом.20'!G356</f>
        <v>824.29</v>
      </c>
      <c r="H362" s="415">
        <f t="shared" si="16"/>
        <v>824.29</v>
      </c>
      <c r="I362" s="230"/>
    </row>
    <row r="363" spans="1:9" ht="15.75" x14ac:dyDescent="0.25">
      <c r="A363" s="25" t="s">
        <v>223</v>
      </c>
      <c r="B363" s="16">
        <v>903</v>
      </c>
      <c r="C363" s="20" t="s">
        <v>314</v>
      </c>
      <c r="D363" s="20" t="s">
        <v>133</v>
      </c>
      <c r="E363" s="20" t="s">
        <v>1173</v>
      </c>
      <c r="F363" s="20" t="s">
        <v>224</v>
      </c>
      <c r="G363" s="415">
        <f>'Пр.6 ведом.20'!G357</f>
        <v>824.29</v>
      </c>
      <c r="H363" s="415">
        <f t="shared" si="16"/>
        <v>824.29</v>
      </c>
      <c r="I363" s="230"/>
    </row>
    <row r="364" spans="1:9" s="229" customFormat="1" ht="31.5" x14ac:dyDescent="0.25">
      <c r="A364" s="369" t="s">
        <v>1471</v>
      </c>
      <c r="B364" s="19">
        <v>903</v>
      </c>
      <c r="C364" s="24" t="s">
        <v>314</v>
      </c>
      <c r="D364" s="24" t="s">
        <v>133</v>
      </c>
      <c r="E364" s="24" t="s">
        <v>1468</v>
      </c>
      <c r="F364" s="24"/>
      <c r="G364" s="416">
        <f t="shared" ref="G364:H366" si="17">G365</f>
        <v>2202.4</v>
      </c>
      <c r="H364" s="416">
        <f t="shared" si="17"/>
        <v>0</v>
      </c>
      <c r="I364" s="230"/>
    </row>
    <row r="365" spans="1:9" s="229" customFormat="1" ht="47.25" x14ac:dyDescent="0.25">
      <c r="A365" s="370" t="s">
        <v>1432</v>
      </c>
      <c r="B365" s="16">
        <v>903</v>
      </c>
      <c r="C365" s="20" t="s">
        <v>314</v>
      </c>
      <c r="D365" s="20" t="s">
        <v>133</v>
      </c>
      <c r="E365" s="20" t="s">
        <v>1469</v>
      </c>
      <c r="F365" s="20"/>
      <c r="G365" s="415">
        <f t="shared" si="17"/>
        <v>2202.4</v>
      </c>
      <c r="H365" s="415">
        <f t="shared" si="17"/>
        <v>0</v>
      </c>
      <c r="I365" s="230"/>
    </row>
    <row r="366" spans="1:9" s="229" customFormat="1" ht="31.5" x14ac:dyDescent="0.25">
      <c r="A366" s="25" t="s">
        <v>146</v>
      </c>
      <c r="B366" s="16">
        <v>903</v>
      </c>
      <c r="C366" s="20" t="s">
        <v>314</v>
      </c>
      <c r="D366" s="20" t="s">
        <v>133</v>
      </c>
      <c r="E366" s="20" t="s">
        <v>1469</v>
      </c>
      <c r="F366" s="20" t="s">
        <v>147</v>
      </c>
      <c r="G366" s="415">
        <f t="shared" si="17"/>
        <v>2202.4</v>
      </c>
      <c r="H366" s="415">
        <f t="shared" si="17"/>
        <v>0</v>
      </c>
      <c r="I366" s="230"/>
    </row>
    <row r="367" spans="1:9" s="229" customFormat="1" ht="31.5" x14ac:dyDescent="0.25">
      <c r="A367" s="25" t="s">
        <v>148</v>
      </c>
      <c r="B367" s="16">
        <v>903</v>
      </c>
      <c r="C367" s="20" t="s">
        <v>314</v>
      </c>
      <c r="D367" s="20" t="s">
        <v>133</v>
      </c>
      <c r="E367" s="20" t="s">
        <v>1469</v>
      </c>
      <c r="F367" s="20" t="s">
        <v>149</v>
      </c>
      <c r="G367" s="415">
        <v>2202.4</v>
      </c>
      <c r="H367" s="415">
        <v>0</v>
      </c>
      <c r="I367" s="230"/>
    </row>
    <row r="368" spans="1:9" ht="31.5" x14ac:dyDescent="0.25">
      <c r="A368" s="23" t="s">
        <v>1455</v>
      </c>
      <c r="B368" s="19">
        <v>903</v>
      </c>
      <c r="C368" s="24" t="s">
        <v>314</v>
      </c>
      <c r="D368" s="24" t="s">
        <v>133</v>
      </c>
      <c r="E368" s="24" t="s">
        <v>328</v>
      </c>
      <c r="F368" s="24"/>
      <c r="G368" s="416">
        <f>G369+G377+G385+G392+G381</f>
        <v>24415.71</v>
      </c>
      <c r="H368" s="416">
        <f>H369+H377+H385+H392+H381</f>
        <v>24415.71</v>
      </c>
      <c r="I368" s="230"/>
    </row>
    <row r="369" spans="1:9" ht="47.25" x14ac:dyDescent="0.25">
      <c r="A369" s="23" t="s">
        <v>958</v>
      </c>
      <c r="B369" s="19">
        <v>903</v>
      </c>
      <c r="C369" s="24" t="s">
        <v>314</v>
      </c>
      <c r="D369" s="24" t="s">
        <v>133</v>
      </c>
      <c r="E369" s="24" t="s">
        <v>962</v>
      </c>
      <c r="F369" s="24"/>
      <c r="G369" s="416">
        <f>G370</f>
        <v>22194</v>
      </c>
      <c r="H369" s="416">
        <f>H370</f>
        <v>22194</v>
      </c>
      <c r="I369" s="230"/>
    </row>
    <row r="370" spans="1:9" ht="15.75" x14ac:dyDescent="0.25">
      <c r="A370" s="25" t="s">
        <v>832</v>
      </c>
      <c r="B370" s="16">
        <v>903</v>
      </c>
      <c r="C370" s="20" t="s">
        <v>314</v>
      </c>
      <c r="D370" s="20" t="s">
        <v>133</v>
      </c>
      <c r="E370" s="20" t="s">
        <v>963</v>
      </c>
      <c r="F370" s="20"/>
      <c r="G370" s="415">
        <f>'Пр.6 ведом.20'!G364</f>
        <v>22194</v>
      </c>
      <c r="H370" s="415">
        <f t="shared" si="16"/>
        <v>22194</v>
      </c>
      <c r="I370" s="230"/>
    </row>
    <row r="371" spans="1:9" ht="78.75" x14ac:dyDescent="0.25">
      <c r="A371" s="25" t="s">
        <v>142</v>
      </c>
      <c r="B371" s="16">
        <v>903</v>
      </c>
      <c r="C371" s="20" t="s">
        <v>314</v>
      </c>
      <c r="D371" s="20" t="s">
        <v>133</v>
      </c>
      <c r="E371" s="20" t="s">
        <v>963</v>
      </c>
      <c r="F371" s="20" t="s">
        <v>143</v>
      </c>
      <c r="G371" s="415">
        <f>'Пр.6 ведом.20'!G365</f>
        <v>19218</v>
      </c>
      <c r="H371" s="415">
        <f t="shared" si="16"/>
        <v>19218</v>
      </c>
      <c r="I371" s="230"/>
    </row>
    <row r="372" spans="1:9" ht="15.75" x14ac:dyDescent="0.25">
      <c r="A372" s="25" t="s">
        <v>223</v>
      </c>
      <c r="B372" s="16">
        <v>903</v>
      </c>
      <c r="C372" s="20" t="s">
        <v>314</v>
      </c>
      <c r="D372" s="20" t="s">
        <v>133</v>
      </c>
      <c r="E372" s="20" t="s">
        <v>963</v>
      </c>
      <c r="F372" s="20" t="s">
        <v>224</v>
      </c>
      <c r="G372" s="415">
        <f>'Пр.6 ведом.20'!G366</f>
        <v>19218</v>
      </c>
      <c r="H372" s="415">
        <f t="shared" si="16"/>
        <v>19218</v>
      </c>
      <c r="I372" s="230"/>
    </row>
    <row r="373" spans="1:9" ht="31.5" x14ac:dyDescent="0.25">
      <c r="A373" s="25" t="s">
        <v>146</v>
      </c>
      <c r="B373" s="16">
        <v>903</v>
      </c>
      <c r="C373" s="20" t="s">
        <v>314</v>
      </c>
      <c r="D373" s="20" t="s">
        <v>133</v>
      </c>
      <c r="E373" s="20" t="s">
        <v>963</v>
      </c>
      <c r="F373" s="20" t="s">
        <v>147</v>
      </c>
      <c r="G373" s="415">
        <f>'Пр.6 ведом.20'!G367</f>
        <v>2950</v>
      </c>
      <c r="H373" s="415">
        <f t="shared" si="16"/>
        <v>2950</v>
      </c>
      <c r="I373" s="230"/>
    </row>
    <row r="374" spans="1:9" ht="31.5" x14ac:dyDescent="0.25">
      <c r="A374" s="25" t="s">
        <v>148</v>
      </c>
      <c r="B374" s="16">
        <v>903</v>
      </c>
      <c r="C374" s="20" t="s">
        <v>314</v>
      </c>
      <c r="D374" s="20" t="s">
        <v>133</v>
      </c>
      <c r="E374" s="20" t="s">
        <v>963</v>
      </c>
      <c r="F374" s="20" t="s">
        <v>149</v>
      </c>
      <c r="G374" s="415">
        <f>'Пр.6 ведом.20'!G368</f>
        <v>2950</v>
      </c>
      <c r="H374" s="415">
        <f t="shared" si="16"/>
        <v>2950</v>
      </c>
      <c r="I374" s="230"/>
    </row>
    <row r="375" spans="1:9" ht="15.75" x14ac:dyDescent="0.25">
      <c r="A375" s="25" t="s">
        <v>150</v>
      </c>
      <c r="B375" s="16">
        <v>903</v>
      </c>
      <c r="C375" s="20" t="s">
        <v>314</v>
      </c>
      <c r="D375" s="20" t="s">
        <v>133</v>
      </c>
      <c r="E375" s="20" t="s">
        <v>963</v>
      </c>
      <c r="F375" s="20" t="s">
        <v>160</v>
      </c>
      <c r="G375" s="415">
        <f>'Пр.6 ведом.20'!G369</f>
        <v>26</v>
      </c>
      <c r="H375" s="415">
        <f t="shared" si="16"/>
        <v>26</v>
      </c>
      <c r="I375" s="230"/>
    </row>
    <row r="376" spans="1:9" ht="15.75" x14ac:dyDescent="0.25">
      <c r="A376" s="25" t="s">
        <v>583</v>
      </c>
      <c r="B376" s="16">
        <v>903</v>
      </c>
      <c r="C376" s="20" t="s">
        <v>314</v>
      </c>
      <c r="D376" s="20" t="s">
        <v>133</v>
      </c>
      <c r="E376" s="20" t="s">
        <v>963</v>
      </c>
      <c r="F376" s="20" t="s">
        <v>153</v>
      </c>
      <c r="G376" s="415">
        <f>'Пр.6 ведом.20'!G370</f>
        <v>26</v>
      </c>
      <c r="H376" s="415">
        <f t="shared" si="16"/>
        <v>26</v>
      </c>
      <c r="I376" s="230"/>
    </row>
    <row r="377" spans="1:9" ht="31.5" x14ac:dyDescent="0.25">
      <c r="A377" s="23" t="s">
        <v>975</v>
      </c>
      <c r="B377" s="19">
        <v>903</v>
      </c>
      <c r="C377" s="24" t="s">
        <v>314</v>
      </c>
      <c r="D377" s="24" t="s">
        <v>133</v>
      </c>
      <c r="E377" s="24" t="s">
        <v>964</v>
      </c>
      <c r="F377" s="24"/>
      <c r="G377" s="416">
        <f>G378</f>
        <v>50</v>
      </c>
      <c r="H377" s="416">
        <f>H378</f>
        <v>50</v>
      </c>
      <c r="I377" s="230"/>
    </row>
    <row r="378" spans="1:9" ht="31.5" x14ac:dyDescent="0.25">
      <c r="A378" s="25" t="s">
        <v>867</v>
      </c>
      <c r="B378" s="16">
        <v>903</v>
      </c>
      <c r="C378" s="20" t="s">
        <v>314</v>
      </c>
      <c r="D378" s="20" t="s">
        <v>133</v>
      </c>
      <c r="E378" s="20" t="s">
        <v>965</v>
      </c>
      <c r="F378" s="20"/>
      <c r="G378" s="415">
        <f>'Пр.6 ведом.20'!G372</f>
        <v>50</v>
      </c>
      <c r="H378" s="415">
        <f t="shared" si="16"/>
        <v>50</v>
      </c>
      <c r="I378" s="230"/>
    </row>
    <row r="379" spans="1:9" ht="31.5" x14ac:dyDescent="0.25">
      <c r="A379" s="25" t="s">
        <v>146</v>
      </c>
      <c r="B379" s="16">
        <v>903</v>
      </c>
      <c r="C379" s="20" t="s">
        <v>314</v>
      </c>
      <c r="D379" s="20" t="s">
        <v>133</v>
      </c>
      <c r="E379" s="20" t="s">
        <v>965</v>
      </c>
      <c r="F379" s="20" t="s">
        <v>147</v>
      </c>
      <c r="G379" s="415">
        <f>'Пр.6 ведом.20'!G373</f>
        <v>50</v>
      </c>
      <c r="H379" s="415">
        <f t="shared" si="16"/>
        <v>50</v>
      </c>
      <c r="I379" s="230"/>
    </row>
    <row r="380" spans="1:9" ht="31.5" x14ac:dyDescent="0.25">
      <c r="A380" s="25" t="s">
        <v>148</v>
      </c>
      <c r="B380" s="16">
        <v>903</v>
      </c>
      <c r="C380" s="20" t="s">
        <v>314</v>
      </c>
      <c r="D380" s="20" t="s">
        <v>133</v>
      </c>
      <c r="E380" s="20" t="s">
        <v>965</v>
      </c>
      <c r="F380" s="20" t="s">
        <v>149</v>
      </c>
      <c r="G380" s="415">
        <f>'Пр.6 ведом.20'!G374</f>
        <v>50</v>
      </c>
      <c r="H380" s="415">
        <f t="shared" si="16"/>
        <v>50</v>
      </c>
      <c r="I380" s="230"/>
    </row>
    <row r="381" spans="1:9" ht="31.5" x14ac:dyDescent="0.25">
      <c r="A381" s="23" t="s">
        <v>1081</v>
      </c>
      <c r="B381" s="19">
        <v>903</v>
      </c>
      <c r="C381" s="24" t="s">
        <v>314</v>
      </c>
      <c r="D381" s="24" t="s">
        <v>133</v>
      </c>
      <c r="E381" s="24" t="s">
        <v>966</v>
      </c>
      <c r="F381" s="24"/>
      <c r="G381" s="416">
        <f>G382</f>
        <v>507</v>
      </c>
      <c r="H381" s="416">
        <f>H382</f>
        <v>507</v>
      </c>
      <c r="I381" s="230"/>
    </row>
    <row r="382" spans="1:9" ht="47.25" x14ac:dyDescent="0.25">
      <c r="A382" s="25" t="s">
        <v>886</v>
      </c>
      <c r="B382" s="16">
        <v>903</v>
      </c>
      <c r="C382" s="20" t="s">
        <v>314</v>
      </c>
      <c r="D382" s="20" t="s">
        <v>133</v>
      </c>
      <c r="E382" s="20" t="s">
        <v>1263</v>
      </c>
      <c r="F382" s="20"/>
      <c r="G382" s="415">
        <f>'Пр.6 ведом.20'!G376</f>
        <v>507</v>
      </c>
      <c r="H382" s="415">
        <f t="shared" si="16"/>
        <v>507</v>
      </c>
      <c r="I382" s="230"/>
    </row>
    <row r="383" spans="1:9" ht="78.75" x14ac:dyDescent="0.25">
      <c r="A383" s="25" t="s">
        <v>142</v>
      </c>
      <c r="B383" s="16">
        <v>903</v>
      </c>
      <c r="C383" s="20" t="s">
        <v>314</v>
      </c>
      <c r="D383" s="20" t="s">
        <v>133</v>
      </c>
      <c r="E383" s="20" t="s">
        <v>1263</v>
      </c>
      <c r="F383" s="20" t="s">
        <v>143</v>
      </c>
      <c r="G383" s="415">
        <f>'Пр.6 ведом.20'!G377</f>
        <v>507</v>
      </c>
      <c r="H383" s="415">
        <f t="shared" si="16"/>
        <v>507</v>
      </c>
      <c r="I383" s="230"/>
    </row>
    <row r="384" spans="1:9" ht="15.75" x14ac:dyDescent="0.25">
      <c r="A384" s="25" t="s">
        <v>223</v>
      </c>
      <c r="B384" s="16">
        <v>903</v>
      </c>
      <c r="C384" s="20" t="s">
        <v>314</v>
      </c>
      <c r="D384" s="20" t="s">
        <v>133</v>
      </c>
      <c r="E384" s="20" t="s">
        <v>1263</v>
      </c>
      <c r="F384" s="20" t="s">
        <v>224</v>
      </c>
      <c r="G384" s="415">
        <f>'Пр.6 ведом.20'!G378</f>
        <v>507</v>
      </c>
      <c r="H384" s="415">
        <f t="shared" si="16"/>
        <v>507</v>
      </c>
      <c r="I384" s="230"/>
    </row>
    <row r="385" spans="1:9" ht="31.5" x14ac:dyDescent="0.25">
      <c r="A385" s="23" t="s">
        <v>1169</v>
      </c>
      <c r="B385" s="19">
        <v>903</v>
      </c>
      <c r="C385" s="24" t="s">
        <v>314</v>
      </c>
      <c r="D385" s="24" t="s">
        <v>133</v>
      </c>
      <c r="E385" s="24" t="s">
        <v>967</v>
      </c>
      <c r="F385" s="24"/>
      <c r="G385" s="416">
        <f>G386+G389</f>
        <v>68.7</v>
      </c>
      <c r="H385" s="416">
        <f>H386+H389</f>
        <v>68.7</v>
      </c>
      <c r="I385" s="230"/>
    </row>
    <row r="386" spans="1:9" ht="15.75" x14ac:dyDescent="0.25">
      <c r="A386" s="25" t="s">
        <v>344</v>
      </c>
      <c r="B386" s="16">
        <v>903</v>
      </c>
      <c r="C386" s="20" t="s">
        <v>314</v>
      </c>
      <c r="D386" s="20" t="s">
        <v>133</v>
      </c>
      <c r="E386" s="20" t="s">
        <v>1264</v>
      </c>
      <c r="F386" s="20"/>
      <c r="G386" s="415">
        <f>'Пр.6 ведом.20'!G380</f>
        <v>3.5</v>
      </c>
      <c r="H386" s="415">
        <f t="shared" si="16"/>
        <v>3.5</v>
      </c>
      <c r="I386" s="230"/>
    </row>
    <row r="387" spans="1:9" ht="31.5" x14ac:dyDescent="0.25">
      <c r="A387" s="25" t="s">
        <v>146</v>
      </c>
      <c r="B387" s="16">
        <v>903</v>
      </c>
      <c r="C387" s="20" t="s">
        <v>314</v>
      </c>
      <c r="D387" s="20" t="s">
        <v>133</v>
      </c>
      <c r="E387" s="20" t="s">
        <v>1264</v>
      </c>
      <c r="F387" s="20" t="s">
        <v>147</v>
      </c>
      <c r="G387" s="415">
        <f>'Пр.6 ведом.20'!G381</f>
        <v>3.5</v>
      </c>
      <c r="H387" s="415">
        <f t="shared" si="16"/>
        <v>3.5</v>
      </c>
      <c r="I387" s="230"/>
    </row>
    <row r="388" spans="1:9" ht="31.5" x14ac:dyDescent="0.25">
      <c r="A388" s="25" t="s">
        <v>148</v>
      </c>
      <c r="B388" s="16">
        <v>903</v>
      </c>
      <c r="C388" s="20" t="s">
        <v>314</v>
      </c>
      <c r="D388" s="20" t="s">
        <v>133</v>
      </c>
      <c r="E388" s="20" t="s">
        <v>1264</v>
      </c>
      <c r="F388" s="20" t="s">
        <v>149</v>
      </c>
      <c r="G388" s="415">
        <f>'Пр.6 ведом.20'!G382</f>
        <v>3.5</v>
      </c>
      <c r="H388" s="415">
        <f t="shared" si="16"/>
        <v>3.5</v>
      </c>
      <c r="I388" s="230"/>
    </row>
    <row r="389" spans="1:9" ht="15.75" x14ac:dyDescent="0.25">
      <c r="A389" s="25" t="s">
        <v>344</v>
      </c>
      <c r="B389" s="16">
        <v>903</v>
      </c>
      <c r="C389" s="20" t="s">
        <v>314</v>
      </c>
      <c r="D389" s="20" t="s">
        <v>133</v>
      </c>
      <c r="E389" s="20" t="s">
        <v>1265</v>
      </c>
      <c r="F389" s="20"/>
      <c r="G389" s="415">
        <f>'Пр.6 ведом.20'!G383</f>
        <v>65.2</v>
      </c>
      <c r="H389" s="415">
        <f t="shared" si="16"/>
        <v>65.2</v>
      </c>
      <c r="I389" s="230"/>
    </row>
    <row r="390" spans="1:9" ht="31.5" x14ac:dyDescent="0.25">
      <c r="A390" s="25" t="s">
        <v>146</v>
      </c>
      <c r="B390" s="16">
        <v>903</v>
      </c>
      <c r="C390" s="20" t="s">
        <v>314</v>
      </c>
      <c r="D390" s="20" t="s">
        <v>133</v>
      </c>
      <c r="E390" s="20" t="s">
        <v>1265</v>
      </c>
      <c r="F390" s="20" t="s">
        <v>147</v>
      </c>
      <c r="G390" s="415">
        <f>'Пр.6 ведом.20'!G384</f>
        <v>65.2</v>
      </c>
      <c r="H390" s="415">
        <f t="shared" si="16"/>
        <v>65.2</v>
      </c>
      <c r="I390" s="230"/>
    </row>
    <row r="391" spans="1:9" ht="31.5" x14ac:dyDescent="0.25">
      <c r="A391" s="25" t="s">
        <v>148</v>
      </c>
      <c r="B391" s="16">
        <v>903</v>
      </c>
      <c r="C391" s="20" t="s">
        <v>314</v>
      </c>
      <c r="D391" s="20" t="s">
        <v>133</v>
      </c>
      <c r="E391" s="20" t="s">
        <v>1265</v>
      </c>
      <c r="F391" s="38">
        <v>240</v>
      </c>
      <c r="G391" s="415">
        <f>'Пр.6 ведом.20'!G385</f>
        <v>65.2</v>
      </c>
      <c r="H391" s="415">
        <f t="shared" si="16"/>
        <v>65.2</v>
      </c>
      <c r="I391" s="230"/>
    </row>
    <row r="392" spans="1:9" ht="47.25" x14ac:dyDescent="0.25">
      <c r="A392" s="280" t="s">
        <v>973</v>
      </c>
      <c r="B392" s="19">
        <v>903</v>
      </c>
      <c r="C392" s="24" t="s">
        <v>314</v>
      </c>
      <c r="D392" s="24" t="s">
        <v>133</v>
      </c>
      <c r="E392" s="24" t="s">
        <v>1266</v>
      </c>
      <c r="F392" s="24"/>
      <c r="G392" s="416">
        <f>G393+G396</f>
        <v>1596.01</v>
      </c>
      <c r="H392" s="416">
        <f>H393+H396</f>
        <v>1596.01</v>
      </c>
      <c r="I392" s="230"/>
    </row>
    <row r="393" spans="1:9" ht="78.75" x14ac:dyDescent="0.25">
      <c r="A393" s="25" t="s">
        <v>346</v>
      </c>
      <c r="B393" s="16">
        <v>903</v>
      </c>
      <c r="C393" s="20" t="s">
        <v>314</v>
      </c>
      <c r="D393" s="20" t="s">
        <v>133</v>
      </c>
      <c r="E393" s="20" t="s">
        <v>1267</v>
      </c>
      <c r="F393" s="20"/>
      <c r="G393" s="415">
        <f>'Пр.6 ведом.20'!G387</f>
        <v>319.7</v>
      </c>
      <c r="H393" s="415">
        <f t="shared" si="16"/>
        <v>319.7</v>
      </c>
      <c r="I393" s="230"/>
    </row>
    <row r="394" spans="1:9" ht="78.75" x14ac:dyDescent="0.25">
      <c r="A394" s="25" t="s">
        <v>142</v>
      </c>
      <c r="B394" s="16">
        <v>903</v>
      </c>
      <c r="C394" s="20" t="s">
        <v>314</v>
      </c>
      <c r="D394" s="20" t="s">
        <v>133</v>
      </c>
      <c r="E394" s="20" t="s">
        <v>1267</v>
      </c>
      <c r="F394" s="20" t="s">
        <v>143</v>
      </c>
      <c r="G394" s="415">
        <f>'Пр.6 ведом.20'!G388</f>
        <v>319.7</v>
      </c>
      <c r="H394" s="415">
        <f t="shared" si="16"/>
        <v>319.7</v>
      </c>
      <c r="I394" s="230"/>
    </row>
    <row r="395" spans="1:9" ht="15.75" x14ac:dyDescent="0.25">
      <c r="A395" s="25" t="s">
        <v>223</v>
      </c>
      <c r="B395" s="16">
        <v>903</v>
      </c>
      <c r="C395" s="20" t="s">
        <v>314</v>
      </c>
      <c r="D395" s="20" t="s">
        <v>133</v>
      </c>
      <c r="E395" s="20" t="s">
        <v>1267</v>
      </c>
      <c r="F395" s="20" t="s">
        <v>224</v>
      </c>
      <c r="G395" s="415">
        <f>'Пр.6 ведом.20'!G389</f>
        <v>319.7</v>
      </c>
      <c r="H395" s="415">
        <f t="shared" si="16"/>
        <v>319.7</v>
      </c>
      <c r="I395" s="230"/>
    </row>
    <row r="396" spans="1:9" ht="94.5" x14ac:dyDescent="0.25">
      <c r="A396" s="31" t="s">
        <v>308</v>
      </c>
      <c r="B396" s="16">
        <v>903</v>
      </c>
      <c r="C396" s="20" t="s">
        <v>314</v>
      </c>
      <c r="D396" s="20" t="s">
        <v>133</v>
      </c>
      <c r="E396" s="20" t="s">
        <v>1268</v>
      </c>
      <c r="F396" s="20"/>
      <c r="G396" s="415">
        <f>'Пр.6 ведом.20'!G390</f>
        <v>1276.31</v>
      </c>
      <c r="H396" s="415">
        <f t="shared" si="16"/>
        <v>1276.31</v>
      </c>
      <c r="I396" s="230"/>
    </row>
    <row r="397" spans="1:9" ht="78.75" x14ac:dyDescent="0.25">
      <c r="A397" s="25" t="s">
        <v>142</v>
      </c>
      <c r="B397" s="16">
        <v>903</v>
      </c>
      <c r="C397" s="20" t="s">
        <v>314</v>
      </c>
      <c r="D397" s="20" t="s">
        <v>133</v>
      </c>
      <c r="E397" s="20" t="s">
        <v>1268</v>
      </c>
      <c r="F397" s="20" t="s">
        <v>143</v>
      </c>
      <c r="G397" s="415">
        <f>'Пр.6 ведом.20'!G391</f>
        <v>1276.31</v>
      </c>
      <c r="H397" s="415">
        <f t="shared" si="16"/>
        <v>1276.31</v>
      </c>
      <c r="I397" s="230"/>
    </row>
    <row r="398" spans="1:9" ht="15.75" x14ac:dyDescent="0.25">
      <c r="A398" s="25" t="s">
        <v>223</v>
      </c>
      <c r="B398" s="16">
        <v>903</v>
      </c>
      <c r="C398" s="20" t="s">
        <v>314</v>
      </c>
      <c r="D398" s="20" t="s">
        <v>133</v>
      </c>
      <c r="E398" s="20" t="s">
        <v>1268</v>
      </c>
      <c r="F398" s="20" t="s">
        <v>224</v>
      </c>
      <c r="G398" s="415">
        <f>'Пр.6 ведом.20'!G392</f>
        <v>1276.31</v>
      </c>
      <c r="H398" s="415">
        <f t="shared" si="16"/>
        <v>1276.31</v>
      </c>
      <c r="I398" s="361">
        <f>12177.1/11326*1000</f>
        <v>1075.1456825004416</v>
      </c>
    </row>
    <row r="399" spans="1:9" ht="63" hidden="1" x14ac:dyDescent="0.25">
      <c r="A399" s="34" t="s">
        <v>804</v>
      </c>
      <c r="B399" s="19">
        <v>903</v>
      </c>
      <c r="C399" s="24" t="s">
        <v>314</v>
      </c>
      <c r="D399" s="24" t="s">
        <v>133</v>
      </c>
      <c r="E399" s="24" t="s">
        <v>339</v>
      </c>
      <c r="F399" s="24"/>
      <c r="G399" s="416">
        <f>G401</f>
        <v>0</v>
      </c>
      <c r="H399" s="416">
        <f>H401</f>
        <v>0</v>
      </c>
      <c r="I399" s="230"/>
    </row>
    <row r="400" spans="1:9" ht="63" hidden="1" x14ac:dyDescent="0.25">
      <c r="A400" s="34" t="s">
        <v>1198</v>
      </c>
      <c r="B400" s="19">
        <v>903</v>
      </c>
      <c r="C400" s="24" t="s">
        <v>314</v>
      </c>
      <c r="D400" s="24" t="s">
        <v>133</v>
      </c>
      <c r="E400" s="24" t="s">
        <v>1030</v>
      </c>
      <c r="F400" s="24"/>
      <c r="G400" s="416">
        <f>G403</f>
        <v>0</v>
      </c>
      <c r="H400" s="416">
        <f>H403</f>
        <v>0</v>
      </c>
      <c r="I400" s="230"/>
    </row>
    <row r="401" spans="1:9" ht="47.25" hidden="1" x14ac:dyDescent="0.25">
      <c r="A401" s="31" t="s">
        <v>1284</v>
      </c>
      <c r="B401" s="16">
        <v>903</v>
      </c>
      <c r="C401" s="20" t="s">
        <v>314</v>
      </c>
      <c r="D401" s="20" t="s">
        <v>133</v>
      </c>
      <c r="E401" s="20" t="s">
        <v>1200</v>
      </c>
      <c r="F401" s="20"/>
      <c r="G401" s="415">
        <f>G402</f>
        <v>0</v>
      </c>
      <c r="H401" s="415">
        <f>H402</f>
        <v>0</v>
      </c>
      <c r="I401" s="230"/>
    </row>
    <row r="402" spans="1:9" ht="31.5" hidden="1" x14ac:dyDescent="0.25">
      <c r="A402" s="25" t="s">
        <v>146</v>
      </c>
      <c r="B402" s="16">
        <v>903</v>
      </c>
      <c r="C402" s="20" t="s">
        <v>314</v>
      </c>
      <c r="D402" s="20" t="s">
        <v>133</v>
      </c>
      <c r="E402" s="20" t="s">
        <v>1200</v>
      </c>
      <c r="F402" s="20" t="s">
        <v>147</v>
      </c>
      <c r="G402" s="415">
        <f>G403</f>
        <v>0</v>
      </c>
      <c r="H402" s="415">
        <f>H403</f>
        <v>0</v>
      </c>
      <c r="I402" s="230"/>
    </row>
    <row r="403" spans="1:9" ht="31.5" hidden="1" x14ac:dyDescent="0.25">
      <c r="A403" s="25" t="s">
        <v>148</v>
      </c>
      <c r="B403" s="16">
        <v>903</v>
      </c>
      <c r="C403" s="20" t="s">
        <v>314</v>
      </c>
      <c r="D403" s="20" t="s">
        <v>133</v>
      </c>
      <c r="E403" s="20" t="s">
        <v>1200</v>
      </c>
      <c r="F403" s="20" t="s">
        <v>149</v>
      </c>
      <c r="G403" s="415">
        <v>0</v>
      </c>
      <c r="H403" s="415">
        <v>0</v>
      </c>
      <c r="I403" s="230"/>
    </row>
    <row r="404" spans="1:9" ht="63" x14ac:dyDescent="0.25">
      <c r="A404" s="41" t="s">
        <v>1452</v>
      </c>
      <c r="B404" s="19">
        <v>903</v>
      </c>
      <c r="C404" s="24" t="s">
        <v>314</v>
      </c>
      <c r="D404" s="24" t="s">
        <v>133</v>
      </c>
      <c r="E404" s="24" t="s">
        <v>727</v>
      </c>
      <c r="F404" s="285"/>
      <c r="G404" s="416">
        <f>G405</f>
        <v>793.2</v>
      </c>
      <c r="H404" s="416">
        <f>H405</f>
        <v>793.2</v>
      </c>
      <c r="I404" s="230"/>
    </row>
    <row r="405" spans="1:9" ht="47.25" x14ac:dyDescent="0.25">
      <c r="A405" s="41" t="s">
        <v>951</v>
      </c>
      <c r="B405" s="19">
        <v>903</v>
      </c>
      <c r="C405" s="24" t="s">
        <v>314</v>
      </c>
      <c r="D405" s="24" t="s">
        <v>133</v>
      </c>
      <c r="E405" s="24" t="s">
        <v>949</v>
      </c>
      <c r="F405" s="285"/>
      <c r="G405" s="416">
        <f>G406</f>
        <v>793.2</v>
      </c>
      <c r="H405" s="416">
        <f>H406</f>
        <v>793.2</v>
      </c>
      <c r="I405" s="230"/>
    </row>
    <row r="406" spans="1:9" ht="47.25" x14ac:dyDescent="0.25">
      <c r="A406" s="101" t="s">
        <v>1194</v>
      </c>
      <c r="B406" s="16">
        <v>903</v>
      </c>
      <c r="C406" s="20" t="s">
        <v>314</v>
      </c>
      <c r="D406" s="20" t="s">
        <v>133</v>
      </c>
      <c r="E406" s="20" t="s">
        <v>950</v>
      </c>
      <c r="F406" s="32"/>
      <c r="G406" s="415">
        <f>'Пр.6 ведом.20'!G400</f>
        <v>793.2</v>
      </c>
      <c r="H406" s="415">
        <f t="shared" si="16"/>
        <v>793.2</v>
      </c>
      <c r="I406" s="230"/>
    </row>
    <row r="407" spans="1:9" ht="31.5" x14ac:dyDescent="0.25">
      <c r="A407" s="25" t="s">
        <v>146</v>
      </c>
      <c r="B407" s="16">
        <v>903</v>
      </c>
      <c r="C407" s="20" t="s">
        <v>314</v>
      </c>
      <c r="D407" s="20" t="s">
        <v>133</v>
      </c>
      <c r="E407" s="20" t="s">
        <v>950</v>
      </c>
      <c r="F407" s="32" t="s">
        <v>147</v>
      </c>
      <c r="G407" s="415">
        <f>'Пр.6 ведом.20'!G401</f>
        <v>793.2</v>
      </c>
      <c r="H407" s="415">
        <f t="shared" si="16"/>
        <v>793.2</v>
      </c>
      <c r="I407" s="230"/>
    </row>
    <row r="408" spans="1:9" ht="31.5" x14ac:dyDescent="0.25">
      <c r="A408" s="25" t="s">
        <v>148</v>
      </c>
      <c r="B408" s="16">
        <v>903</v>
      </c>
      <c r="C408" s="20" t="s">
        <v>314</v>
      </c>
      <c r="D408" s="20" t="s">
        <v>133</v>
      </c>
      <c r="E408" s="20" t="s">
        <v>950</v>
      </c>
      <c r="F408" s="32" t="s">
        <v>149</v>
      </c>
      <c r="G408" s="415">
        <f>'Пр.6 ведом.20'!G402</f>
        <v>793.2</v>
      </c>
      <c r="H408" s="415">
        <f t="shared" si="16"/>
        <v>793.2</v>
      </c>
      <c r="I408" s="230"/>
    </row>
    <row r="409" spans="1:9" ht="31.5" x14ac:dyDescent="0.25">
      <c r="A409" s="23" t="s">
        <v>348</v>
      </c>
      <c r="B409" s="19">
        <v>903</v>
      </c>
      <c r="C409" s="24" t="s">
        <v>314</v>
      </c>
      <c r="D409" s="24" t="s">
        <v>165</v>
      </c>
      <c r="E409" s="24"/>
      <c r="F409" s="24"/>
      <c r="G409" s="416">
        <f>G410+G420+G432</f>
        <v>17339</v>
      </c>
      <c r="H409" s="416">
        <f>H410+H420+H432</f>
        <v>17339</v>
      </c>
      <c r="I409" s="230"/>
    </row>
    <row r="410" spans="1:9" ht="31.5" x14ac:dyDescent="0.25">
      <c r="A410" s="23" t="s">
        <v>992</v>
      </c>
      <c r="B410" s="19">
        <v>903</v>
      </c>
      <c r="C410" s="24" t="s">
        <v>314</v>
      </c>
      <c r="D410" s="24" t="s">
        <v>165</v>
      </c>
      <c r="E410" s="24" t="s">
        <v>906</v>
      </c>
      <c r="F410" s="24"/>
      <c r="G410" s="416">
        <f>G411</f>
        <v>6870</v>
      </c>
      <c r="H410" s="416">
        <f>H411</f>
        <v>6870</v>
      </c>
      <c r="I410" s="230"/>
    </row>
    <row r="411" spans="1:9" ht="15.75" x14ac:dyDescent="0.25">
      <c r="A411" s="23" t="s">
        <v>993</v>
      </c>
      <c r="B411" s="19">
        <v>903</v>
      </c>
      <c r="C411" s="24" t="s">
        <v>314</v>
      </c>
      <c r="D411" s="24" t="s">
        <v>165</v>
      </c>
      <c r="E411" s="24" t="s">
        <v>907</v>
      </c>
      <c r="F411" s="24"/>
      <c r="G411" s="416">
        <f>G412+G417</f>
        <v>6870</v>
      </c>
      <c r="H411" s="416">
        <f>H412+H417</f>
        <v>6870</v>
      </c>
      <c r="I411" s="230"/>
    </row>
    <row r="412" spans="1:9" ht="31.5" x14ac:dyDescent="0.25">
      <c r="A412" s="25" t="s">
        <v>969</v>
      </c>
      <c r="B412" s="16">
        <v>903</v>
      </c>
      <c r="C412" s="20" t="s">
        <v>314</v>
      </c>
      <c r="D412" s="20" t="s">
        <v>165</v>
      </c>
      <c r="E412" s="20" t="s">
        <v>908</v>
      </c>
      <c r="F412" s="20"/>
      <c r="G412" s="415">
        <f>'Пр.6 ведом.20'!G406</f>
        <v>6744</v>
      </c>
      <c r="H412" s="415">
        <f t="shared" si="16"/>
        <v>6744</v>
      </c>
      <c r="I412" s="230"/>
    </row>
    <row r="413" spans="1:9" ht="78.75" x14ac:dyDescent="0.25">
      <c r="A413" s="25" t="s">
        <v>142</v>
      </c>
      <c r="B413" s="16">
        <v>903</v>
      </c>
      <c r="C413" s="20" t="s">
        <v>314</v>
      </c>
      <c r="D413" s="20" t="s">
        <v>165</v>
      </c>
      <c r="E413" s="20" t="s">
        <v>908</v>
      </c>
      <c r="F413" s="20" t="s">
        <v>143</v>
      </c>
      <c r="G413" s="415">
        <f>'Пр.6 ведом.20'!G407</f>
        <v>6744</v>
      </c>
      <c r="H413" s="415">
        <f t="shared" si="16"/>
        <v>6744</v>
      </c>
      <c r="I413" s="230"/>
    </row>
    <row r="414" spans="1:9" ht="31.5" x14ac:dyDescent="0.25">
      <c r="A414" s="25" t="s">
        <v>144</v>
      </c>
      <c r="B414" s="16">
        <v>903</v>
      </c>
      <c r="C414" s="20" t="s">
        <v>314</v>
      </c>
      <c r="D414" s="20" t="s">
        <v>165</v>
      </c>
      <c r="E414" s="20" t="s">
        <v>908</v>
      </c>
      <c r="F414" s="20" t="s">
        <v>145</v>
      </c>
      <c r="G414" s="415">
        <f>'Пр.6 ведом.20'!G408</f>
        <v>6744</v>
      </c>
      <c r="H414" s="415">
        <f t="shared" ref="H414:H498" si="18">G414</f>
        <v>6744</v>
      </c>
      <c r="I414" s="230"/>
    </row>
    <row r="415" spans="1:9" ht="31.5" hidden="1" x14ac:dyDescent="0.25">
      <c r="A415" s="25" t="s">
        <v>146</v>
      </c>
      <c r="B415" s="16">
        <v>903</v>
      </c>
      <c r="C415" s="20" t="s">
        <v>314</v>
      </c>
      <c r="D415" s="20" t="s">
        <v>165</v>
      </c>
      <c r="E415" s="20" t="s">
        <v>908</v>
      </c>
      <c r="F415" s="20" t="s">
        <v>147</v>
      </c>
      <c r="G415" s="415">
        <f>'Пр.6 ведом.20'!G409</f>
        <v>0</v>
      </c>
      <c r="H415" s="415">
        <f t="shared" si="18"/>
        <v>0</v>
      </c>
      <c r="I415" s="230"/>
    </row>
    <row r="416" spans="1:9" ht="31.5" hidden="1" x14ac:dyDescent="0.25">
      <c r="A416" s="25" t="s">
        <v>148</v>
      </c>
      <c r="B416" s="16">
        <v>903</v>
      </c>
      <c r="C416" s="20" t="s">
        <v>314</v>
      </c>
      <c r="D416" s="20" t="s">
        <v>165</v>
      </c>
      <c r="E416" s="20" t="s">
        <v>908</v>
      </c>
      <c r="F416" s="20" t="s">
        <v>149</v>
      </c>
      <c r="G416" s="415">
        <f>'Пр.6 ведом.20'!G410</f>
        <v>0</v>
      </c>
      <c r="H416" s="415">
        <f t="shared" si="18"/>
        <v>0</v>
      </c>
      <c r="I416" s="230"/>
    </row>
    <row r="417" spans="1:9" ht="47.25" x14ac:dyDescent="0.25">
      <c r="A417" s="25" t="s">
        <v>886</v>
      </c>
      <c r="B417" s="16">
        <v>903</v>
      </c>
      <c r="C417" s="20" t="s">
        <v>314</v>
      </c>
      <c r="D417" s="20" t="s">
        <v>165</v>
      </c>
      <c r="E417" s="20" t="s">
        <v>910</v>
      </c>
      <c r="F417" s="20"/>
      <c r="G417" s="415">
        <f>'Пр.6 ведом.20'!G411</f>
        <v>126</v>
      </c>
      <c r="H417" s="415">
        <f t="shared" si="18"/>
        <v>126</v>
      </c>
      <c r="I417" s="230"/>
    </row>
    <row r="418" spans="1:9" ht="78.75" x14ac:dyDescent="0.25">
      <c r="A418" s="25" t="s">
        <v>142</v>
      </c>
      <c r="B418" s="16">
        <v>903</v>
      </c>
      <c r="C418" s="20" t="s">
        <v>314</v>
      </c>
      <c r="D418" s="20" t="s">
        <v>165</v>
      </c>
      <c r="E418" s="20" t="s">
        <v>910</v>
      </c>
      <c r="F418" s="20" t="s">
        <v>143</v>
      </c>
      <c r="G418" s="415">
        <f>'Пр.6 ведом.20'!G412</f>
        <v>126</v>
      </c>
      <c r="H418" s="415">
        <f t="shared" si="18"/>
        <v>126</v>
      </c>
      <c r="I418" s="230"/>
    </row>
    <row r="419" spans="1:9" ht="31.5" x14ac:dyDescent="0.25">
      <c r="A419" s="25" t="s">
        <v>144</v>
      </c>
      <c r="B419" s="16">
        <v>903</v>
      </c>
      <c r="C419" s="20" t="s">
        <v>314</v>
      </c>
      <c r="D419" s="20" t="s">
        <v>165</v>
      </c>
      <c r="E419" s="20" t="s">
        <v>910</v>
      </c>
      <c r="F419" s="20" t="s">
        <v>145</v>
      </c>
      <c r="G419" s="415">
        <f>'Пр.6 ведом.20'!G413</f>
        <v>126</v>
      </c>
      <c r="H419" s="415">
        <f t="shared" si="18"/>
        <v>126</v>
      </c>
      <c r="I419" s="230"/>
    </row>
    <row r="420" spans="1:9" ht="15.75" x14ac:dyDescent="0.25">
      <c r="A420" s="23" t="s">
        <v>1003</v>
      </c>
      <c r="B420" s="19">
        <v>903</v>
      </c>
      <c r="C420" s="24" t="s">
        <v>314</v>
      </c>
      <c r="D420" s="24" t="s">
        <v>165</v>
      </c>
      <c r="E420" s="24" t="s">
        <v>914</v>
      </c>
      <c r="F420" s="24"/>
      <c r="G420" s="416">
        <f>G421</f>
        <v>10209</v>
      </c>
      <c r="H420" s="416">
        <f>H421</f>
        <v>10209</v>
      </c>
      <c r="I420" s="230"/>
    </row>
    <row r="421" spans="1:9" ht="31.5" x14ac:dyDescent="0.25">
      <c r="A421" s="23" t="s">
        <v>1006</v>
      </c>
      <c r="B421" s="19">
        <v>903</v>
      </c>
      <c r="C421" s="24" t="s">
        <v>314</v>
      </c>
      <c r="D421" s="24" t="s">
        <v>165</v>
      </c>
      <c r="E421" s="24" t="s">
        <v>989</v>
      </c>
      <c r="F421" s="24"/>
      <c r="G421" s="416">
        <f>G422+G429</f>
        <v>10209</v>
      </c>
      <c r="H421" s="416">
        <f>H422+H429</f>
        <v>10209</v>
      </c>
      <c r="I421" s="230"/>
    </row>
    <row r="422" spans="1:9" ht="31.5" x14ac:dyDescent="0.25">
      <c r="A422" s="25" t="s">
        <v>976</v>
      </c>
      <c r="B422" s="16">
        <v>903</v>
      </c>
      <c r="C422" s="20" t="s">
        <v>314</v>
      </c>
      <c r="D422" s="20" t="s">
        <v>165</v>
      </c>
      <c r="E422" s="20" t="s">
        <v>990</v>
      </c>
      <c r="F422" s="20"/>
      <c r="G422" s="415">
        <f>'Пр.6 ведом.20'!G416</f>
        <v>9999</v>
      </c>
      <c r="H422" s="415">
        <f t="shared" si="18"/>
        <v>9999</v>
      </c>
      <c r="I422" s="230"/>
    </row>
    <row r="423" spans="1:9" ht="78.75" x14ac:dyDescent="0.25">
      <c r="A423" s="25" t="s">
        <v>142</v>
      </c>
      <c r="B423" s="16">
        <v>903</v>
      </c>
      <c r="C423" s="20" t="s">
        <v>314</v>
      </c>
      <c r="D423" s="20" t="s">
        <v>165</v>
      </c>
      <c r="E423" s="20" t="s">
        <v>990</v>
      </c>
      <c r="F423" s="20" t="s">
        <v>143</v>
      </c>
      <c r="G423" s="415">
        <f>'Пр.6 ведом.20'!G417</f>
        <v>8048</v>
      </c>
      <c r="H423" s="415">
        <f t="shared" si="18"/>
        <v>8048</v>
      </c>
      <c r="I423" s="230"/>
    </row>
    <row r="424" spans="1:9" ht="31.5" x14ac:dyDescent="0.25">
      <c r="A424" s="25" t="s">
        <v>357</v>
      </c>
      <c r="B424" s="16">
        <v>903</v>
      </c>
      <c r="C424" s="20" t="s">
        <v>314</v>
      </c>
      <c r="D424" s="20" t="s">
        <v>165</v>
      </c>
      <c r="E424" s="20" t="s">
        <v>990</v>
      </c>
      <c r="F424" s="20" t="s">
        <v>224</v>
      </c>
      <c r="G424" s="415">
        <f>'Пр.6 ведом.20'!G418</f>
        <v>8048</v>
      </c>
      <c r="H424" s="415">
        <f t="shared" si="18"/>
        <v>8048</v>
      </c>
      <c r="I424" s="230"/>
    </row>
    <row r="425" spans="1:9" ht="31.5" x14ac:dyDescent="0.25">
      <c r="A425" s="25" t="s">
        <v>146</v>
      </c>
      <c r="B425" s="16">
        <v>903</v>
      </c>
      <c r="C425" s="20" t="s">
        <v>314</v>
      </c>
      <c r="D425" s="20" t="s">
        <v>165</v>
      </c>
      <c r="E425" s="20" t="s">
        <v>990</v>
      </c>
      <c r="F425" s="20" t="s">
        <v>147</v>
      </c>
      <c r="G425" s="415">
        <f>'Пр.6 ведом.20'!G419</f>
        <v>1937</v>
      </c>
      <c r="H425" s="415">
        <f t="shared" si="18"/>
        <v>1937</v>
      </c>
      <c r="I425" s="230"/>
    </row>
    <row r="426" spans="1:9" ht="31.5" x14ac:dyDescent="0.25">
      <c r="A426" s="25" t="s">
        <v>148</v>
      </c>
      <c r="B426" s="16">
        <v>903</v>
      </c>
      <c r="C426" s="20" t="s">
        <v>314</v>
      </c>
      <c r="D426" s="20" t="s">
        <v>165</v>
      </c>
      <c r="E426" s="20" t="s">
        <v>990</v>
      </c>
      <c r="F426" s="20" t="s">
        <v>149</v>
      </c>
      <c r="G426" s="415">
        <f>'Пр.6 ведом.20'!G420</f>
        <v>1937</v>
      </c>
      <c r="H426" s="415">
        <f t="shared" si="18"/>
        <v>1937</v>
      </c>
      <c r="I426" s="230"/>
    </row>
    <row r="427" spans="1:9" ht="15.75" x14ac:dyDescent="0.25">
      <c r="A427" s="25" t="s">
        <v>150</v>
      </c>
      <c r="B427" s="16">
        <v>903</v>
      </c>
      <c r="C427" s="20" t="s">
        <v>314</v>
      </c>
      <c r="D427" s="20" t="s">
        <v>165</v>
      </c>
      <c r="E427" s="20" t="s">
        <v>990</v>
      </c>
      <c r="F427" s="20" t="s">
        <v>160</v>
      </c>
      <c r="G427" s="415">
        <f>'Пр.6 ведом.20'!G421</f>
        <v>14</v>
      </c>
      <c r="H427" s="415">
        <f t="shared" si="18"/>
        <v>14</v>
      </c>
      <c r="I427" s="230"/>
    </row>
    <row r="428" spans="1:9" ht="15.75" x14ac:dyDescent="0.25">
      <c r="A428" s="25" t="s">
        <v>583</v>
      </c>
      <c r="B428" s="16">
        <v>903</v>
      </c>
      <c r="C428" s="20" t="s">
        <v>314</v>
      </c>
      <c r="D428" s="20" t="s">
        <v>165</v>
      </c>
      <c r="E428" s="20" t="s">
        <v>990</v>
      </c>
      <c r="F428" s="20" t="s">
        <v>153</v>
      </c>
      <c r="G428" s="415">
        <f>'Пр.6 ведом.20'!G422</f>
        <v>14</v>
      </c>
      <c r="H428" s="415">
        <f t="shared" si="18"/>
        <v>14</v>
      </c>
      <c r="I428" s="230"/>
    </row>
    <row r="429" spans="1:9" ht="47.25" x14ac:dyDescent="0.25">
      <c r="A429" s="25" t="s">
        <v>886</v>
      </c>
      <c r="B429" s="16">
        <v>903</v>
      </c>
      <c r="C429" s="20" t="s">
        <v>314</v>
      </c>
      <c r="D429" s="20" t="s">
        <v>165</v>
      </c>
      <c r="E429" s="20" t="s">
        <v>991</v>
      </c>
      <c r="F429" s="20"/>
      <c r="G429" s="415">
        <f>'Пр.6 ведом.20'!G423</f>
        <v>210</v>
      </c>
      <c r="H429" s="415">
        <f t="shared" si="18"/>
        <v>210</v>
      </c>
      <c r="I429" s="230"/>
    </row>
    <row r="430" spans="1:9" ht="78.75" x14ac:dyDescent="0.25">
      <c r="A430" s="25" t="s">
        <v>142</v>
      </c>
      <c r="B430" s="16">
        <v>903</v>
      </c>
      <c r="C430" s="20" t="s">
        <v>314</v>
      </c>
      <c r="D430" s="20" t="s">
        <v>165</v>
      </c>
      <c r="E430" s="20" t="s">
        <v>991</v>
      </c>
      <c r="F430" s="20" t="s">
        <v>143</v>
      </c>
      <c r="G430" s="415">
        <f>'Пр.6 ведом.20'!G424</f>
        <v>210</v>
      </c>
      <c r="H430" s="415">
        <f t="shared" si="18"/>
        <v>210</v>
      </c>
      <c r="I430" s="230"/>
    </row>
    <row r="431" spans="1:9" ht="25.5" customHeight="1" x14ac:dyDescent="0.25">
      <c r="A431" s="25" t="s">
        <v>357</v>
      </c>
      <c r="B431" s="16">
        <v>903</v>
      </c>
      <c r="C431" s="20" t="s">
        <v>314</v>
      </c>
      <c r="D431" s="20" t="s">
        <v>165</v>
      </c>
      <c r="E431" s="20" t="s">
        <v>991</v>
      </c>
      <c r="F431" s="20" t="s">
        <v>224</v>
      </c>
      <c r="G431" s="415">
        <f>'Пр.6 ведом.20'!G425</f>
        <v>210</v>
      </c>
      <c r="H431" s="415">
        <f t="shared" si="18"/>
        <v>210</v>
      </c>
      <c r="I431" s="230"/>
    </row>
    <row r="432" spans="1:9" ht="47.25" x14ac:dyDescent="0.25">
      <c r="A432" s="23" t="s">
        <v>1450</v>
      </c>
      <c r="B432" s="19">
        <v>903</v>
      </c>
      <c r="C432" s="24" t="s">
        <v>314</v>
      </c>
      <c r="D432" s="24" t="s">
        <v>165</v>
      </c>
      <c r="E432" s="24" t="s">
        <v>359</v>
      </c>
      <c r="F432" s="24"/>
      <c r="G432" s="416">
        <f t="shared" ref="G432:H434" si="19">G433</f>
        <v>260</v>
      </c>
      <c r="H432" s="416">
        <f t="shared" si="19"/>
        <v>260</v>
      </c>
      <c r="I432" s="230"/>
    </row>
    <row r="433" spans="1:9" ht="47.25" x14ac:dyDescent="0.25">
      <c r="A433" s="23" t="s">
        <v>379</v>
      </c>
      <c r="B433" s="19">
        <v>903</v>
      </c>
      <c r="C433" s="24" t="s">
        <v>314</v>
      </c>
      <c r="D433" s="24" t="s">
        <v>165</v>
      </c>
      <c r="E433" s="24" t="s">
        <v>380</v>
      </c>
      <c r="F433" s="24"/>
      <c r="G433" s="416">
        <f t="shared" si="19"/>
        <v>260</v>
      </c>
      <c r="H433" s="416">
        <f t="shared" si="19"/>
        <v>260</v>
      </c>
      <c r="I433" s="230"/>
    </row>
    <row r="434" spans="1:9" ht="31.5" x14ac:dyDescent="0.25">
      <c r="A434" s="23" t="s">
        <v>1152</v>
      </c>
      <c r="B434" s="19">
        <v>903</v>
      </c>
      <c r="C434" s="24" t="s">
        <v>314</v>
      </c>
      <c r="D434" s="24" t="s">
        <v>165</v>
      </c>
      <c r="E434" s="24" t="s">
        <v>968</v>
      </c>
      <c r="F434" s="24"/>
      <c r="G434" s="416">
        <f t="shared" si="19"/>
        <v>260</v>
      </c>
      <c r="H434" s="416">
        <f t="shared" si="19"/>
        <v>260</v>
      </c>
      <c r="I434" s="230"/>
    </row>
    <row r="435" spans="1:9" ht="31.5" x14ac:dyDescent="0.25">
      <c r="A435" s="25" t="s">
        <v>1151</v>
      </c>
      <c r="B435" s="16">
        <v>903</v>
      </c>
      <c r="C435" s="20" t="s">
        <v>314</v>
      </c>
      <c r="D435" s="20" t="s">
        <v>165</v>
      </c>
      <c r="E435" s="20" t="s">
        <v>1234</v>
      </c>
      <c r="F435" s="20"/>
      <c r="G435" s="415">
        <f>'Пр.6 ведом.20'!G429</f>
        <v>260</v>
      </c>
      <c r="H435" s="415">
        <f t="shared" si="18"/>
        <v>260</v>
      </c>
      <c r="I435" s="230"/>
    </row>
    <row r="436" spans="1:9" ht="31.5" x14ac:dyDescent="0.25">
      <c r="A436" s="25" t="s">
        <v>146</v>
      </c>
      <c r="B436" s="16">
        <v>903</v>
      </c>
      <c r="C436" s="20" t="s">
        <v>314</v>
      </c>
      <c r="D436" s="20" t="s">
        <v>165</v>
      </c>
      <c r="E436" s="20" t="s">
        <v>1234</v>
      </c>
      <c r="F436" s="20" t="s">
        <v>147</v>
      </c>
      <c r="G436" s="415">
        <f>'Пр.6 ведом.20'!G430</f>
        <v>260</v>
      </c>
      <c r="H436" s="415">
        <f t="shared" si="18"/>
        <v>260</v>
      </c>
      <c r="I436" s="230"/>
    </row>
    <row r="437" spans="1:9" ht="31.5" x14ac:dyDescent="0.25">
      <c r="A437" s="25" t="s">
        <v>148</v>
      </c>
      <c r="B437" s="16">
        <v>903</v>
      </c>
      <c r="C437" s="20" t="s">
        <v>314</v>
      </c>
      <c r="D437" s="20" t="s">
        <v>165</v>
      </c>
      <c r="E437" s="20" t="s">
        <v>1234</v>
      </c>
      <c r="F437" s="20" t="s">
        <v>149</v>
      </c>
      <c r="G437" s="415">
        <f>'Пр.6 ведом.20'!G431</f>
        <v>260</v>
      </c>
      <c r="H437" s="415">
        <f t="shared" si="18"/>
        <v>260</v>
      </c>
      <c r="I437" s="230"/>
    </row>
    <row r="438" spans="1:9" ht="15.75" x14ac:dyDescent="0.25">
      <c r="A438" s="23" t="s">
        <v>258</v>
      </c>
      <c r="B438" s="19">
        <v>903</v>
      </c>
      <c r="C438" s="24" t="s">
        <v>259</v>
      </c>
      <c r="D438" s="24"/>
      <c r="E438" s="24"/>
      <c r="F438" s="24"/>
      <c r="G438" s="416">
        <f>G439</f>
        <v>1824</v>
      </c>
      <c r="H438" s="416">
        <f>H439</f>
        <v>1834</v>
      </c>
      <c r="I438" s="230"/>
    </row>
    <row r="439" spans="1:9" ht="15.75" x14ac:dyDescent="0.25">
      <c r="A439" s="23" t="s">
        <v>267</v>
      </c>
      <c r="B439" s="19">
        <v>903</v>
      </c>
      <c r="C439" s="24" t="s">
        <v>259</v>
      </c>
      <c r="D439" s="24" t="s">
        <v>230</v>
      </c>
      <c r="E439" s="24"/>
      <c r="F439" s="24"/>
      <c r="G439" s="416">
        <f>G440</f>
        <v>1824</v>
      </c>
      <c r="H439" s="416">
        <f>H440</f>
        <v>1834</v>
      </c>
      <c r="I439" s="230"/>
    </row>
    <row r="440" spans="1:9" ht="47.25" x14ac:dyDescent="0.25">
      <c r="A440" s="23" t="s">
        <v>1450</v>
      </c>
      <c r="B440" s="19">
        <v>903</v>
      </c>
      <c r="C440" s="24" t="s">
        <v>259</v>
      </c>
      <c r="D440" s="24" t="s">
        <v>230</v>
      </c>
      <c r="E440" s="24" t="s">
        <v>359</v>
      </c>
      <c r="F440" s="24"/>
      <c r="G440" s="416">
        <f>G441+G446+G451+G462</f>
        <v>1824</v>
      </c>
      <c r="H440" s="416">
        <f>H441+H446+H451+H462</f>
        <v>1834</v>
      </c>
      <c r="I440" s="230"/>
    </row>
    <row r="441" spans="1:9" ht="31.5" x14ac:dyDescent="0.25">
      <c r="A441" s="23" t="s">
        <v>367</v>
      </c>
      <c r="B441" s="19">
        <v>903</v>
      </c>
      <c r="C441" s="24" t="s">
        <v>259</v>
      </c>
      <c r="D441" s="24" t="s">
        <v>230</v>
      </c>
      <c r="E441" s="24" t="s">
        <v>368</v>
      </c>
      <c r="F441" s="24"/>
      <c r="G441" s="416">
        <f t="shared" ref="G441:H444" si="20">G442</f>
        <v>44</v>
      </c>
      <c r="H441" s="416">
        <f t="shared" si="20"/>
        <v>54</v>
      </c>
      <c r="I441" s="230"/>
    </row>
    <row r="442" spans="1:9" ht="31.5" x14ac:dyDescent="0.25">
      <c r="A442" s="23" t="s">
        <v>978</v>
      </c>
      <c r="B442" s="19">
        <v>903</v>
      </c>
      <c r="C442" s="24" t="s">
        <v>259</v>
      </c>
      <c r="D442" s="24" t="s">
        <v>230</v>
      </c>
      <c r="E442" s="24" t="s">
        <v>977</v>
      </c>
      <c r="F442" s="24"/>
      <c r="G442" s="416">
        <f t="shared" si="20"/>
        <v>44</v>
      </c>
      <c r="H442" s="416">
        <f t="shared" si="20"/>
        <v>54</v>
      </c>
      <c r="I442" s="230"/>
    </row>
    <row r="443" spans="1:9" ht="31.5" x14ac:dyDescent="0.25">
      <c r="A443" s="25" t="s">
        <v>870</v>
      </c>
      <c r="B443" s="16">
        <v>903</v>
      </c>
      <c r="C443" s="20" t="s">
        <v>259</v>
      </c>
      <c r="D443" s="20" t="s">
        <v>230</v>
      </c>
      <c r="E443" s="20" t="s">
        <v>979</v>
      </c>
      <c r="F443" s="20"/>
      <c r="G443" s="415">
        <f t="shared" si="20"/>
        <v>44</v>
      </c>
      <c r="H443" s="415">
        <f t="shared" si="20"/>
        <v>54</v>
      </c>
      <c r="I443" s="230"/>
    </row>
    <row r="444" spans="1:9" ht="21" customHeight="1" x14ac:dyDescent="0.25">
      <c r="A444" s="25" t="s">
        <v>263</v>
      </c>
      <c r="B444" s="16">
        <v>903</v>
      </c>
      <c r="C444" s="20" t="s">
        <v>259</v>
      </c>
      <c r="D444" s="20" t="s">
        <v>230</v>
      </c>
      <c r="E444" s="20" t="s">
        <v>979</v>
      </c>
      <c r="F444" s="20" t="s">
        <v>264</v>
      </c>
      <c r="G444" s="415">
        <f t="shared" si="20"/>
        <v>44</v>
      </c>
      <c r="H444" s="415">
        <f t="shared" si="20"/>
        <v>54</v>
      </c>
      <c r="I444" s="230"/>
    </row>
    <row r="445" spans="1:9" ht="31.5" x14ac:dyDescent="0.25">
      <c r="A445" s="25" t="s">
        <v>265</v>
      </c>
      <c r="B445" s="16">
        <v>903</v>
      </c>
      <c r="C445" s="20" t="s">
        <v>259</v>
      </c>
      <c r="D445" s="20" t="s">
        <v>230</v>
      </c>
      <c r="E445" s="20" t="s">
        <v>979</v>
      </c>
      <c r="F445" s="20" t="s">
        <v>266</v>
      </c>
      <c r="G445" s="415">
        <v>44</v>
      </c>
      <c r="H445" s="415">
        <v>54</v>
      </c>
      <c r="I445" s="230"/>
    </row>
    <row r="446" spans="1:9" ht="31.5" x14ac:dyDescent="0.25">
      <c r="A446" s="23" t="s">
        <v>370</v>
      </c>
      <c r="B446" s="19">
        <v>903</v>
      </c>
      <c r="C446" s="19">
        <v>10</v>
      </c>
      <c r="D446" s="24" t="s">
        <v>230</v>
      </c>
      <c r="E446" s="24" t="s">
        <v>371</v>
      </c>
      <c r="F446" s="24"/>
      <c r="G446" s="416">
        <f>G448</f>
        <v>420</v>
      </c>
      <c r="H446" s="416">
        <f>H448</f>
        <v>420</v>
      </c>
      <c r="I446" s="230"/>
    </row>
    <row r="447" spans="1:9" ht="31.5" x14ac:dyDescent="0.25">
      <c r="A447" s="23" t="s">
        <v>1153</v>
      </c>
      <c r="B447" s="19">
        <v>903</v>
      </c>
      <c r="C447" s="19">
        <v>10</v>
      </c>
      <c r="D447" s="24" t="s">
        <v>230</v>
      </c>
      <c r="E447" s="24" t="s">
        <v>980</v>
      </c>
      <c r="F447" s="24"/>
      <c r="G447" s="416">
        <f>G448</f>
        <v>420</v>
      </c>
      <c r="H447" s="416">
        <f>H448</f>
        <v>420</v>
      </c>
      <c r="I447" s="230"/>
    </row>
    <row r="448" spans="1:9" ht="15.75" x14ac:dyDescent="0.25">
      <c r="A448" s="25" t="s">
        <v>1214</v>
      </c>
      <c r="B448" s="16">
        <v>903</v>
      </c>
      <c r="C448" s="20" t="s">
        <v>259</v>
      </c>
      <c r="D448" s="20" t="s">
        <v>230</v>
      </c>
      <c r="E448" s="20" t="s">
        <v>981</v>
      </c>
      <c r="F448" s="20"/>
      <c r="G448" s="415">
        <f>'Пр.6 ведом.20'!G442</f>
        <v>420</v>
      </c>
      <c r="H448" s="415">
        <f t="shared" si="18"/>
        <v>420</v>
      </c>
      <c r="I448" s="230"/>
    </row>
    <row r="449" spans="1:9" ht="22.5" customHeight="1" x14ac:dyDescent="0.25">
      <c r="A449" s="25" t="s">
        <v>263</v>
      </c>
      <c r="B449" s="16">
        <v>903</v>
      </c>
      <c r="C449" s="20" t="s">
        <v>259</v>
      </c>
      <c r="D449" s="20" t="s">
        <v>230</v>
      </c>
      <c r="E449" s="20" t="s">
        <v>981</v>
      </c>
      <c r="F449" s="20" t="s">
        <v>264</v>
      </c>
      <c r="G449" s="415">
        <f>'Пр.6 ведом.20'!G443</f>
        <v>420</v>
      </c>
      <c r="H449" s="415">
        <f t="shared" si="18"/>
        <v>420</v>
      </c>
      <c r="I449" s="230"/>
    </row>
    <row r="450" spans="1:9" ht="31.5" x14ac:dyDescent="0.25">
      <c r="A450" s="25" t="s">
        <v>363</v>
      </c>
      <c r="B450" s="16">
        <v>903</v>
      </c>
      <c r="C450" s="20" t="s">
        <v>259</v>
      </c>
      <c r="D450" s="20" t="s">
        <v>230</v>
      </c>
      <c r="E450" s="20" t="s">
        <v>981</v>
      </c>
      <c r="F450" s="20" t="s">
        <v>364</v>
      </c>
      <c r="G450" s="415">
        <f>'Пр.6 ведом.20'!G444</f>
        <v>420</v>
      </c>
      <c r="H450" s="415">
        <f t="shared" si="18"/>
        <v>420</v>
      </c>
      <c r="I450" s="230"/>
    </row>
    <row r="451" spans="1:9" ht="15.75" x14ac:dyDescent="0.25">
      <c r="A451" s="23" t="s">
        <v>373</v>
      </c>
      <c r="B451" s="19">
        <v>903</v>
      </c>
      <c r="C451" s="19">
        <v>10</v>
      </c>
      <c r="D451" s="24" t="s">
        <v>230</v>
      </c>
      <c r="E451" s="24" t="s">
        <v>374</v>
      </c>
      <c r="F451" s="24"/>
      <c r="G451" s="416">
        <f>G456+G452</f>
        <v>1110</v>
      </c>
      <c r="H451" s="416">
        <f>H456+H452</f>
        <v>1110</v>
      </c>
      <c r="I451" s="230"/>
    </row>
    <row r="452" spans="1:9" ht="31.5" x14ac:dyDescent="0.25">
      <c r="A452" s="23" t="s">
        <v>1216</v>
      </c>
      <c r="B452" s="19">
        <v>903</v>
      </c>
      <c r="C452" s="24" t="s">
        <v>259</v>
      </c>
      <c r="D452" s="24" t="s">
        <v>230</v>
      </c>
      <c r="E452" s="24" t="s">
        <v>983</v>
      </c>
      <c r="F452" s="24"/>
      <c r="G452" s="416">
        <f>G453</f>
        <v>630</v>
      </c>
      <c r="H452" s="416">
        <f>H453</f>
        <v>630</v>
      </c>
      <c r="I452" s="230"/>
    </row>
    <row r="453" spans="1:9" ht="47.25" x14ac:dyDescent="0.25">
      <c r="A453" s="101" t="s">
        <v>1217</v>
      </c>
      <c r="B453" s="16">
        <v>903</v>
      </c>
      <c r="C453" s="20" t="s">
        <v>259</v>
      </c>
      <c r="D453" s="20" t="s">
        <v>230</v>
      </c>
      <c r="E453" s="20" t="s">
        <v>984</v>
      </c>
      <c r="F453" s="20"/>
      <c r="G453" s="415">
        <f>'Пр.6 ведом.20'!G447</f>
        <v>630</v>
      </c>
      <c r="H453" s="415">
        <f t="shared" si="18"/>
        <v>630</v>
      </c>
      <c r="I453" s="230"/>
    </row>
    <row r="454" spans="1:9" ht="31.5" x14ac:dyDescent="0.25">
      <c r="A454" s="25" t="s">
        <v>263</v>
      </c>
      <c r="B454" s="16">
        <v>903</v>
      </c>
      <c r="C454" s="20" t="s">
        <v>259</v>
      </c>
      <c r="D454" s="20" t="s">
        <v>230</v>
      </c>
      <c r="E454" s="20" t="s">
        <v>984</v>
      </c>
      <c r="F454" s="20" t="s">
        <v>264</v>
      </c>
      <c r="G454" s="415">
        <f>'Пр.6 ведом.20'!G448</f>
        <v>630</v>
      </c>
      <c r="H454" s="415">
        <f t="shared" si="18"/>
        <v>630</v>
      </c>
      <c r="I454" s="230"/>
    </row>
    <row r="455" spans="1:9" ht="31.5" x14ac:dyDescent="0.25">
      <c r="A455" s="25" t="s">
        <v>363</v>
      </c>
      <c r="B455" s="16">
        <v>903</v>
      </c>
      <c r="C455" s="20" t="s">
        <v>259</v>
      </c>
      <c r="D455" s="20" t="s">
        <v>230</v>
      </c>
      <c r="E455" s="20" t="s">
        <v>984</v>
      </c>
      <c r="F455" s="20" t="s">
        <v>364</v>
      </c>
      <c r="G455" s="415">
        <f>'Пр.6 ведом.20'!G449</f>
        <v>630</v>
      </c>
      <c r="H455" s="415">
        <f t="shared" si="18"/>
        <v>630</v>
      </c>
      <c r="I455" s="230"/>
    </row>
    <row r="456" spans="1:9" ht="31.5" x14ac:dyDescent="0.25">
      <c r="A456" s="23" t="s">
        <v>982</v>
      </c>
      <c r="B456" s="19">
        <v>903</v>
      </c>
      <c r="C456" s="19">
        <v>10</v>
      </c>
      <c r="D456" s="24" t="s">
        <v>230</v>
      </c>
      <c r="E456" s="24" t="s">
        <v>985</v>
      </c>
      <c r="F456" s="24"/>
      <c r="G456" s="416">
        <f>G457+G460</f>
        <v>480</v>
      </c>
      <c r="H456" s="416">
        <f>H457+H460</f>
        <v>480</v>
      </c>
      <c r="I456" s="230"/>
    </row>
    <row r="457" spans="1:9" ht="31.5" x14ac:dyDescent="0.25">
      <c r="A457" s="25" t="s">
        <v>1154</v>
      </c>
      <c r="B457" s="16">
        <v>903</v>
      </c>
      <c r="C457" s="20" t="s">
        <v>259</v>
      </c>
      <c r="D457" s="20" t="s">
        <v>230</v>
      </c>
      <c r="E457" s="20" t="s">
        <v>986</v>
      </c>
      <c r="F457" s="20"/>
      <c r="G457" s="415">
        <f>'Пр.6 ведом.20'!G451</f>
        <v>270</v>
      </c>
      <c r="H457" s="415">
        <f t="shared" si="18"/>
        <v>270</v>
      </c>
      <c r="I457" s="230"/>
    </row>
    <row r="458" spans="1:9" ht="31.5" x14ac:dyDescent="0.25">
      <c r="A458" s="25" t="s">
        <v>146</v>
      </c>
      <c r="B458" s="16">
        <v>903</v>
      </c>
      <c r="C458" s="20" t="s">
        <v>259</v>
      </c>
      <c r="D458" s="20" t="s">
        <v>230</v>
      </c>
      <c r="E458" s="20" t="s">
        <v>986</v>
      </c>
      <c r="F458" s="20" t="s">
        <v>147</v>
      </c>
      <c r="G458" s="415">
        <f>'Пр.6 ведом.20'!G452</f>
        <v>270</v>
      </c>
      <c r="H458" s="415">
        <f t="shared" si="18"/>
        <v>270</v>
      </c>
      <c r="I458" s="230"/>
    </row>
    <row r="459" spans="1:9" ht="31.5" x14ac:dyDescent="0.25">
      <c r="A459" s="25" t="s">
        <v>148</v>
      </c>
      <c r="B459" s="16">
        <v>903</v>
      </c>
      <c r="C459" s="20" t="s">
        <v>259</v>
      </c>
      <c r="D459" s="20" t="s">
        <v>230</v>
      </c>
      <c r="E459" s="20" t="s">
        <v>986</v>
      </c>
      <c r="F459" s="20" t="s">
        <v>149</v>
      </c>
      <c r="G459" s="415">
        <f>'Пр.6 ведом.20'!G453</f>
        <v>270</v>
      </c>
      <c r="H459" s="415">
        <f t="shared" si="18"/>
        <v>270</v>
      </c>
      <c r="I459" s="230"/>
    </row>
    <row r="460" spans="1:9" s="229" customFormat="1" ht="31.5" x14ac:dyDescent="0.25">
      <c r="A460" s="25" t="s">
        <v>263</v>
      </c>
      <c r="B460" s="16">
        <v>903</v>
      </c>
      <c r="C460" s="20" t="s">
        <v>259</v>
      </c>
      <c r="D460" s="20" t="s">
        <v>230</v>
      </c>
      <c r="E460" s="20" t="s">
        <v>986</v>
      </c>
      <c r="F460" s="20" t="s">
        <v>264</v>
      </c>
      <c r="G460" s="415">
        <f>'Пр.6 ведом.20'!G454</f>
        <v>210</v>
      </c>
      <c r="H460" s="415">
        <f t="shared" si="18"/>
        <v>210</v>
      </c>
      <c r="I460" s="230"/>
    </row>
    <row r="461" spans="1:9" s="229" customFormat="1" ht="31.5" x14ac:dyDescent="0.25">
      <c r="A461" s="25" t="s">
        <v>363</v>
      </c>
      <c r="B461" s="16">
        <v>903</v>
      </c>
      <c r="C461" s="20" t="s">
        <v>259</v>
      </c>
      <c r="D461" s="20" t="s">
        <v>230</v>
      </c>
      <c r="E461" s="20" t="s">
        <v>986</v>
      </c>
      <c r="F461" s="20" t="s">
        <v>364</v>
      </c>
      <c r="G461" s="415">
        <f>'Пр.6 ведом.20'!G455</f>
        <v>210</v>
      </c>
      <c r="H461" s="415">
        <f t="shared" si="18"/>
        <v>210</v>
      </c>
      <c r="I461" s="230"/>
    </row>
    <row r="462" spans="1:9" ht="31.5" x14ac:dyDescent="0.25">
      <c r="A462" s="23" t="s">
        <v>376</v>
      </c>
      <c r="B462" s="19">
        <v>903</v>
      </c>
      <c r="C462" s="24" t="s">
        <v>259</v>
      </c>
      <c r="D462" s="24" t="s">
        <v>230</v>
      </c>
      <c r="E462" s="24" t="s">
        <v>377</v>
      </c>
      <c r="F462" s="24"/>
      <c r="G462" s="416">
        <f>G463</f>
        <v>250</v>
      </c>
      <c r="H462" s="416">
        <f>H463</f>
        <v>250</v>
      </c>
      <c r="I462" s="230"/>
    </row>
    <row r="463" spans="1:9" ht="47.25" x14ac:dyDescent="0.25">
      <c r="A463" s="23" t="s">
        <v>1219</v>
      </c>
      <c r="B463" s="19">
        <v>903</v>
      </c>
      <c r="C463" s="24" t="s">
        <v>259</v>
      </c>
      <c r="D463" s="24" t="s">
        <v>230</v>
      </c>
      <c r="E463" s="24" t="s">
        <v>988</v>
      </c>
      <c r="F463" s="24"/>
      <c r="G463" s="416">
        <f>G464</f>
        <v>250</v>
      </c>
      <c r="H463" s="416">
        <f>H464</f>
        <v>250</v>
      </c>
      <c r="I463" s="230"/>
    </row>
    <row r="464" spans="1:9" ht="47.25" x14ac:dyDescent="0.25">
      <c r="A464" s="25" t="s">
        <v>1218</v>
      </c>
      <c r="B464" s="16">
        <v>903</v>
      </c>
      <c r="C464" s="20" t="s">
        <v>259</v>
      </c>
      <c r="D464" s="20" t="s">
        <v>230</v>
      </c>
      <c r="E464" s="20" t="s">
        <v>987</v>
      </c>
      <c r="F464" s="20"/>
      <c r="G464" s="415">
        <f>'Пр.6 ведом.20'!G458</f>
        <v>250</v>
      </c>
      <c r="H464" s="415">
        <f t="shared" si="18"/>
        <v>250</v>
      </c>
      <c r="I464" s="230"/>
    </row>
    <row r="465" spans="1:9" ht="17.25" customHeight="1" x14ac:dyDescent="0.25">
      <c r="A465" s="25" t="s">
        <v>263</v>
      </c>
      <c r="B465" s="16">
        <v>903</v>
      </c>
      <c r="C465" s="20" t="s">
        <v>259</v>
      </c>
      <c r="D465" s="20" t="s">
        <v>230</v>
      </c>
      <c r="E465" s="20" t="s">
        <v>987</v>
      </c>
      <c r="F465" s="20" t="s">
        <v>264</v>
      </c>
      <c r="G465" s="415">
        <f>'Пр.6 ведом.20'!G459</f>
        <v>250</v>
      </c>
      <c r="H465" s="415">
        <f t="shared" si="18"/>
        <v>250</v>
      </c>
      <c r="I465" s="230"/>
    </row>
    <row r="466" spans="1:9" ht="31.5" x14ac:dyDescent="0.25">
      <c r="A466" s="25" t="s">
        <v>363</v>
      </c>
      <c r="B466" s="16">
        <v>903</v>
      </c>
      <c r="C466" s="20" t="s">
        <v>259</v>
      </c>
      <c r="D466" s="20" t="s">
        <v>230</v>
      </c>
      <c r="E466" s="20" t="s">
        <v>987</v>
      </c>
      <c r="F466" s="20" t="s">
        <v>364</v>
      </c>
      <c r="G466" s="415">
        <f>'Пр.6 ведом.20'!G460</f>
        <v>250</v>
      </c>
      <c r="H466" s="415">
        <f t="shared" si="18"/>
        <v>250</v>
      </c>
      <c r="I466" s="230"/>
    </row>
    <row r="467" spans="1:9" s="229" customFormat="1" ht="15.75" x14ac:dyDescent="0.25">
      <c r="A467" s="23" t="s">
        <v>597</v>
      </c>
      <c r="B467" s="19">
        <v>903</v>
      </c>
      <c r="C467" s="24" t="s">
        <v>253</v>
      </c>
      <c r="D467" s="20"/>
      <c r="E467" s="20"/>
      <c r="F467" s="20"/>
      <c r="G467" s="416">
        <f>G468</f>
        <v>5479</v>
      </c>
      <c r="H467" s="416">
        <f>H468</f>
        <v>5479</v>
      </c>
      <c r="I467" s="230"/>
    </row>
    <row r="468" spans="1:9" s="229" customFormat="1" ht="15.75" x14ac:dyDescent="0.25">
      <c r="A468" s="23" t="s">
        <v>598</v>
      </c>
      <c r="B468" s="19">
        <v>903</v>
      </c>
      <c r="C468" s="24" t="s">
        <v>253</v>
      </c>
      <c r="D468" s="24" t="s">
        <v>228</v>
      </c>
      <c r="E468" s="24"/>
      <c r="F468" s="24"/>
      <c r="G468" s="416">
        <f>G469+G481</f>
        <v>5479</v>
      </c>
      <c r="H468" s="416">
        <f>H469+H481</f>
        <v>5479</v>
      </c>
      <c r="I468" s="230"/>
    </row>
    <row r="469" spans="1:9" s="229" customFormat="1" ht="15.75" x14ac:dyDescent="0.25">
      <c r="A469" s="23" t="s">
        <v>156</v>
      </c>
      <c r="B469" s="19">
        <v>903</v>
      </c>
      <c r="C469" s="24" t="s">
        <v>253</v>
      </c>
      <c r="D469" s="24" t="s">
        <v>228</v>
      </c>
      <c r="E469" s="24" t="s">
        <v>914</v>
      </c>
      <c r="F469" s="24"/>
      <c r="G469" s="416">
        <f>G470</f>
        <v>5419</v>
      </c>
      <c r="H469" s="416">
        <f>H470</f>
        <v>5419</v>
      </c>
      <c r="I469" s="230"/>
    </row>
    <row r="470" spans="1:9" s="229" customFormat="1" ht="15.75" x14ac:dyDescent="0.25">
      <c r="A470" s="23" t="s">
        <v>1095</v>
      </c>
      <c r="B470" s="19">
        <v>903</v>
      </c>
      <c r="C470" s="24" t="s">
        <v>253</v>
      </c>
      <c r="D470" s="24" t="s">
        <v>228</v>
      </c>
      <c r="E470" s="24" t="s">
        <v>1094</v>
      </c>
      <c r="F470" s="24"/>
      <c r="G470" s="416">
        <f>G471+G478</f>
        <v>5419</v>
      </c>
      <c r="H470" s="416">
        <f>H471+H478</f>
        <v>5419</v>
      </c>
      <c r="I470" s="230"/>
    </row>
    <row r="471" spans="1:9" s="229" customFormat="1" ht="15.75" x14ac:dyDescent="0.25">
      <c r="A471" s="25" t="s">
        <v>834</v>
      </c>
      <c r="B471" s="16">
        <v>903</v>
      </c>
      <c r="C471" s="20" t="s">
        <v>253</v>
      </c>
      <c r="D471" s="20" t="s">
        <v>228</v>
      </c>
      <c r="E471" s="20" t="s">
        <v>1096</v>
      </c>
      <c r="F471" s="20"/>
      <c r="G471" s="415">
        <f>G472+G474+G476</f>
        <v>5209</v>
      </c>
      <c r="H471" s="415">
        <f>H472+H474+H476</f>
        <v>5209</v>
      </c>
      <c r="I471" s="230"/>
    </row>
    <row r="472" spans="1:9" s="229" customFormat="1" ht="78.75" x14ac:dyDescent="0.25">
      <c r="A472" s="25" t="s">
        <v>142</v>
      </c>
      <c r="B472" s="16">
        <v>903</v>
      </c>
      <c r="C472" s="20" t="s">
        <v>253</v>
      </c>
      <c r="D472" s="20" t="s">
        <v>228</v>
      </c>
      <c r="E472" s="20" t="s">
        <v>1096</v>
      </c>
      <c r="F472" s="20" t="s">
        <v>143</v>
      </c>
      <c r="G472" s="415">
        <f>G473</f>
        <v>4500</v>
      </c>
      <c r="H472" s="415">
        <f>H473</f>
        <v>4500</v>
      </c>
      <c r="I472" s="230"/>
    </row>
    <row r="473" spans="1:9" s="229" customFormat="1" ht="15.75" x14ac:dyDescent="0.25">
      <c r="A473" s="25" t="s">
        <v>223</v>
      </c>
      <c r="B473" s="16">
        <v>903</v>
      </c>
      <c r="C473" s="20" t="s">
        <v>253</v>
      </c>
      <c r="D473" s="20" t="s">
        <v>228</v>
      </c>
      <c r="E473" s="20" t="s">
        <v>1096</v>
      </c>
      <c r="F473" s="20" t="s">
        <v>224</v>
      </c>
      <c r="G473" s="419">
        <v>4500</v>
      </c>
      <c r="H473" s="419">
        <f>G473</f>
        <v>4500</v>
      </c>
      <c r="I473" s="230"/>
    </row>
    <row r="474" spans="1:9" s="229" customFormat="1" ht="31.5" x14ac:dyDescent="0.25">
      <c r="A474" s="25" t="s">
        <v>146</v>
      </c>
      <c r="B474" s="16">
        <v>903</v>
      </c>
      <c r="C474" s="20" t="s">
        <v>253</v>
      </c>
      <c r="D474" s="20" t="s">
        <v>228</v>
      </c>
      <c r="E474" s="20" t="s">
        <v>1096</v>
      </c>
      <c r="F474" s="20" t="s">
        <v>147</v>
      </c>
      <c r="G474" s="415">
        <f>G475</f>
        <v>659</v>
      </c>
      <c r="H474" s="415">
        <f>H475</f>
        <v>659</v>
      </c>
      <c r="I474" s="230"/>
    </row>
    <row r="475" spans="1:9" s="229" customFormat="1" ht="31.5" x14ac:dyDescent="0.25">
      <c r="A475" s="25" t="s">
        <v>148</v>
      </c>
      <c r="B475" s="16">
        <v>903</v>
      </c>
      <c r="C475" s="20" t="s">
        <v>253</v>
      </c>
      <c r="D475" s="20" t="s">
        <v>228</v>
      </c>
      <c r="E475" s="20" t="s">
        <v>1096</v>
      </c>
      <c r="F475" s="20" t="s">
        <v>149</v>
      </c>
      <c r="G475" s="419">
        <f>'Пр.6 ведом.20'!G469</f>
        <v>659</v>
      </c>
      <c r="H475" s="419">
        <f>G475</f>
        <v>659</v>
      </c>
      <c r="I475" s="230"/>
    </row>
    <row r="476" spans="1:9" s="229" customFormat="1" ht="15.75" x14ac:dyDescent="0.25">
      <c r="A476" s="25" t="s">
        <v>150</v>
      </c>
      <c r="B476" s="16">
        <v>903</v>
      </c>
      <c r="C476" s="20" t="s">
        <v>253</v>
      </c>
      <c r="D476" s="20" t="s">
        <v>228</v>
      </c>
      <c r="E476" s="20" t="s">
        <v>1096</v>
      </c>
      <c r="F476" s="20" t="s">
        <v>160</v>
      </c>
      <c r="G476" s="415">
        <f>G477</f>
        <v>50</v>
      </c>
      <c r="H476" s="415">
        <f>H477</f>
        <v>50</v>
      </c>
      <c r="I476" s="230"/>
    </row>
    <row r="477" spans="1:9" s="229" customFormat="1" ht="15.75" x14ac:dyDescent="0.25">
      <c r="A477" s="25" t="s">
        <v>583</v>
      </c>
      <c r="B477" s="16">
        <v>903</v>
      </c>
      <c r="C477" s="20" t="s">
        <v>253</v>
      </c>
      <c r="D477" s="20" t="s">
        <v>228</v>
      </c>
      <c r="E477" s="20" t="s">
        <v>1096</v>
      </c>
      <c r="F477" s="20" t="s">
        <v>153</v>
      </c>
      <c r="G477" s="415">
        <f>'Пр.6 ведом.20'!G471</f>
        <v>50</v>
      </c>
      <c r="H477" s="415">
        <f>G477</f>
        <v>50</v>
      </c>
      <c r="I477" s="230"/>
    </row>
    <row r="478" spans="1:9" s="229" customFormat="1" ht="47.25" x14ac:dyDescent="0.25">
      <c r="A478" s="25" t="s">
        <v>886</v>
      </c>
      <c r="B478" s="16">
        <v>903</v>
      </c>
      <c r="C478" s="20" t="s">
        <v>253</v>
      </c>
      <c r="D478" s="20" t="s">
        <v>228</v>
      </c>
      <c r="E478" s="20" t="s">
        <v>1097</v>
      </c>
      <c r="F478" s="20"/>
      <c r="G478" s="415">
        <f>G479</f>
        <v>210</v>
      </c>
      <c r="H478" s="415">
        <f>H479</f>
        <v>210</v>
      </c>
      <c r="I478" s="230"/>
    </row>
    <row r="479" spans="1:9" s="229" customFormat="1" ht="78.75" x14ac:dyDescent="0.25">
      <c r="A479" s="25" t="s">
        <v>142</v>
      </c>
      <c r="B479" s="16">
        <v>903</v>
      </c>
      <c r="C479" s="20" t="s">
        <v>253</v>
      </c>
      <c r="D479" s="20" t="s">
        <v>228</v>
      </c>
      <c r="E479" s="20" t="s">
        <v>1097</v>
      </c>
      <c r="F479" s="20" t="s">
        <v>143</v>
      </c>
      <c r="G479" s="415">
        <f>G480</f>
        <v>210</v>
      </c>
      <c r="H479" s="415">
        <f>H480</f>
        <v>210</v>
      </c>
      <c r="I479" s="230"/>
    </row>
    <row r="480" spans="1:9" s="229" customFormat="1" ht="15.75" x14ac:dyDescent="0.25">
      <c r="A480" s="25" t="s">
        <v>223</v>
      </c>
      <c r="B480" s="16">
        <v>903</v>
      </c>
      <c r="C480" s="20" t="s">
        <v>253</v>
      </c>
      <c r="D480" s="20" t="s">
        <v>228</v>
      </c>
      <c r="E480" s="20" t="s">
        <v>1097</v>
      </c>
      <c r="F480" s="20" t="s">
        <v>224</v>
      </c>
      <c r="G480" s="415">
        <f>'Пр.6 ведом.20'!G474</f>
        <v>210</v>
      </c>
      <c r="H480" s="415">
        <f>G480</f>
        <v>210</v>
      </c>
      <c r="I480" s="230"/>
    </row>
    <row r="481" spans="1:9" s="229" customFormat="1" ht="63" x14ac:dyDescent="0.25">
      <c r="A481" s="41" t="s">
        <v>1452</v>
      </c>
      <c r="B481" s="19">
        <v>903</v>
      </c>
      <c r="C481" s="24" t="s">
        <v>253</v>
      </c>
      <c r="D481" s="24" t="s">
        <v>228</v>
      </c>
      <c r="E481" s="24" t="s">
        <v>727</v>
      </c>
      <c r="F481" s="285"/>
      <c r="G481" s="416">
        <f>G483</f>
        <v>60</v>
      </c>
      <c r="H481" s="416">
        <f>H483</f>
        <v>60</v>
      </c>
      <c r="I481" s="230"/>
    </row>
    <row r="482" spans="1:9" s="229" customFormat="1" ht="47.25" x14ac:dyDescent="0.25">
      <c r="A482" s="41" t="s">
        <v>951</v>
      </c>
      <c r="B482" s="19">
        <v>903</v>
      </c>
      <c r="C482" s="24" t="s">
        <v>253</v>
      </c>
      <c r="D482" s="24" t="s">
        <v>228</v>
      </c>
      <c r="E482" s="24" t="s">
        <v>949</v>
      </c>
      <c r="F482" s="285"/>
      <c r="G482" s="416">
        <f t="shared" ref="G482:H484" si="21">G483</f>
        <v>60</v>
      </c>
      <c r="H482" s="416">
        <f t="shared" si="21"/>
        <v>60</v>
      </c>
      <c r="I482" s="230"/>
    </row>
    <row r="483" spans="1:9" s="229" customFormat="1" ht="47.25" x14ac:dyDescent="0.25">
      <c r="A483" s="101" t="s">
        <v>1163</v>
      </c>
      <c r="B483" s="16">
        <v>903</v>
      </c>
      <c r="C483" s="20" t="s">
        <v>253</v>
      </c>
      <c r="D483" s="20" t="s">
        <v>228</v>
      </c>
      <c r="E483" s="20" t="s">
        <v>950</v>
      </c>
      <c r="F483" s="32"/>
      <c r="G483" s="415">
        <f t="shared" si="21"/>
        <v>60</v>
      </c>
      <c r="H483" s="415">
        <f t="shared" si="21"/>
        <v>60</v>
      </c>
      <c r="I483" s="230"/>
    </row>
    <row r="484" spans="1:9" s="229" customFormat="1" ht="31.5" x14ac:dyDescent="0.25">
      <c r="A484" s="25" t="s">
        <v>146</v>
      </c>
      <c r="B484" s="16">
        <v>903</v>
      </c>
      <c r="C484" s="20" t="s">
        <v>253</v>
      </c>
      <c r="D484" s="20" t="s">
        <v>228</v>
      </c>
      <c r="E484" s="20" t="s">
        <v>950</v>
      </c>
      <c r="F484" s="32" t="s">
        <v>147</v>
      </c>
      <c r="G484" s="415">
        <f t="shared" si="21"/>
        <v>60</v>
      </c>
      <c r="H484" s="415">
        <f t="shared" si="21"/>
        <v>60</v>
      </c>
      <c r="I484" s="230"/>
    </row>
    <row r="485" spans="1:9" s="229" customFormat="1" ht="31.5" x14ac:dyDescent="0.25">
      <c r="A485" s="25" t="s">
        <v>148</v>
      </c>
      <c r="B485" s="16">
        <v>903</v>
      </c>
      <c r="C485" s="20" t="s">
        <v>253</v>
      </c>
      <c r="D485" s="20" t="s">
        <v>228</v>
      </c>
      <c r="E485" s="20" t="s">
        <v>950</v>
      </c>
      <c r="F485" s="32" t="s">
        <v>149</v>
      </c>
      <c r="G485" s="415">
        <f>'Пр.6 ведом.20'!G479</f>
        <v>60</v>
      </c>
      <c r="H485" s="415">
        <f>G485</f>
        <v>60</v>
      </c>
      <c r="I485" s="230"/>
    </row>
    <row r="486" spans="1:9" ht="47.25" x14ac:dyDescent="0.25">
      <c r="A486" s="19" t="s">
        <v>402</v>
      </c>
      <c r="B486" s="19">
        <v>905</v>
      </c>
      <c r="C486" s="20"/>
      <c r="D486" s="20"/>
      <c r="E486" s="20"/>
      <c r="F486" s="20"/>
      <c r="G486" s="416">
        <f>G487+G519</f>
        <v>15282.82</v>
      </c>
      <c r="H486" s="416">
        <f>H487+H519</f>
        <v>15282.82</v>
      </c>
      <c r="I486" s="230"/>
    </row>
    <row r="487" spans="1:9" ht="15.75" x14ac:dyDescent="0.25">
      <c r="A487" s="23" t="s">
        <v>132</v>
      </c>
      <c r="B487" s="19">
        <v>905</v>
      </c>
      <c r="C487" s="24" t="s">
        <v>133</v>
      </c>
      <c r="D487" s="20"/>
      <c r="E487" s="20"/>
      <c r="F487" s="20"/>
      <c r="G487" s="416">
        <f>G488+G505</f>
        <v>14101.82</v>
      </c>
      <c r="H487" s="416">
        <f>H488+H505</f>
        <v>14101.82</v>
      </c>
      <c r="I487" s="230"/>
    </row>
    <row r="488" spans="1:9" ht="63" x14ac:dyDescent="0.25">
      <c r="A488" s="23" t="s">
        <v>164</v>
      </c>
      <c r="B488" s="19">
        <v>905</v>
      </c>
      <c r="C488" s="24" t="s">
        <v>133</v>
      </c>
      <c r="D488" s="24" t="s">
        <v>165</v>
      </c>
      <c r="E488" s="24"/>
      <c r="F488" s="24"/>
      <c r="G488" s="416">
        <f>G489</f>
        <v>10962</v>
      </c>
      <c r="H488" s="416">
        <f>H489</f>
        <v>10962</v>
      </c>
      <c r="I488" s="230"/>
    </row>
    <row r="489" spans="1:9" ht="31.5" x14ac:dyDescent="0.25">
      <c r="A489" s="23" t="s">
        <v>992</v>
      </c>
      <c r="B489" s="19">
        <v>905</v>
      </c>
      <c r="C489" s="24" t="s">
        <v>133</v>
      </c>
      <c r="D489" s="24" t="s">
        <v>165</v>
      </c>
      <c r="E489" s="24" t="s">
        <v>906</v>
      </c>
      <c r="F489" s="24"/>
      <c r="G489" s="416">
        <f>G490+G501</f>
        <v>10962</v>
      </c>
      <c r="H489" s="416">
        <f>H490+H501</f>
        <v>10962</v>
      </c>
      <c r="I489" s="230"/>
    </row>
    <row r="490" spans="1:9" ht="15.75" x14ac:dyDescent="0.25">
      <c r="A490" s="23" t="s">
        <v>993</v>
      </c>
      <c r="B490" s="19">
        <v>905</v>
      </c>
      <c r="C490" s="24" t="s">
        <v>133</v>
      </c>
      <c r="D490" s="24" t="s">
        <v>165</v>
      </c>
      <c r="E490" s="24" t="s">
        <v>907</v>
      </c>
      <c r="F490" s="24"/>
      <c r="G490" s="416">
        <f>G491+G498</f>
        <v>10940</v>
      </c>
      <c r="H490" s="416">
        <f>H491+H498</f>
        <v>10940</v>
      </c>
      <c r="I490" s="230"/>
    </row>
    <row r="491" spans="1:9" ht="31.5" x14ac:dyDescent="0.25">
      <c r="A491" s="25" t="s">
        <v>969</v>
      </c>
      <c r="B491" s="16">
        <v>905</v>
      </c>
      <c r="C491" s="20" t="s">
        <v>133</v>
      </c>
      <c r="D491" s="20" t="s">
        <v>165</v>
      </c>
      <c r="E491" s="20" t="s">
        <v>908</v>
      </c>
      <c r="F491" s="20"/>
      <c r="G491" s="415">
        <f>'Пр.6 ведом.20'!G485</f>
        <v>10604</v>
      </c>
      <c r="H491" s="415">
        <f t="shared" si="18"/>
        <v>10604</v>
      </c>
      <c r="I491" s="230"/>
    </row>
    <row r="492" spans="1:9" ht="78.75" x14ac:dyDescent="0.25">
      <c r="A492" s="25" t="s">
        <v>142</v>
      </c>
      <c r="B492" s="16">
        <v>905</v>
      </c>
      <c r="C492" s="20" t="s">
        <v>133</v>
      </c>
      <c r="D492" s="20" t="s">
        <v>165</v>
      </c>
      <c r="E492" s="20" t="s">
        <v>908</v>
      </c>
      <c r="F492" s="20" t="s">
        <v>143</v>
      </c>
      <c r="G492" s="415">
        <f>'Пр.6 ведом.20'!G486</f>
        <v>10033</v>
      </c>
      <c r="H492" s="415">
        <f t="shared" si="18"/>
        <v>10033</v>
      </c>
      <c r="I492" s="230"/>
    </row>
    <row r="493" spans="1:9" ht="31.5" x14ac:dyDescent="0.25">
      <c r="A493" s="25" t="s">
        <v>144</v>
      </c>
      <c r="B493" s="16">
        <v>905</v>
      </c>
      <c r="C493" s="20" t="s">
        <v>133</v>
      </c>
      <c r="D493" s="20" t="s">
        <v>165</v>
      </c>
      <c r="E493" s="20" t="s">
        <v>908</v>
      </c>
      <c r="F493" s="20" t="s">
        <v>145</v>
      </c>
      <c r="G493" s="415">
        <f>'Пр.6 ведом.20'!G487</f>
        <v>10033</v>
      </c>
      <c r="H493" s="415">
        <f t="shared" si="18"/>
        <v>10033</v>
      </c>
      <c r="I493" s="230"/>
    </row>
    <row r="494" spans="1:9" ht="31.5" x14ac:dyDescent="0.25">
      <c r="A494" s="25" t="s">
        <v>146</v>
      </c>
      <c r="B494" s="16">
        <v>905</v>
      </c>
      <c r="C494" s="20" t="s">
        <v>133</v>
      </c>
      <c r="D494" s="20" t="s">
        <v>165</v>
      </c>
      <c r="E494" s="20" t="s">
        <v>908</v>
      </c>
      <c r="F494" s="20" t="s">
        <v>147</v>
      </c>
      <c r="G494" s="415">
        <f>'Пр.6 ведом.20'!G488</f>
        <v>440</v>
      </c>
      <c r="H494" s="415">
        <f t="shared" si="18"/>
        <v>440</v>
      </c>
      <c r="I494" s="230"/>
    </row>
    <row r="495" spans="1:9" ht="31.5" x14ac:dyDescent="0.25">
      <c r="A495" s="25" t="s">
        <v>148</v>
      </c>
      <c r="B495" s="16">
        <v>905</v>
      </c>
      <c r="C495" s="20" t="s">
        <v>133</v>
      </c>
      <c r="D495" s="20" t="s">
        <v>165</v>
      </c>
      <c r="E495" s="20" t="s">
        <v>908</v>
      </c>
      <c r="F495" s="20" t="s">
        <v>149</v>
      </c>
      <c r="G495" s="415">
        <f>'Пр.6 ведом.20'!G489</f>
        <v>440</v>
      </c>
      <c r="H495" s="415">
        <f t="shared" si="18"/>
        <v>440</v>
      </c>
      <c r="I495" s="230"/>
    </row>
    <row r="496" spans="1:9" ht="15.75" x14ac:dyDescent="0.25">
      <c r="A496" s="25" t="s">
        <v>150</v>
      </c>
      <c r="B496" s="16">
        <v>905</v>
      </c>
      <c r="C496" s="20" t="s">
        <v>133</v>
      </c>
      <c r="D496" s="20" t="s">
        <v>165</v>
      </c>
      <c r="E496" s="20" t="s">
        <v>908</v>
      </c>
      <c r="F496" s="20" t="s">
        <v>160</v>
      </c>
      <c r="G496" s="415">
        <f>'Пр.6 ведом.20'!G490</f>
        <v>131</v>
      </c>
      <c r="H496" s="415">
        <f t="shared" si="18"/>
        <v>131</v>
      </c>
      <c r="I496" s="230"/>
    </row>
    <row r="497" spans="1:9" ht="15.75" x14ac:dyDescent="0.25">
      <c r="A497" s="25" t="s">
        <v>583</v>
      </c>
      <c r="B497" s="16">
        <v>905</v>
      </c>
      <c r="C497" s="20" t="s">
        <v>133</v>
      </c>
      <c r="D497" s="20" t="s">
        <v>165</v>
      </c>
      <c r="E497" s="20" t="s">
        <v>908</v>
      </c>
      <c r="F497" s="20" t="s">
        <v>153</v>
      </c>
      <c r="G497" s="415">
        <f>'Пр.6 ведом.20'!G491</f>
        <v>131</v>
      </c>
      <c r="H497" s="415">
        <f t="shared" si="18"/>
        <v>131</v>
      </c>
      <c r="I497" s="230"/>
    </row>
    <row r="498" spans="1:9" ht="47.25" x14ac:dyDescent="0.25">
      <c r="A498" s="25" t="s">
        <v>886</v>
      </c>
      <c r="B498" s="16">
        <v>905</v>
      </c>
      <c r="C498" s="20" t="s">
        <v>133</v>
      </c>
      <c r="D498" s="20" t="s">
        <v>165</v>
      </c>
      <c r="E498" s="20" t="s">
        <v>910</v>
      </c>
      <c r="F498" s="20"/>
      <c r="G498" s="415">
        <f>'Пр.6 ведом.20'!G492</f>
        <v>336</v>
      </c>
      <c r="H498" s="415">
        <f t="shared" si="18"/>
        <v>336</v>
      </c>
      <c r="I498" s="230"/>
    </row>
    <row r="499" spans="1:9" ht="78.75" x14ac:dyDescent="0.25">
      <c r="A499" s="25" t="s">
        <v>142</v>
      </c>
      <c r="B499" s="16">
        <v>905</v>
      </c>
      <c r="C499" s="20" t="s">
        <v>133</v>
      </c>
      <c r="D499" s="20" t="s">
        <v>165</v>
      </c>
      <c r="E499" s="20" t="s">
        <v>910</v>
      </c>
      <c r="F499" s="20" t="s">
        <v>143</v>
      </c>
      <c r="G499" s="415">
        <f>'Пр.6 ведом.20'!G493</f>
        <v>336</v>
      </c>
      <c r="H499" s="415">
        <f t="shared" ref="H499:H566" si="22">G499</f>
        <v>336</v>
      </c>
      <c r="I499" s="230"/>
    </row>
    <row r="500" spans="1:9" ht="31.5" x14ac:dyDescent="0.25">
      <c r="A500" s="25" t="s">
        <v>144</v>
      </c>
      <c r="B500" s="16">
        <v>905</v>
      </c>
      <c r="C500" s="20" t="s">
        <v>133</v>
      </c>
      <c r="D500" s="20" t="s">
        <v>165</v>
      </c>
      <c r="E500" s="20" t="s">
        <v>910</v>
      </c>
      <c r="F500" s="20" t="s">
        <v>145</v>
      </c>
      <c r="G500" s="415">
        <f>'Пр.6 ведом.20'!G494</f>
        <v>336</v>
      </c>
      <c r="H500" s="415">
        <f t="shared" si="22"/>
        <v>336</v>
      </c>
      <c r="I500" s="230"/>
    </row>
    <row r="501" spans="1:9" s="229" customFormat="1" ht="31.5" x14ac:dyDescent="0.25">
      <c r="A501" s="23" t="s">
        <v>934</v>
      </c>
      <c r="B501" s="19">
        <v>905</v>
      </c>
      <c r="C501" s="24" t="s">
        <v>133</v>
      </c>
      <c r="D501" s="24" t="s">
        <v>165</v>
      </c>
      <c r="E501" s="24" t="s">
        <v>911</v>
      </c>
      <c r="F501" s="24"/>
      <c r="G501" s="416">
        <f t="shared" ref="G501:H503" si="23">G502</f>
        <v>22</v>
      </c>
      <c r="H501" s="416">
        <f t="shared" si="23"/>
        <v>22</v>
      </c>
      <c r="I501" s="230"/>
    </row>
    <row r="502" spans="1:9" s="229" customFormat="1" ht="94.5" x14ac:dyDescent="0.25">
      <c r="A502" s="31" t="s">
        <v>1435</v>
      </c>
      <c r="B502" s="16">
        <v>905</v>
      </c>
      <c r="C502" s="20" t="s">
        <v>133</v>
      </c>
      <c r="D502" s="20" t="s">
        <v>165</v>
      </c>
      <c r="E502" s="20" t="s">
        <v>1434</v>
      </c>
      <c r="F502" s="20"/>
      <c r="G502" s="415">
        <f t="shared" si="23"/>
        <v>22</v>
      </c>
      <c r="H502" s="415">
        <f t="shared" si="23"/>
        <v>22</v>
      </c>
      <c r="I502" s="230"/>
    </row>
    <row r="503" spans="1:9" s="229" customFormat="1" ht="78.75" x14ac:dyDescent="0.25">
      <c r="A503" s="25" t="s">
        <v>142</v>
      </c>
      <c r="B503" s="16">
        <v>905</v>
      </c>
      <c r="C503" s="20" t="s">
        <v>133</v>
      </c>
      <c r="D503" s="20" t="s">
        <v>165</v>
      </c>
      <c r="E503" s="20" t="s">
        <v>1434</v>
      </c>
      <c r="F503" s="20" t="s">
        <v>143</v>
      </c>
      <c r="G503" s="415">
        <f t="shared" si="23"/>
        <v>22</v>
      </c>
      <c r="H503" s="415">
        <f t="shared" si="23"/>
        <v>22</v>
      </c>
      <c r="I503" s="230"/>
    </row>
    <row r="504" spans="1:9" s="229" customFormat="1" ht="31.5" x14ac:dyDescent="0.25">
      <c r="A504" s="25" t="s">
        <v>144</v>
      </c>
      <c r="B504" s="16">
        <v>905</v>
      </c>
      <c r="C504" s="20" t="s">
        <v>133</v>
      </c>
      <c r="D504" s="20" t="s">
        <v>165</v>
      </c>
      <c r="E504" s="20" t="s">
        <v>1434</v>
      </c>
      <c r="F504" s="20" t="s">
        <v>145</v>
      </c>
      <c r="G504" s="415">
        <f>'Пр.6 ведом.20'!G498</f>
        <v>22</v>
      </c>
      <c r="H504" s="415">
        <f>G504</f>
        <v>22</v>
      </c>
      <c r="I504" s="230"/>
    </row>
    <row r="505" spans="1:9" ht="15.75" x14ac:dyDescent="0.25">
      <c r="A505" s="23" t="s">
        <v>154</v>
      </c>
      <c r="B505" s="19">
        <v>905</v>
      </c>
      <c r="C505" s="24" t="s">
        <v>133</v>
      </c>
      <c r="D505" s="24" t="s">
        <v>155</v>
      </c>
      <c r="E505" s="24"/>
      <c r="F505" s="24"/>
      <c r="G505" s="416">
        <f>G506+G514</f>
        <v>3139.82</v>
      </c>
      <c r="H505" s="416">
        <f>H506+H514</f>
        <v>3139.82</v>
      </c>
      <c r="I505" s="230"/>
    </row>
    <row r="506" spans="1:9" ht="15.75" x14ac:dyDescent="0.25">
      <c r="A506" s="23" t="s">
        <v>156</v>
      </c>
      <c r="B506" s="19">
        <v>905</v>
      </c>
      <c r="C506" s="24" t="s">
        <v>133</v>
      </c>
      <c r="D506" s="24" t="s">
        <v>155</v>
      </c>
      <c r="E506" s="24" t="s">
        <v>914</v>
      </c>
      <c r="F506" s="24"/>
      <c r="G506" s="416">
        <f>G507</f>
        <v>2900</v>
      </c>
      <c r="H506" s="416">
        <f>H507</f>
        <v>2900</v>
      </c>
      <c r="I506" s="230"/>
    </row>
    <row r="507" spans="1:9" ht="31.5" x14ac:dyDescent="0.25">
      <c r="A507" s="23" t="s">
        <v>918</v>
      </c>
      <c r="B507" s="19">
        <v>905</v>
      </c>
      <c r="C507" s="24" t="s">
        <v>133</v>
      </c>
      <c r="D507" s="24" t="s">
        <v>155</v>
      </c>
      <c r="E507" s="24" t="s">
        <v>913</v>
      </c>
      <c r="F507" s="24"/>
      <c r="G507" s="416">
        <f>G508+G511</f>
        <v>2900</v>
      </c>
      <c r="H507" s="416">
        <f>H508+H511</f>
        <v>2900</v>
      </c>
      <c r="I507" s="230"/>
    </row>
    <row r="508" spans="1:9" ht="47.25" x14ac:dyDescent="0.25">
      <c r="A508" s="25" t="s">
        <v>403</v>
      </c>
      <c r="B508" s="16">
        <v>905</v>
      </c>
      <c r="C508" s="20" t="s">
        <v>133</v>
      </c>
      <c r="D508" s="20" t="s">
        <v>155</v>
      </c>
      <c r="E508" s="20" t="s">
        <v>1175</v>
      </c>
      <c r="F508" s="20"/>
      <c r="G508" s="415">
        <f>'Пр.6 ведом.20'!G502</f>
        <v>2900</v>
      </c>
      <c r="H508" s="415">
        <f t="shared" si="22"/>
        <v>2900</v>
      </c>
      <c r="I508" s="230"/>
    </row>
    <row r="509" spans="1:9" ht="31.5" x14ac:dyDescent="0.25">
      <c r="A509" s="25" t="s">
        <v>146</v>
      </c>
      <c r="B509" s="16">
        <v>905</v>
      </c>
      <c r="C509" s="20" t="s">
        <v>133</v>
      </c>
      <c r="D509" s="20" t="s">
        <v>155</v>
      </c>
      <c r="E509" s="20" t="s">
        <v>1175</v>
      </c>
      <c r="F509" s="20" t="s">
        <v>147</v>
      </c>
      <c r="G509" s="415">
        <f>'Пр.6 ведом.20'!G503</f>
        <v>2900</v>
      </c>
      <c r="H509" s="415">
        <f t="shared" si="22"/>
        <v>2900</v>
      </c>
      <c r="I509" s="230"/>
    </row>
    <row r="510" spans="1:9" ht="31.5" x14ac:dyDescent="0.25">
      <c r="A510" s="25" t="s">
        <v>148</v>
      </c>
      <c r="B510" s="16">
        <v>905</v>
      </c>
      <c r="C510" s="20" t="s">
        <v>133</v>
      </c>
      <c r="D510" s="20" t="s">
        <v>155</v>
      </c>
      <c r="E510" s="20" t="s">
        <v>1175</v>
      </c>
      <c r="F510" s="20" t="s">
        <v>149</v>
      </c>
      <c r="G510" s="415">
        <f>'Пр.6 ведом.20'!G504</f>
        <v>2900</v>
      </c>
      <c r="H510" s="415">
        <f t="shared" si="22"/>
        <v>2900</v>
      </c>
      <c r="I510" s="230"/>
    </row>
    <row r="511" spans="1:9" ht="31.5" hidden="1" x14ac:dyDescent="0.25">
      <c r="A511" s="25" t="s">
        <v>1008</v>
      </c>
      <c r="B511" s="16">
        <v>905</v>
      </c>
      <c r="C511" s="20" t="s">
        <v>133</v>
      </c>
      <c r="D511" s="20" t="s">
        <v>155</v>
      </c>
      <c r="E511" s="20" t="s">
        <v>1176</v>
      </c>
      <c r="F511" s="20"/>
      <c r="G511" s="415">
        <f>'Пр.6 ведом.20'!G505</f>
        <v>0</v>
      </c>
      <c r="H511" s="415">
        <f t="shared" si="22"/>
        <v>0</v>
      </c>
      <c r="I511" s="230"/>
    </row>
    <row r="512" spans="1:9" ht="31.5" hidden="1" x14ac:dyDescent="0.25">
      <c r="A512" s="25" t="s">
        <v>146</v>
      </c>
      <c r="B512" s="16">
        <v>905</v>
      </c>
      <c r="C512" s="20" t="s">
        <v>133</v>
      </c>
      <c r="D512" s="20" t="s">
        <v>155</v>
      </c>
      <c r="E512" s="20" t="s">
        <v>1176</v>
      </c>
      <c r="F512" s="20" t="s">
        <v>147</v>
      </c>
      <c r="G512" s="415">
        <f>'Пр.6 ведом.20'!G506</f>
        <v>0</v>
      </c>
      <c r="H512" s="415">
        <f t="shared" si="22"/>
        <v>0</v>
      </c>
      <c r="I512" s="230"/>
    </row>
    <row r="513" spans="1:9" ht="31.5" hidden="1" x14ac:dyDescent="0.25">
      <c r="A513" s="25" t="s">
        <v>148</v>
      </c>
      <c r="B513" s="16">
        <v>905</v>
      </c>
      <c r="C513" s="20" t="s">
        <v>133</v>
      </c>
      <c r="D513" s="20" t="s">
        <v>155</v>
      </c>
      <c r="E513" s="20" t="s">
        <v>1176</v>
      </c>
      <c r="F513" s="20" t="s">
        <v>149</v>
      </c>
      <c r="G513" s="415">
        <f>'Пр.6 ведом.20'!G507</f>
        <v>0</v>
      </c>
      <c r="H513" s="415">
        <f t="shared" si="22"/>
        <v>0</v>
      </c>
      <c r="I513" s="230"/>
    </row>
    <row r="514" spans="1:9" ht="63" x14ac:dyDescent="0.25">
      <c r="A514" s="23" t="s">
        <v>1456</v>
      </c>
      <c r="B514" s="19">
        <v>905</v>
      </c>
      <c r="C514" s="24" t="s">
        <v>133</v>
      </c>
      <c r="D514" s="24" t="s">
        <v>155</v>
      </c>
      <c r="E514" s="24" t="s">
        <v>805</v>
      </c>
      <c r="F514" s="24"/>
      <c r="G514" s="416">
        <f>G515</f>
        <v>239.82</v>
      </c>
      <c r="H514" s="416">
        <f>H515</f>
        <v>239.82</v>
      </c>
      <c r="I514" s="230"/>
    </row>
    <row r="515" spans="1:9" ht="31.5" x14ac:dyDescent="0.25">
      <c r="A515" s="23" t="s">
        <v>1007</v>
      </c>
      <c r="B515" s="19">
        <v>905</v>
      </c>
      <c r="C515" s="24" t="s">
        <v>133</v>
      </c>
      <c r="D515" s="24" t="s">
        <v>155</v>
      </c>
      <c r="E515" s="24" t="s">
        <v>1189</v>
      </c>
      <c r="F515" s="24"/>
      <c r="G515" s="416">
        <f>G516</f>
        <v>239.82</v>
      </c>
      <c r="H515" s="416">
        <f>H516</f>
        <v>239.82</v>
      </c>
      <c r="I515" s="230"/>
    </row>
    <row r="516" spans="1:9" ht="31.5" x14ac:dyDescent="0.25">
      <c r="A516" s="25" t="s">
        <v>815</v>
      </c>
      <c r="B516" s="16">
        <v>905</v>
      </c>
      <c r="C516" s="20" t="s">
        <v>133</v>
      </c>
      <c r="D516" s="20" t="s">
        <v>155</v>
      </c>
      <c r="E516" s="20" t="s">
        <v>1190</v>
      </c>
      <c r="F516" s="20"/>
      <c r="G516" s="415">
        <f>'Пр.6 ведом.20'!G510</f>
        <v>239.82</v>
      </c>
      <c r="H516" s="415">
        <f t="shared" si="22"/>
        <v>239.82</v>
      </c>
      <c r="I516" s="230"/>
    </row>
    <row r="517" spans="1:9" ht="31.5" x14ac:dyDescent="0.25">
      <c r="A517" s="25" t="s">
        <v>146</v>
      </c>
      <c r="B517" s="16">
        <v>905</v>
      </c>
      <c r="C517" s="20" t="s">
        <v>133</v>
      </c>
      <c r="D517" s="20" t="s">
        <v>155</v>
      </c>
      <c r="E517" s="20" t="s">
        <v>1190</v>
      </c>
      <c r="F517" s="20" t="s">
        <v>147</v>
      </c>
      <c r="G517" s="415">
        <f>'Пр.6 ведом.20'!G511</f>
        <v>239.82</v>
      </c>
      <c r="H517" s="415">
        <f t="shared" si="22"/>
        <v>239.82</v>
      </c>
      <c r="I517" s="230"/>
    </row>
    <row r="518" spans="1:9" ht="31.5" x14ac:dyDescent="0.25">
      <c r="A518" s="25" t="s">
        <v>148</v>
      </c>
      <c r="B518" s="16">
        <v>905</v>
      </c>
      <c r="C518" s="20" t="s">
        <v>133</v>
      </c>
      <c r="D518" s="20" t="s">
        <v>155</v>
      </c>
      <c r="E518" s="20" t="s">
        <v>1190</v>
      </c>
      <c r="F518" s="20" t="s">
        <v>149</v>
      </c>
      <c r="G518" s="415">
        <f>'Пр.6 ведом.20'!G512</f>
        <v>239.82</v>
      </c>
      <c r="H518" s="415">
        <f t="shared" si="22"/>
        <v>239.82</v>
      </c>
      <c r="I518" s="230"/>
    </row>
    <row r="519" spans="1:9" ht="15.75" x14ac:dyDescent="0.25">
      <c r="A519" s="41" t="s">
        <v>405</v>
      </c>
      <c r="B519" s="19">
        <v>905</v>
      </c>
      <c r="C519" s="24" t="s">
        <v>249</v>
      </c>
      <c r="D519" s="24"/>
      <c r="E519" s="24"/>
      <c r="F519" s="24"/>
      <c r="G519" s="416">
        <f t="shared" ref="G519:H521" si="24">G520</f>
        <v>1181</v>
      </c>
      <c r="H519" s="416">
        <f t="shared" si="24"/>
        <v>1181</v>
      </c>
      <c r="I519" s="230"/>
    </row>
    <row r="520" spans="1:9" ht="15.75" x14ac:dyDescent="0.25">
      <c r="A520" s="41" t="s">
        <v>406</v>
      </c>
      <c r="B520" s="19">
        <v>905</v>
      </c>
      <c r="C520" s="24" t="s">
        <v>249</v>
      </c>
      <c r="D520" s="24" t="s">
        <v>133</v>
      </c>
      <c r="E520" s="24"/>
      <c r="F520" s="24"/>
      <c r="G520" s="416">
        <f t="shared" si="24"/>
        <v>1181</v>
      </c>
      <c r="H520" s="416">
        <f t="shared" si="24"/>
        <v>1181</v>
      </c>
      <c r="I520" s="230"/>
    </row>
    <row r="521" spans="1:9" ht="15.75" x14ac:dyDescent="0.25">
      <c r="A521" s="23" t="s">
        <v>156</v>
      </c>
      <c r="B521" s="19">
        <v>905</v>
      </c>
      <c r="C521" s="24" t="s">
        <v>249</v>
      </c>
      <c r="D521" s="24" t="s">
        <v>133</v>
      </c>
      <c r="E521" s="24" t="s">
        <v>914</v>
      </c>
      <c r="F521" s="24"/>
      <c r="G521" s="416">
        <f t="shared" si="24"/>
        <v>1181</v>
      </c>
      <c r="H521" s="416">
        <f t="shared" si="24"/>
        <v>1181</v>
      </c>
      <c r="I521" s="230"/>
    </row>
    <row r="522" spans="1:9" ht="31.5" x14ac:dyDescent="0.25">
      <c r="A522" s="23" t="s">
        <v>918</v>
      </c>
      <c r="B522" s="19">
        <v>905</v>
      </c>
      <c r="C522" s="24" t="s">
        <v>249</v>
      </c>
      <c r="D522" s="24" t="s">
        <v>133</v>
      </c>
      <c r="E522" s="24" t="s">
        <v>913</v>
      </c>
      <c r="F522" s="24"/>
      <c r="G522" s="416">
        <f>G523+G526</f>
        <v>1181</v>
      </c>
      <c r="H522" s="416">
        <f>H523+H526</f>
        <v>1181</v>
      </c>
      <c r="I522" s="230"/>
    </row>
    <row r="523" spans="1:9" ht="31.5" x14ac:dyDescent="0.25">
      <c r="A523" s="29" t="s">
        <v>413</v>
      </c>
      <c r="B523" s="16">
        <v>905</v>
      </c>
      <c r="C523" s="20" t="s">
        <v>249</v>
      </c>
      <c r="D523" s="20" t="s">
        <v>133</v>
      </c>
      <c r="E523" s="20" t="s">
        <v>1102</v>
      </c>
      <c r="F523" s="20"/>
      <c r="G523" s="415">
        <f>'Пр.6 ведом.20'!G517</f>
        <v>270.39999999999998</v>
      </c>
      <c r="H523" s="415">
        <f t="shared" si="22"/>
        <v>270.39999999999998</v>
      </c>
      <c r="I523" s="230"/>
    </row>
    <row r="524" spans="1:9" ht="31.5" x14ac:dyDescent="0.25">
      <c r="A524" s="25" t="s">
        <v>146</v>
      </c>
      <c r="B524" s="16">
        <v>905</v>
      </c>
      <c r="C524" s="20" t="s">
        <v>249</v>
      </c>
      <c r="D524" s="20" t="s">
        <v>133</v>
      </c>
      <c r="E524" s="20" t="s">
        <v>1102</v>
      </c>
      <c r="F524" s="20" t="s">
        <v>147</v>
      </c>
      <c r="G524" s="415">
        <f>'Пр.6 ведом.20'!G518</f>
        <v>270.39999999999998</v>
      </c>
      <c r="H524" s="415">
        <f t="shared" si="22"/>
        <v>270.39999999999998</v>
      </c>
      <c r="I524" s="230"/>
    </row>
    <row r="525" spans="1:9" ht="31.5" x14ac:dyDescent="0.25">
      <c r="A525" s="25" t="s">
        <v>148</v>
      </c>
      <c r="B525" s="16">
        <v>905</v>
      </c>
      <c r="C525" s="20" t="s">
        <v>249</v>
      </c>
      <c r="D525" s="20" t="s">
        <v>133</v>
      </c>
      <c r="E525" s="20" t="s">
        <v>1102</v>
      </c>
      <c r="F525" s="20" t="s">
        <v>149</v>
      </c>
      <c r="G525" s="415">
        <f>'Пр.6 ведом.20'!G519</f>
        <v>270.39999999999998</v>
      </c>
      <c r="H525" s="415">
        <f t="shared" si="22"/>
        <v>270.39999999999998</v>
      </c>
      <c r="I525" s="230"/>
    </row>
    <row r="526" spans="1:9" ht="31.5" x14ac:dyDescent="0.25">
      <c r="A526" s="29" t="s">
        <v>1009</v>
      </c>
      <c r="B526" s="16">
        <v>905</v>
      </c>
      <c r="C526" s="20" t="s">
        <v>249</v>
      </c>
      <c r="D526" s="20" t="s">
        <v>133</v>
      </c>
      <c r="E526" s="20" t="s">
        <v>1103</v>
      </c>
      <c r="F526" s="20"/>
      <c r="G526" s="415">
        <f>'Пр.6 ведом.20'!G520</f>
        <v>910.6</v>
      </c>
      <c r="H526" s="415">
        <f t="shared" si="22"/>
        <v>910.6</v>
      </c>
      <c r="I526" s="230"/>
    </row>
    <row r="527" spans="1:9" ht="31.5" x14ac:dyDescent="0.25">
      <c r="A527" s="25" t="s">
        <v>146</v>
      </c>
      <c r="B527" s="16">
        <v>905</v>
      </c>
      <c r="C527" s="20" t="s">
        <v>249</v>
      </c>
      <c r="D527" s="20" t="s">
        <v>133</v>
      </c>
      <c r="E527" s="20" t="s">
        <v>1103</v>
      </c>
      <c r="F527" s="20" t="s">
        <v>147</v>
      </c>
      <c r="G527" s="415">
        <f>'Пр.6 ведом.20'!G521</f>
        <v>910.6</v>
      </c>
      <c r="H527" s="415">
        <f t="shared" si="22"/>
        <v>910.6</v>
      </c>
      <c r="I527" s="230"/>
    </row>
    <row r="528" spans="1:9" ht="31.5" x14ac:dyDescent="0.25">
      <c r="A528" s="25" t="s">
        <v>148</v>
      </c>
      <c r="B528" s="16">
        <v>905</v>
      </c>
      <c r="C528" s="20" t="s">
        <v>249</v>
      </c>
      <c r="D528" s="20" t="s">
        <v>133</v>
      </c>
      <c r="E528" s="20" t="s">
        <v>1103</v>
      </c>
      <c r="F528" s="20" t="s">
        <v>149</v>
      </c>
      <c r="G528" s="415">
        <f>'Пр.6 ведом.20'!G522</f>
        <v>910.6</v>
      </c>
      <c r="H528" s="415">
        <f t="shared" si="22"/>
        <v>910.6</v>
      </c>
      <c r="I528" s="230"/>
    </row>
    <row r="529" spans="1:9" ht="31.5" x14ac:dyDescent="0.25">
      <c r="A529" s="19" t="s">
        <v>418</v>
      </c>
      <c r="B529" s="19">
        <v>906</v>
      </c>
      <c r="C529" s="24"/>
      <c r="D529" s="24"/>
      <c r="E529" s="24"/>
      <c r="F529" s="24"/>
      <c r="G529" s="416">
        <f>G540+G530</f>
        <v>361048.47</v>
      </c>
      <c r="H529" s="416">
        <f>H540+H530</f>
        <v>361056.97</v>
      </c>
      <c r="I529" s="230"/>
    </row>
    <row r="530" spans="1:9" ht="15.75" x14ac:dyDescent="0.25">
      <c r="A530" s="23" t="s">
        <v>132</v>
      </c>
      <c r="B530" s="19">
        <v>906</v>
      </c>
      <c r="C530" s="24" t="s">
        <v>133</v>
      </c>
      <c r="D530" s="24"/>
      <c r="E530" s="24"/>
      <c r="F530" s="24"/>
      <c r="G530" s="416">
        <f t="shared" ref="G530:H533" si="25">G531</f>
        <v>50</v>
      </c>
      <c r="H530" s="416">
        <f t="shared" si="25"/>
        <v>50</v>
      </c>
      <c r="I530" s="230"/>
    </row>
    <row r="531" spans="1:9" ht="15.75" x14ac:dyDescent="0.25">
      <c r="A531" s="34" t="s">
        <v>154</v>
      </c>
      <c r="B531" s="19">
        <v>906</v>
      </c>
      <c r="C531" s="24" t="s">
        <v>133</v>
      </c>
      <c r="D531" s="24" t="s">
        <v>155</v>
      </c>
      <c r="E531" s="24"/>
      <c r="F531" s="24"/>
      <c r="G531" s="416">
        <f t="shared" si="25"/>
        <v>50</v>
      </c>
      <c r="H531" s="416">
        <f t="shared" si="25"/>
        <v>50</v>
      </c>
      <c r="I531" s="230"/>
    </row>
    <row r="532" spans="1:9" ht="47.25" x14ac:dyDescent="0.25">
      <c r="A532" s="23" t="s">
        <v>1451</v>
      </c>
      <c r="B532" s="19">
        <v>906</v>
      </c>
      <c r="C532" s="24" t="s">
        <v>133</v>
      </c>
      <c r="D532" s="24" t="s">
        <v>155</v>
      </c>
      <c r="E532" s="24" t="s">
        <v>350</v>
      </c>
      <c r="F532" s="24"/>
      <c r="G532" s="416">
        <f t="shared" si="25"/>
        <v>50</v>
      </c>
      <c r="H532" s="416">
        <f t="shared" si="25"/>
        <v>50</v>
      </c>
      <c r="I532" s="230"/>
    </row>
    <row r="533" spans="1:9" ht="31.5" x14ac:dyDescent="0.25">
      <c r="A533" s="275" t="s">
        <v>1236</v>
      </c>
      <c r="B533" s="19">
        <v>906</v>
      </c>
      <c r="C533" s="24" t="s">
        <v>133</v>
      </c>
      <c r="D533" s="24" t="s">
        <v>155</v>
      </c>
      <c r="E533" s="24" t="s">
        <v>1237</v>
      </c>
      <c r="F533" s="24"/>
      <c r="G533" s="416">
        <f t="shared" si="25"/>
        <v>50</v>
      </c>
      <c r="H533" s="416">
        <f t="shared" si="25"/>
        <v>50</v>
      </c>
      <c r="I533" s="230"/>
    </row>
    <row r="534" spans="1:9" ht="31.5" x14ac:dyDescent="0.25">
      <c r="A534" s="100" t="s">
        <v>351</v>
      </c>
      <c r="B534" s="16">
        <v>906</v>
      </c>
      <c r="C534" s="20" t="s">
        <v>133</v>
      </c>
      <c r="D534" s="20" t="s">
        <v>155</v>
      </c>
      <c r="E534" s="20" t="s">
        <v>1238</v>
      </c>
      <c r="F534" s="20"/>
      <c r="G534" s="415">
        <f>'Пр.6 ведом.20'!G534</f>
        <v>50</v>
      </c>
      <c r="H534" s="415">
        <f t="shared" si="22"/>
        <v>50</v>
      </c>
      <c r="I534" s="230"/>
    </row>
    <row r="535" spans="1:9" ht="31.5" x14ac:dyDescent="0.25">
      <c r="A535" s="25" t="s">
        <v>146</v>
      </c>
      <c r="B535" s="16">
        <v>906</v>
      </c>
      <c r="C535" s="20" t="s">
        <v>133</v>
      </c>
      <c r="D535" s="20" t="s">
        <v>155</v>
      </c>
      <c r="E535" s="20" t="s">
        <v>1238</v>
      </c>
      <c r="F535" s="20" t="s">
        <v>147</v>
      </c>
      <c r="G535" s="415">
        <f>'Пр.6 ведом.20'!G535</f>
        <v>50</v>
      </c>
      <c r="H535" s="415">
        <f t="shared" si="22"/>
        <v>50</v>
      </c>
      <c r="I535" s="230"/>
    </row>
    <row r="536" spans="1:9" ht="31.5" x14ac:dyDescent="0.25">
      <c r="A536" s="25" t="s">
        <v>148</v>
      </c>
      <c r="B536" s="16">
        <v>906</v>
      </c>
      <c r="C536" s="20" t="s">
        <v>133</v>
      </c>
      <c r="D536" s="20" t="s">
        <v>155</v>
      </c>
      <c r="E536" s="20" t="s">
        <v>1238</v>
      </c>
      <c r="F536" s="20" t="s">
        <v>149</v>
      </c>
      <c r="G536" s="415">
        <f>'Пр.6 ведом.20'!G536</f>
        <v>50</v>
      </c>
      <c r="H536" s="415">
        <f t="shared" si="22"/>
        <v>50</v>
      </c>
      <c r="I536" s="230"/>
    </row>
    <row r="537" spans="1:9" ht="31.5" hidden="1" x14ac:dyDescent="0.25">
      <c r="A537" s="31" t="s">
        <v>795</v>
      </c>
      <c r="B537" s="16">
        <v>906</v>
      </c>
      <c r="C537" s="20" t="s">
        <v>133</v>
      </c>
      <c r="D537" s="20" t="s">
        <v>155</v>
      </c>
      <c r="E537" s="20" t="s">
        <v>1271</v>
      </c>
      <c r="F537" s="20"/>
      <c r="G537" s="415">
        <f>'Пр.6 ведом.20'!G537</f>
        <v>0</v>
      </c>
      <c r="H537" s="415">
        <f t="shared" si="22"/>
        <v>0</v>
      </c>
      <c r="I537" s="230"/>
    </row>
    <row r="538" spans="1:9" ht="31.5" hidden="1" x14ac:dyDescent="0.25">
      <c r="A538" s="25" t="s">
        <v>146</v>
      </c>
      <c r="B538" s="16">
        <v>906</v>
      </c>
      <c r="C538" s="20" t="s">
        <v>133</v>
      </c>
      <c r="D538" s="20" t="s">
        <v>155</v>
      </c>
      <c r="E538" s="20" t="s">
        <v>1271</v>
      </c>
      <c r="F538" s="20" t="s">
        <v>147</v>
      </c>
      <c r="G538" s="415">
        <f>'Пр.6 ведом.20'!G538</f>
        <v>0</v>
      </c>
      <c r="H538" s="415">
        <f t="shared" si="22"/>
        <v>0</v>
      </c>
      <c r="I538" s="230"/>
    </row>
    <row r="539" spans="1:9" ht="31.5" hidden="1" x14ac:dyDescent="0.25">
      <c r="A539" s="25" t="s">
        <v>148</v>
      </c>
      <c r="B539" s="16">
        <v>906</v>
      </c>
      <c r="C539" s="20" t="s">
        <v>133</v>
      </c>
      <c r="D539" s="20" t="s">
        <v>155</v>
      </c>
      <c r="E539" s="20" t="s">
        <v>1271</v>
      </c>
      <c r="F539" s="20" t="s">
        <v>149</v>
      </c>
      <c r="G539" s="415">
        <f>'Пр.6 ведом.20'!G539</f>
        <v>0</v>
      </c>
      <c r="H539" s="415">
        <f t="shared" si="22"/>
        <v>0</v>
      </c>
      <c r="I539" s="230"/>
    </row>
    <row r="540" spans="1:9" ht="15.75" x14ac:dyDescent="0.25">
      <c r="A540" s="23" t="s">
        <v>278</v>
      </c>
      <c r="B540" s="19">
        <v>906</v>
      </c>
      <c r="C540" s="24" t="s">
        <v>279</v>
      </c>
      <c r="D540" s="24"/>
      <c r="E540" s="24"/>
      <c r="F540" s="24"/>
      <c r="G540" s="416">
        <f>G541+G609+G718+G728+G687</f>
        <v>360998.47</v>
      </c>
      <c r="H540" s="416">
        <f>H541+H609+H718+H728+H687</f>
        <v>361006.97</v>
      </c>
      <c r="I540" s="230"/>
    </row>
    <row r="541" spans="1:9" ht="15.75" x14ac:dyDescent="0.25">
      <c r="A541" s="23" t="s">
        <v>419</v>
      </c>
      <c r="B541" s="19">
        <v>906</v>
      </c>
      <c r="C541" s="24" t="s">
        <v>279</v>
      </c>
      <c r="D541" s="24" t="s">
        <v>133</v>
      </c>
      <c r="E541" s="24"/>
      <c r="F541" s="24"/>
      <c r="G541" s="416">
        <f>G542+G592+G604</f>
        <v>109329.55</v>
      </c>
      <c r="H541" s="416">
        <f>H542+H592+H604</f>
        <v>109329.55</v>
      </c>
      <c r="I541" s="230"/>
    </row>
    <row r="542" spans="1:9" ht="47.25" x14ac:dyDescent="0.25">
      <c r="A542" s="23" t="s">
        <v>1457</v>
      </c>
      <c r="B542" s="19">
        <v>906</v>
      </c>
      <c r="C542" s="24" t="s">
        <v>279</v>
      </c>
      <c r="D542" s="24" t="s">
        <v>133</v>
      </c>
      <c r="E542" s="24" t="s">
        <v>421</v>
      </c>
      <c r="F542" s="24"/>
      <c r="G542" s="416">
        <f>G543+G564</f>
        <v>108865.25</v>
      </c>
      <c r="H542" s="416">
        <f>H543+H564</f>
        <v>108865.25</v>
      </c>
      <c r="I542" s="230"/>
    </row>
    <row r="543" spans="1:9" ht="31.5" x14ac:dyDescent="0.25">
      <c r="A543" s="23" t="s">
        <v>422</v>
      </c>
      <c r="B543" s="19">
        <v>906</v>
      </c>
      <c r="C543" s="24" t="s">
        <v>279</v>
      </c>
      <c r="D543" s="24" t="s">
        <v>133</v>
      </c>
      <c r="E543" s="24" t="s">
        <v>423</v>
      </c>
      <c r="F543" s="24"/>
      <c r="G543" s="416">
        <f>G544+G551</f>
        <v>97867.55</v>
      </c>
      <c r="H543" s="416">
        <f>H544+H551</f>
        <v>97867.55</v>
      </c>
      <c r="I543" s="230"/>
    </row>
    <row r="544" spans="1:9" ht="31.5" x14ac:dyDescent="0.25">
      <c r="A544" s="23" t="s">
        <v>1033</v>
      </c>
      <c r="B544" s="19">
        <v>906</v>
      </c>
      <c r="C544" s="24" t="s">
        <v>279</v>
      </c>
      <c r="D544" s="24" t="s">
        <v>133</v>
      </c>
      <c r="E544" s="24" t="s">
        <v>1011</v>
      </c>
      <c r="F544" s="24"/>
      <c r="G544" s="416">
        <f>G545+G548</f>
        <v>12027</v>
      </c>
      <c r="H544" s="416">
        <f>H545+H548</f>
        <v>12027</v>
      </c>
      <c r="I544" s="230"/>
    </row>
    <row r="545" spans="1:9" ht="63" x14ac:dyDescent="0.25">
      <c r="A545" s="25" t="s">
        <v>1068</v>
      </c>
      <c r="B545" s="16">
        <v>906</v>
      </c>
      <c r="C545" s="20" t="s">
        <v>279</v>
      </c>
      <c r="D545" s="20" t="s">
        <v>133</v>
      </c>
      <c r="E545" s="20" t="s">
        <v>1067</v>
      </c>
      <c r="F545" s="20"/>
      <c r="G545" s="415">
        <f>'Пр.6 ведом.20'!G545</f>
        <v>7224.2999999999993</v>
      </c>
      <c r="H545" s="415">
        <f t="shared" si="22"/>
        <v>7224.2999999999993</v>
      </c>
      <c r="I545" s="230"/>
    </row>
    <row r="546" spans="1:9" ht="31.5" x14ac:dyDescent="0.25">
      <c r="A546" s="25" t="s">
        <v>287</v>
      </c>
      <c r="B546" s="16">
        <v>906</v>
      </c>
      <c r="C546" s="20" t="s">
        <v>279</v>
      </c>
      <c r="D546" s="20" t="s">
        <v>133</v>
      </c>
      <c r="E546" s="20" t="s">
        <v>1067</v>
      </c>
      <c r="F546" s="20" t="s">
        <v>288</v>
      </c>
      <c r="G546" s="415">
        <f>'Пр.6 ведом.20'!G546</f>
        <v>7224.2999999999993</v>
      </c>
      <c r="H546" s="415">
        <f t="shared" si="22"/>
        <v>7224.2999999999993</v>
      </c>
      <c r="I546" s="230"/>
    </row>
    <row r="547" spans="1:9" ht="15.75" x14ac:dyDescent="0.25">
      <c r="A547" s="25" t="s">
        <v>289</v>
      </c>
      <c r="B547" s="16">
        <v>906</v>
      </c>
      <c r="C547" s="20" t="s">
        <v>279</v>
      </c>
      <c r="D547" s="20" t="s">
        <v>133</v>
      </c>
      <c r="E547" s="20" t="s">
        <v>1067</v>
      </c>
      <c r="F547" s="20" t="s">
        <v>290</v>
      </c>
      <c r="G547" s="415">
        <f>'Пр.6 ведом.20'!G547</f>
        <v>7224.2999999999993</v>
      </c>
      <c r="H547" s="415">
        <f t="shared" si="22"/>
        <v>7224.2999999999993</v>
      </c>
      <c r="I547" s="230"/>
    </row>
    <row r="548" spans="1:9" ht="63" x14ac:dyDescent="0.25">
      <c r="A548" s="25" t="s">
        <v>1249</v>
      </c>
      <c r="B548" s="16">
        <v>906</v>
      </c>
      <c r="C548" s="20" t="s">
        <v>279</v>
      </c>
      <c r="D548" s="20" t="s">
        <v>133</v>
      </c>
      <c r="E548" s="20" t="s">
        <v>1069</v>
      </c>
      <c r="F548" s="20"/>
      <c r="G548" s="415">
        <f>'Пр.6 ведом.20'!G548</f>
        <v>4802.7</v>
      </c>
      <c r="H548" s="415">
        <f t="shared" si="22"/>
        <v>4802.7</v>
      </c>
      <c r="I548" s="230"/>
    </row>
    <row r="549" spans="1:9" ht="31.5" x14ac:dyDescent="0.25">
      <c r="A549" s="25" t="s">
        <v>287</v>
      </c>
      <c r="B549" s="16">
        <v>906</v>
      </c>
      <c r="C549" s="20" t="s">
        <v>279</v>
      </c>
      <c r="D549" s="20" t="s">
        <v>133</v>
      </c>
      <c r="E549" s="20" t="s">
        <v>1069</v>
      </c>
      <c r="F549" s="20" t="s">
        <v>288</v>
      </c>
      <c r="G549" s="415">
        <f>'Пр.6 ведом.20'!G549</f>
        <v>4802.7</v>
      </c>
      <c r="H549" s="415">
        <f t="shared" si="22"/>
        <v>4802.7</v>
      </c>
      <c r="I549" s="230"/>
    </row>
    <row r="550" spans="1:9" ht="15.75" x14ac:dyDescent="0.25">
      <c r="A550" s="25" t="s">
        <v>289</v>
      </c>
      <c r="B550" s="16">
        <v>906</v>
      </c>
      <c r="C550" s="20" t="s">
        <v>279</v>
      </c>
      <c r="D550" s="20" t="s">
        <v>133</v>
      </c>
      <c r="E550" s="20" t="s">
        <v>1069</v>
      </c>
      <c r="F550" s="20" t="s">
        <v>290</v>
      </c>
      <c r="G550" s="415">
        <f>'Пр.6 ведом.20'!G550</f>
        <v>4802.7</v>
      </c>
      <c r="H550" s="415">
        <f t="shared" si="22"/>
        <v>4802.7</v>
      </c>
      <c r="I550" s="230"/>
    </row>
    <row r="551" spans="1:9" ht="47.25" x14ac:dyDescent="0.25">
      <c r="A551" s="23" t="s">
        <v>973</v>
      </c>
      <c r="B551" s="19">
        <v>906</v>
      </c>
      <c r="C551" s="24" t="s">
        <v>279</v>
      </c>
      <c r="D551" s="24" t="s">
        <v>133</v>
      </c>
      <c r="E551" s="24" t="s">
        <v>1026</v>
      </c>
      <c r="F551" s="24"/>
      <c r="G551" s="315">
        <f>G552+G555+G558+G561</f>
        <v>85840.55</v>
      </c>
      <c r="H551" s="315">
        <f>H552+H555+H558+H561</f>
        <v>85840.55</v>
      </c>
      <c r="I551" s="230"/>
    </row>
    <row r="552" spans="1:9" ht="63" x14ac:dyDescent="0.25">
      <c r="A552" s="31" t="s">
        <v>304</v>
      </c>
      <c r="B552" s="16">
        <v>906</v>
      </c>
      <c r="C552" s="20" t="s">
        <v>279</v>
      </c>
      <c r="D552" s="20" t="s">
        <v>133</v>
      </c>
      <c r="E552" s="20" t="s">
        <v>1025</v>
      </c>
      <c r="F552" s="20"/>
      <c r="G552" s="415">
        <f>'Пр.6 ведом.20'!G552</f>
        <v>559.71</v>
      </c>
      <c r="H552" s="415">
        <f t="shared" si="22"/>
        <v>559.71</v>
      </c>
      <c r="I552" s="230"/>
    </row>
    <row r="553" spans="1:9" ht="31.5" x14ac:dyDescent="0.25">
      <c r="A553" s="25" t="s">
        <v>287</v>
      </c>
      <c r="B553" s="16">
        <v>906</v>
      </c>
      <c r="C553" s="20" t="s">
        <v>279</v>
      </c>
      <c r="D553" s="20" t="s">
        <v>133</v>
      </c>
      <c r="E553" s="20" t="s">
        <v>1025</v>
      </c>
      <c r="F553" s="20" t="s">
        <v>288</v>
      </c>
      <c r="G553" s="415">
        <f>'Пр.6 ведом.20'!G553</f>
        <v>559.71</v>
      </c>
      <c r="H553" s="415">
        <f t="shared" si="22"/>
        <v>559.71</v>
      </c>
      <c r="I553" s="230"/>
    </row>
    <row r="554" spans="1:9" ht="15.75" x14ac:dyDescent="0.25">
      <c r="A554" s="25" t="s">
        <v>289</v>
      </c>
      <c r="B554" s="16">
        <v>906</v>
      </c>
      <c r="C554" s="20" t="s">
        <v>279</v>
      </c>
      <c r="D554" s="20" t="s">
        <v>133</v>
      </c>
      <c r="E554" s="20" t="s">
        <v>1025</v>
      </c>
      <c r="F554" s="20" t="s">
        <v>290</v>
      </c>
      <c r="G554" s="415">
        <f>'Пр.6 ведом.20'!G554</f>
        <v>559.71</v>
      </c>
      <c r="H554" s="415">
        <f t="shared" si="22"/>
        <v>559.71</v>
      </c>
      <c r="I554" s="230"/>
    </row>
    <row r="555" spans="1:9" ht="63" x14ac:dyDescent="0.25">
      <c r="A555" s="31" t="s">
        <v>435</v>
      </c>
      <c r="B555" s="16">
        <v>906</v>
      </c>
      <c r="C555" s="20" t="s">
        <v>279</v>
      </c>
      <c r="D555" s="20" t="s">
        <v>133</v>
      </c>
      <c r="E555" s="20" t="s">
        <v>1028</v>
      </c>
      <c r="F555" s="20"/>
      <c r="G555" s="415">
        <f>'Пр.6 ведом.20'!G555</f>
        <v>1629.37</v>
      </c>
      <c r="H555" s="415">
        <f t="shared" si="22"/>
        <v>1629.37</v>
      </c>
      <c r="I555" s="230"/>
    </row>
    <row r="556" spans="1:9" ht="31.5" x14ac:dyDescent="0.25">
      <c r="A556" s="25" t="s">
        <v>287</v>
      </c>
      <c r="B556" s="16">
        <v>906</v>
      </c>
      <c r="C556" s="20" t="s">
        <v>279</v>
      </c>
      <c r="D556" s="20" t="s">
        <v>133</v>
      </c>
      <c r="E556" s="20" t="s">
        <v>1028</v>
      </c>
      <c r="F556" s="20" t="s">
        <v>288</v>
      </c>
      <c r="G556" s="415">
        <f>'Пр.6 ведом.20'!G556</f>
        <v>1629.37</v>
      </c>
      <c r="H556" s="415">
        <f t="shared" si="22"/>
        <v>1629.37</v>
      </c>
      <c r="I556" s="230"/>
    </row>
    <row r="557" spans="1:9" ht="15.75" x14ac:dyDescent="0.25">
      <c r="A557" s="25" t="s">
        <v>289</v>
      </c>
      <c r="B557" s="16">
        <v>906</v>
      </c>
      <c r="C557" s="20" t="s">
        <v>279</v>
      </c>
      <c r="D557" s="20" t="s">
        <v>133</v>
      </c>
      <c r="E557" s="20" t="s">
        <v>1028</v>
      </c>
      <c r="F557" s="20" t="s">
        <v>290</v>
      </c>
      <c r="G557" s="415">
        <f>'Пр.6 ведом.20'!G557</f>
        <v>1629.37</v>
      </c>
      <c r="H557" s="415">
        <f t="shared" si="22"/>
        <v>1629.37</v>
      </c>
      <c r="I557" s="230"/>
    </row>
    <row r="558" spans="1:9" ht="94.5" x14ac:dyDescent="0.25">
      <c r="A558" s="31" t="s">
        <v>436</v>
      </c>
      <c r="B558" s="16">
        <v>906</v>
      </c>
      <c r="C558" s="20" t="s">
        <v>279</v>
      </c>
      <c r="D558" s="20" t="s">
        <v>133</v>
      </c>
      <c r="E558" s="20" t="s">
        <v>1027</v>
      </c>
      <c r="F558" s="20"/>
      <c r="G558" s="415">
        <f>'Пр.6 ведом.20'!G558</f>
        <v>80735.399999999994</v>
      </c>
      <c r="H558" s="415">
        <f t="shared" si="22"/>
        <v>80735.399999999994</v>
      </c>
      <c r="I558" s="230"/>
    </row>
    <row r="559" spans="1:9" ht="31.5" x14ac:dyDescent="0.25">
      <c r="A559" s="25" t="s">
        <v>287</v>
      </c>
      <c r="B559" s="16">
        <v>906</v>
      </c>
      <c r="C559" s="20" t="s">
        <v>279</v>
      </c>
      <c r="D559" s="20" t="s">
        <v>133</v>
      </c>
      <c r="E559" s="20" t="s">
        <v>1027</v>
      </c>
      <c r="F559" s="20" t="s">
        <v>288</v>
      </c>
      <c r="G559" s="415">
        <f>'Пр.6 ведом.20'!G559</f>
        <v>80735.399999999994</v>
      </c>
      <c r="H559" s="415">
        <f t="shared" si="22"/>
        <v>80735.399999999994</v>
      </c>
      <c r="I559" s="230"/>
    </row>
    <row r="560" spans="1:9" ht="15.75" x14ac:dyDescent="0.25">
      <c r="A560" s="25" t="s">
        <v>289</v>
      </c>
      <c r="B560" s="16">
        <v>906</v>
      </c>
      <c r="C560" s="20" t="s">
        <v>279</v>
      </c>
      <c r="D560" s="20" t="s">
        <v>133</v>
      </c>
      <c r="E560" s="20" t="s">
        <v>1027</v>
      </c>
      <c r="F560" s="20" t="s">
        <v>290</v>
      </c>
      <c r="G560" s="415">
        <f>'Пр.6 ведом.20'!G560</f>
        <v>80735.399999999994</v>
      </c>
      <c r="H560" s="415">
        <f t="shared" si="22"/>
        <v>80735.399999999994</v>
      </c>
      <c r="I560" s="230"/>
    </row>
    <row r="561" spans="1:9" ht="94.5" x14ac:dyDescent="0.25">
      <c r="A561" s="31" t="s">
        <v>308</v>
      </c>
      <c r="B561" s="16">
        <v>906</v>
      </c>
      <c r="C561" s="20" t="s">
        <v>279</v>
      </c>
      <c r="D561" s="20" t="s">
        <v>133</v>
      </c>
      <c r="E561" s="20" t="s">
        <v>1029</v>
      </c>
      <c r="F561" s="20"/>
      <c r="G561" s="415">
        <f>'Пр.6 ведом.20'!G561</f>
        <v>2916.07</v>
      </c>
      <c r="H561" s="415">
        <f t="shared" si="22"/>
        <v>2916.07</v>
      </c>
      <c r="I561" s="230"/>
    </row>
    <row r="562" spans="1:9" ht="31.5" x14ac:dyDescent="0.25">
      <c r="A562" s="25" t="s">
        <v>287</v>
      </c>
      <c r="B562" s="16">
        <v>906</v>
      </c>
      <c r="C562" s="20" t="s">
        <v>279</v>
      </c>
      <c r="D562" s="20" t="s">
        <v>133</v>
      </c>
      <c r="E562" s="20" t="s">
        <v>1029</v>
      </c>
      <c r="F562" s="20" t="s">
        <v>288</v>
      </c>
      <c r="G562" s="415">
        <f>'Пр.6 ведом.20'!G562</f>
        <v>2916.07</v>
      </c>
      <c r="H562" s="415">
        <f t="shared" si="22"/>
        <v>2916.07</v>
      </c>
      <c r="I562" s="230"/>
    </row>
    <row r="563" spans="1:9" ht="15.75" x14ac:dyDescent="0.25">
      <c r="A563" s="25" t="s">
        <v>289</v>
      </c>
      <c r="B563" s="16">
        <v>906</v>
      </c>
      <c r="C563" s="20" t="s">
        <v>279</v>
      </c>
      <c r="D563" s="20" t="s">
        <v>133</v>
      </c>
      <c r="E563" s="20" t="s">
        <v>1029</v>
      </c>
      <c r="F563" s="20" t="s">
        <v>290</v>
      </c>
      <c r="G563" s="415">
        <f>'Пр.6 ведом.20'!G563</f>
        <v>2916.07</v>
      </c>
      <c r="H563" s="415">
        <f t="shared" si="22"/>
        <v>2916.07</v>
      </c>
      <c r="I563" s="230"/>
    </row>
    <row r="564" spans="1:9" ht="31.5" x14ac:dyDescent="0.25">
      <c r="A564" s="23" t="s">
        <v>426</v>
      </c>
      <c r="B564" s="19">
        <v>906</v>
      </c>
      <c r="C564" s="24" t="s">
        <v>279</v>
      </c>
      <c r="D564" s="24" t="s">
        <v>133</v>
      </c>
      <c r="E564" s="24" t="s">
        <v>427</v>
      </c>
      <c r="F564" s="24"/>
      <c r="G564" s="416">
        <f>G565+G575+G585+G597</f>
        <v>10997.7</v>
      </c>
      <c r="H564" s="416">
        <f>H565+H575+H585+H597</f>
        <v>10997.7</v>
      </c>
      <c r="I564" s="230"/>
    </row>
    <row r="565" spans="1:9" ht="31.5" x14ac:dyDescent="0.25">
      <c r="A565" s="23" t="s">
        <v>1012</v>
      </c>
      <c r="B565" s="19">
        <v>906</v>
      </c>
      <c r="C565" s="24" t="s">
        <v>279</v>
      </c>
      <c r="D565" s="24" t="s">
        <v>133</v>
      </c>
      <c r="E565" s="24" t="s">
        <v>1013</v>
      </c>
      <c r="F565" s="24"/>
      <c r="G565" s="416">
        <f>G566+G569+G572</f>
        <v>4430</v>
      </c>
      <c r="H565" s="416">
        <f>H566+H569+H572</f>
        <v>4430</v>
      </c>
      <c r="I565" s="230"/>
    </row>
    <row r="566" spans="1:9" ht="31.5" hidden="1" x14ac:dyDescent="0.25">
      <c r="A566" s="25" t="s">
        <v>293</v>
      </c>
      <c r="B566" s="16">
        <v>906</v>
      </c>
      <c r="C566" s="20" t="s">
        <v>279</v>
      </c>
      <c r="D566" s="20" t="s">
        <v>133</v>
      </c>
      <c r="E566" s="20" t="s">
        <v>1014</v>
      </c>
      <c r="F566" s="20"/>
      <c r="G566" s="415">
        <f>'Пр.6 ведом.20'!G566</f>
        <v>0</v>
      </c>
      <c r="H566" s="415">
        <f t="shared" si="22"/>
        <v>0</v>
      </c>
      <c r="I566" s="230"/>
    </row>
    <row r="567" spans="1:9" ht="31.5" hidden="1" x14ac:dyDescent="0.25">
      <c r="A567" s="25" t="s">
        <v>287</v>
      </c>
      <c r="B567" s="16">
        <v>906</v>
      </c>
      <c r="C567" s="20" t="s">
        <v>279</v>
      </c>
      <c r="D567" s="20" t="s">
        <v>133</v>
      </c>
      <c r="E567" s="20" t="s">
        <v>1014</v>
      </c>
      <c r="F567" s="20" t="s">
        <v>288</v>
      </c>
      <c r="G567" s="415">
        <f>'Пр.6 ведом.20'!G567</f>
        <v>0</v>
      </c>
      <c r="H567" s="415">
        <f t="shared" ref="H567:H637" si="26">G567</f>
        <v>0</v>
      </c>
      <c r="I567" s="230"/>
    </row>
    <row r="568" spans="1:9" ht="15.75" hidden="1" x14ac:dyDescent="0.25">
      <c r="A568" s="25" t="s">
        <v>289</v>
      </c>
      <c r="B568" s="16">
        <v>906</v>
      </c>
      <c r="C568" s="20" t="s">
        <v>279</v>
      </c>
      <c r="D568" s="20" t="s">
        <v>133</v>
      </c>
      <c r="E568" s="20" t="s">
        <v>1014</v>
      </c>
      <c r="F568" s="20" t="s">
        <v>290</v>
      </c>
      <c r="G568" s="415">
        <f>'Пр.6 ведом.20'!G568</f>
        <v>0</v>
      </c>
      <c r="H568" s="415">
        <f t="shared" si="26"/>
        <v>0</v>
      </c>
      <c r="I568" s="230"/>
    </row>
    <row r="569" spans="1:9" ht="31.5" hidden="1" x14ac:dyDescent="0.25">
      <c r="A569" s="25" t="s">
        <v>295</v>
      </c>
      <c r="B569" s="16">
        <v>906</v>
      </c>
      <c r="C569" s="20" t="s">
        <v>279</v>
      </c>
      <c r="D569" s="20" t="s">
        <v>133</v>
      </c>
      <c r="E569" s="20" t="s">
        <v>1015</v>
      </c>
      <c r="F569" s="20"/>
      <c r="G569" s="415">
        <f>'Пр.6 ведом.20'!G569</f>
        <v>0</v>
      </c>
      <c r="H569" s="415">
        <f t="shared" si="26"/>
        <v>0</v>
      </c>
      <c r="I569" s="230"/>
    </row>
    <row r="570" spans="1:9" ht="31.5" hidden="1" x14ac:dyDescent="0.25">
      <c r="A570" s="25" t="s">
        <v>287</v>
      </c>
      <c r="B570" s="16">
        <v>906</v>
      </c>
      <c r="C570" s="20" t="s">
        <v>279</v>
      </c>
      <c r="D570" s="20" t="s">
        <v>133</v>
      </c>
      <c r="E570" s="20" t="s">
        <v>1015</v>
      </c>
      <c r="F570" s="20" t="s">
        <v>288</v>
      </c>
      <c r="G570" s="415">
        <f>'Пр.6 ведом.20'!G570</f>
        <v>0</v>
      </c>
      <c r="H570" s="415">
        <f t="shared" si="26"/>
        <v>0</v>
      </c>
      <c r="I570" s="230"/>
    </row>
    <row r="571" spans="1:9" ht="15.75" hidden="1" x14ac:dyDescent="0.25">
      <c r="A571" s="25" t="s">
        <v>289</v>
      </c>
      <c r="B571" s="16">
        <v>906</v>
      </c>
      <c r="C571" s="20" t="s">
        <v>279</v>
      </c>
      <c r="D571" s="20" t="s">
        <v>133</v>
      </c>
      <c r="E571" s="20" t="s">
        <v>1015</v>
      </c>
      <c r="F571" s="20" t="s">
        <v>290</v>
      </c>
      <c r="G571" s="415">
        <f>'Пр.6 ведом.20'!G571</f>
        <v>0</v>
      </c>
      <c r="H571" s="415">
        <f t="shared" si="26"/>
        <v>0</v>
      </c>
      <c r="I571" s="230"/>
    </row>
    <row r="572" spans="1:9" ht="31.5" x14ac:dyDescent="0.25">
      <c r="A572" s="25" t="s">
        <v>430</v>
      </c>
      <c r="B572" s="16">
        <v>906</v>
      </c>
      <c r="C572" s="20" t="s">
        <v>279</v>
      </c>
      <c r="D572" s="20" t="s">
        <v>133</v>
      </c>
      <c r="E572" s="20" t="s">
        <v>1016</v>
      </c>
      <c r="F572" s="20"/>
      <c r="G572" s="415">
        <f>'Пр.6 ведом.20'!G572</f>
        <v>4430</v>
      </c>
      <c r="H572" s="415">
        <f t="shared" si="26"/>
        <v>4430</v>
      </c>
      <c r="I572" s="230"/>
    </row>
    <row r="573" spans="1:9" ht="31.5" x14ac:dyDescent="0.25">
      <c r="A573" s="25" t="s">
        <v>287</v>
      </c>
      <c r="B573" s="16">
        <v>906</v>
      </c>
      <c r="C573" s="20" t="s">
        <v>279</v>
      </c>
      <c r="D573" s="20" t="s">
        <v>133</v>
      </c>
      <c r="E573" s="20" t="s">
        <v>1016</v>
      </c>
      <c r="F573" s="20" t="s">
        <v>288</v>
      </c>
      <c r="G573" s="415">
        <f>'Пр.6 ведом.20'!G573</f>
        <v>4430</v>
      </c>
      <c r="H573" s="415">
        <f t="shared" si="26"/>
        <v>4430</v>
      </c>
      <c r="I573" s="230"/>
    </row>
    <row r="574" spans="1:9" ht="15.75" x14ac:dyDescent="0.25">
      <c r="A574" s="25" t="s">
        <v>289</v>
      </c>
      <c r="B574" s="16">
        <v>906</v>
      </c>
      <c r="C574" s="20" t="s">
        <v>279</v>
      </c>
      <c r="D574" s="20" t="s">
        <v>133</v>
      </c>
      <c r="E574" s="20" t="s">
        <v>1016</v>
      </c>
      <c r="F574" s="20" t="s">
        <v>290</v>
      </c>
      <c r="G574" s="415">
        <f>'Пр.6 ведом.20'!G574</f>
        <v>4430</v>
      </c>
      <c r="H574" s="415">
        <f t="shared" si="26"/>
        <v>4430</v>
      </c>
      <c r="I574" s="230"/>
    </row>
    <row r="575" spans="1:9" ht="31.5" x14ac:dyDescent="0.25">
      <c r="A575" s="281" t="s">
        <v>1082</v>
      </c>
      <c r="B575" s="19">
        <v>906</v>
      </c>
      <c r="C575" s="24" t="s">
        <v>279</v>
      </c>
      <c r="D575" s="24" t="s">
        <v>133</v>
      </c>
      <c r="E575" s="24" t="s">
        <v>1017</v>
      </c>
      <c r="F575" s="24"/>
      <c r="G575" s="315">
        <f>G576+G579+G582</f>
        <v>4610</v>
      </c>
      <c r="H575" s="315">
        <f>H576+H579+H582</f>
        <v>4610</v>
      </c>
      <c r="I575" s="230"/>
    </row>
    <row r="576" spans="1:9" ht="31.5" hidden="1" x14ac:dyDescent="0.25">
      <c r="A576" s="25" t="s">
        <v>299</v>
      </c>
      <c r="B576" s="16">
        <v>906</v>
      </c>
      <c r="C576" s="20" t="s">
        <v>279</v>
      </c>
      <c r="D576" s="20" t="s">
        <v>133</v>
      </c>
      <c r="E576" s="20" t="s">
        <v>1018</v>
      </c>
      <c r="F576" s="20"/>
      <c r="G576" s="415">
        <f>'Пр.6 ведом.20'!G576</f>
        <v>0</v>
      </c>
      <c r="H576" s="415">
        <f t="shared" si="26"/>
        <v>0</v>
      </c>
      <c r="I576" s="230"/>
    </row>
    <row r="577" spans="1:9" ht="31.5" hidden="1" x14ac:dyDescent="0.25">
      <c r="A577" s="25" t="s">
        <v>287</v>
      </c>
      <c r="B577" s="16">
        <v>906</v>
      </c>
      <c r="C577" s="20" t="s">
        <v>279</v>
      </c>
      <c r="D577" s="20" t="s">
        <v>133</v>
      </c>
      <c r="E577" s="20" t="s">
        <v>1018</v>
      </c>
      <c r="F577" s="20" t="s">
        <v>288</v>
      </c>
      <c r="G577" s="415">
        <f>'Пр.6 ведом.20'!G577</f>
        <v>0</v>
      </c>
      <c r="H577" s="415">
        <f t="shared" si="26"/>
        <v>0</v>
      </c>
      <c r="I577" s="230"/>
    </row>
    <row r="578" spans="1:9" ht="15.75" hidden="1" x14ac:dyDescent="0.25">
      <c r="A578" s="25" t="s">
        <v>289</v>
      </c>
      <c r="B578" s="16">
        <v>906</v>
      </c>
      <c r="C578" s="20" t="s">
        <v>279</v>
      </c>
      <c r="D578" s="20" t="s">
        <v>133</v>
      </c>
      <c r="E578" s="20" t="s">
        <v>1018</v>
      </c>
      <c r="F578" s="20" t="s">
        <v>290</v>
      </c>
      <c r="G578" s="415">
        <f>'Пр.6 ведом.20'!G578</f>
        <v>0</v>
      </c>
      <c r="H578" s="415">
        <f t="shared" si="26"/>
        <v>0</v>
      </c>
      <c r="I578" s="230"/>
    </row>
    <row r="579" spans="1:9" ht="31.5" x14ac:dyDescent="0.25">
      <c r="A579" s="60" t="s">
        <v>786</v>
      </c>
      <c r="B579" s="16">
        <v>906</v>
      </c>
      <c r="C579" s="20" t="s">
        <v>279</v>
      </c>
      <c r="D579" s="20" t="s">
        <v>133</v>
      </c>
      <c r="E579" s="20" t="s">
        <v>1019</v>
      </c>
      <c r="F579" s="20"/>
      <c r="G579" s="415">
        <f>'Пр.6 ведом.20'!G579</f>
        <v>2850</v>
      </c>
      <c r="H579" s="415">
        <f t="shared" si="26"/>
        <v>2850</v>
      </c>
      <c r="I579" s="230"/>
    </row>
    <row r="580" spans="1:9" ht="31.5" x14ac:dyDescent="0.25">
      <c r="A580" s="29" t="s">
        <v>287</v>
      </c>
      <c r="B580" s="16">
        <v>906</v>
      </c>
      <c r="C580" s="20" t="s">
        <v>279</v>
      </c>
      <c r="D580" s="20" t="s">
        <v>133</v>
      </c>
      <c r="E580" s="20" t="s">
        <v>1019</v>
      </c>
      <c r="F580" s="20" t="s">
        <v>288</v>
      </c>
      <c r="G580" s="415">
        <f>'Пр.6 ведом.20'!G580</f>
        <v>2850</v>
      </c>
      <c r="H580" s="415">
        <f t="shared" si="26"/>
        <v>2850</v>
      </c>
      <c r="I580" s="230"/>
    </row>
    <row r="581" spans="1:9" ht="15.75" x14ac:dyDescent="0.25">
      <c r="A581" s="195" t="s">
        <v>289</v>
      </c>
      <c r="B581" s="16">
        <v>906</v>
      </c>
      <c r="C581" s="20" t="s">
        <v>279</v>
      </c>
      <c r="D581" s="20" t="s">
        <v>133</v>
      </c>
      <c r="E581" s="20" t="s">
        <v>1019</v>
      </c>
      <c r="F581" s="20" t="s">
        <v>290</v>
      </c>
      <c r="G581" s="415">
        <f>'Пр.6 ведом.20'!G581</f>
        <v>2850</v>
      </c>
      <c r="H581" s="415">
        <f t="shared" si="26"/>
        <v>2850</v>
      </c>
      <c r="I581" s="230"/>
    </row>
    <row r="582" spans="1:9" ht="47.25" x14ac:dyDescent="0.25">
      <c r="A582" s="60" t="s">
        <v>787</v>
      </c>
      <c r="B582" s="16">
        <v>906</v>
      </c>
      <c r="C582" s="20" t="s">
        <v>279</v>
      </c>
      <c r="D582" s="20" t="s">
        <v>133</v>
      </c>
      <c r="E582" s="20" t="s">
        <v>1020</v>
      </c>
      <c r="F582" s="20"/>
      <c r="G582" s="415">
        <f>'Пр.6 ведом.20'!G582</f>
        <v>1760</v>
      </c>
      <c r="H582" s="415">
        <f t="shared" si="26"/>
        <v>1760</v>
      </c>
      <c r="I582" s="230"/>
    </row>
    <row r="583" spans="1:9" ht="31.5" x14ac:dyDescent="0.25">
      <c r="A583" s="29" t="s">
        <v>287</v>
      </c>
      <c r="B583" s="16">
        <v>906</v>
      </c>
      <c r="C583" s="20" t="s">
        <v>279</v>
      </c>
      <c r="D583" s="20" t="s">
        <v>133</v>
      </c>
      <c r="E583" s="20" t="s">
        <v>1020</v>
      </c>
      <c r="F583" s="20" t="s">
        <v>288</v>
      </c>
      <c r="G583" s="415">
        <f>'Пр.6 ведом.20'!G583</f>
        <v>1760</v>
      </c>
      <c r="H583" s="415">
        <f t="shared" si="26"/>
        <v>1760</v>
      </c>
      <c r="I583" s="230"/>
    </row>
    <row r="584" spans="1:9" ht="15.75" x14ac:dyDescent="0.25">
      <c r="A584" s="195" t="s">
        <v>289</v>
      </c>
      <c r="B584" s="16">
        <v>906</v>
      </c>
      <c r="C584" s="20" t="s">
        <v>279</v>
      </c>
      <c r="D584" s="20" t="s">
        <v>133</v>
      </c>
      <c r="E584" s="20" t="s">
        <v>1020</v>
      </c>
      <c r="F584" s="20" t="s">
        <v>290</v>
      </c>
      <c r="G584" s="415">
        <f>'Пр.6 ведом.20'!G584</f>
        <v>1760</v>
      </c>
      <c r="H584" s="415">
        <f t="shared" si="26"/>
        <v>1760</v>
      </c>
      <c r="I584" s="230"/>
    </row>
    <row r="585" spans="1:9" ht="63" x14ac:dyDescent="0.25">
      <c r="A585" s="23" t="s">
        <v>1021</v>
      </c>
      <c r="B585" s="19">
        <v>906</v>
      </c>
      <c r="C585" s="24" t="s">
        <v>279</v>
      </c>
      <c r="D585" s="24" t="s">
        <v>133</v>
      </c>
      <c r="E585" s="24" t="s">
        <v>1022</v>
      </c>
      <c r="F585" s="24"/>
      <c r="G585" s="416">
        <f>G586+G589</f>
        <v>291.10000000000002</v>
      </c>
      <c r="H585" s="416">
        <f>H586+H589</f>
        <v>291.10000000000002</v>
      </c>
      <c r="I585" s="230"/>
    </row>
    <row r="586" spans="1:9" ht="141.75" x14ac:dyDescent="0.25">
      <c r="A586" s="25" t="s">
        <v>830</v>
      </c>
      <c r="B586" s="16">
        <v>906</v>
      </c>
      <c r="C586" s="20" t="s">
        <v>279</v>
      </c>
      <c r="D586" s="20" t="s">
        <v>133</v>
      </c>
      <c r="E586" s="20" t="s">
        <v>1023</v>
      </c>
      <c r="F586" s="20"/>
      <c r="G586" s="415">
        <f>'Пр.6 ведом.20'!G586</f>
        <v>124.4</v>
      </c>
      <c r="H586" s="415">
        <f t="shared" si="26"/>
        <v>124.4</v>
      </c>
      <c r="I586" s="230"/>
    </row>
    <row r="587" spans="1:9" ht="31.5" x14ac:dyDescent="0.25">
      <c r="A587" s="29" t="s">
        <v>287</v>
      </c>
      <c r="B587" s="16">
        <v>906</v>
      </c>
      <c r="C587" s="20" t="s">
        <v>279</v>
      </c>
      <c r="D587" s="20" t="s">
        <v>133</v>
      </c>
      <c r="E587" s="20" t="s">
        <v>1023</v>
      </c>
      <c r="F587" s="20" t="s">
        <v>288</v>
      </c>
      <c r="G587" s="415">
        <f>'Пр.6 ведом.20'!G587</f>
        <v>124.4</v>
      </c>
      <c r="H587" s="415">
        <f t="shared" si="26"/>
        <v>124.4</v>
      </c>
      <c r="I587" s="230"/>
    </row>
    <row r="588" spans="1:9" ht="15.75" x14ac:dyDescent="0.25">
      <c r="A588" s="195" t="s">
        <v>289</v>
      </c>
      <c r="B588" s="16">
        <v>906</v>
      </c>
      <c r="C588" s="20" t="s">
        <v>279</v>
      </c>
      <c r="D588" s="20" t="s">
        <v>133</v>
      </c>
      <c r="E588" s="20" t="s">
        <v>1023</v>
      </c>
      <c r="F588" s="20" t="s">
        <v>290</v>
      </c>
      <c r="G588" s="415">
        <f>'Пр.6 ведом.20'!G588</f>
        <v>124.4</v>
      </c>
      <c r="H588" s="415">
        <f t="shared" si="26"/>
        <v>124.4</v>
      </c>
      <c r="I588" s="230"/>
    </row>
    <row r="589" spans="1:9" ht="126" x14ac:dyDescent="0.25">
      <c r="A589" s="25" t="s">
        <v>438</v>
      </c>
      <c r="B589" s="16">
        <v>906</v>
      </c>
      <c r="C589" s="20" t="s">
        <v>279</v>
      </c>
      <c r="D589" s="20" t="s">
        <v>133</v>
      </c>
      <c r="E589" s="20" t="s">
        <v>1024</v>
      </c>
      <c r="F589" s="20"/>
      <c r="G589" s="415">
        <f>'Пр.6 ведом.20'!G589</f>
        <v>166.7</v>
      </c>
      <c r="H589" s="415">
        <f t="shared" si="26"/>
        <v>166.7</v>
      </c>
      <c r="I589" s="230"/>
    </row>
    <row r="590" spans="1:9" ht="31.5" x14ac:dyDescent="0.25">
      <c r="A590" s="25" t="s">
        <v>287</v>
      </c>
      <c r="B590" s="16">
        <v>906</v>
      </c>
      <c r="C590" s="20" t="s">
        <v>279</v>
      </c>
      <c r="D590" s="20" t="s">
        <v>133</v>
      </c>
      <c r="E590" s="20" t="s">
        <v>1024</v>
      </c>
      <c r="F590" s="20" t="s">
        <v>288</v>
      </c>
      <c r="G590" s="415">
        <f>'Пр.6 ведом.20'!G590</f>
        <v>166.7</v>
      </c>
      <c r="H590" s="415">
        <f t="shared" si="26"/>
        <v>166.7</v>
      </c>
      <c r="I590" s="230"/>
    </row>
    <row r="591" spans="1:9" ht="15.75" x14ac:dyDescent="0.25">
      <c r="A591" s="25" t="s">
        <v>289</v>
      </c>
      <c r="B591" s="16">
        <v>906</v>
      </c>
      <c r="C591" s="20" t="s">
        <v>279</v>
      </c>
      <c r="D591" s="20" t="s">
        <v>133</v>
      </c>
      <c r="E591" s="20" t="s">
        <v>1024</v>
      </c>
      <c r="F591" s="20" t="s">
        <v>290</v>
      </c>
      <c r="G591" s="415">
        <f>'Пр.6 ведом.20'!G591</f>
        <v>166.7</v>
      </c>
      <c r="H591" s="415">
        <f t="shared" si="26"/>
        <v>166.7</v>
      </c>
      <c r="I591" s="230"/>
    </row>
    <row r="592" spans="1:9" ht="63" hidden="1" x14ac:dyDescent="0.25">
      <c r="A592" s="34" t="s">
        <v>804</v>
      </c>
      <c r="B592" s="19">
        <v>906</v>
      </c>
      <c r="C592" s="24" t="s">
        <v>279</v>
      </c>
      <c r="D592" s="24" t="s">
        <v>133</v>
      </c>
      <c r="E592" s="24" t="s">
        <v>339</v>
      </c>
      <c r="F592" s="24"/>
      <c r="G592" s="416">
        <f>G593</f>
        <v>0</v>
      </c>
      <c r="H592" s="416">
        <f>H593</f>
        <v>0</v>
      </c>
      <c r="I592" s="230"/>
    </row>
    <row r="593" spans="1:9" ht="63" hidden="1" x14ac:dyDescent="0.25">
      <c r="A593" s="34" t="s">
        <v>1168</v>
      </c>
      <c r="B593" s="19">
        <v>906</v>
      </c>
      <c r="C593" s="24" t="s">
        <v>279</v>
      </c>
      <c r="D593" s="24" t="s">
        <v>133</v>
      </c>
      <c r="E593" s="24" t="s">
        <v>1030</v>
      </c>
      <c r="F593" s="24"/>
      <c r="G593" s="416">
        <f>G594</f>
        <v>0</v>
      </c>
      <c r="H593" s="416">
        <f>H594</f>
        <v>0</v>
      </c>
      <c r="I593" s="230"/>
    </row>
    <row r="594" spans="1:9" ht="47.25" hidden="1" x14ac:dyDescent="0.25">
      <c r="A594" s="31" t="s">
        <v>1285</v>
      </c>
      <c r="B594" s="16">
        <v>906</v>
      </c>
      <c r="C594" s="20" t="s">
        <v>279</v>
      </c>
      <c r="D594" s="20" t="s">
        <v>133</v>
      </c>
      <c r="E594" s="20" t="s">
        <v>1031</v>
      </c>
      <c r="F594" s="20"/>
      <c r="G594" s="415">
        <f>'Пр.6 ведом.20'!G601</f>
        <v>0</v>
      </c>
      <c r="H594" s="415">
        <f t="shared" si="26"/>
        <v>0</v>
      </c>
      <c r="I594" s="230"/>
    </row>
    <row r="595" spans="1:9" ht="31.5" hidden="1" x14ac:dyDescent="0.25">
      <c r="A595" s="31" t="s">
        <v>287</v>
      </c>
      <c r="B595" s="16">
        <v>906</v>
      </c>
      <c r="C595" s="20" t="s">
        <v>279</v>
      </c>
      <c r="D595" s="20" t="s">
        <v>133</v>
      </c>
      <c r="E595" s="20" t="s">
        <v>1031</v>
      </c>
      <c r="F595" s="20" t="s">
        <v>288</v>
      </c>
      <c r="G595" s="415">
        <f>'Пр.6 ведом.20'!G602</f>
        <v>0</v>
      </c>
      <c r="H595" s="415">
        <f t="shared" si="26"/>
        <v>0</v>
      </c>
      <c r="I595" s="230"/>
    </row>
    <row r="596" spans="1:9" ht="15.75" hidden="1" x14ac:dyDescent="0.25">
      <c r="A596" s="31" t="s">
        <v>289</v>
      </c>
      <c r="B596" s="16">
        <v>906</v>
      </c>
      <c r="C596" s="20" t="s">
        <v>279</v>
      </c>
      <c r="D596" s="20" t="s">
        <v>133</v>
      </c>
      <c r="E596" s="20" t="s">
        <v>1031</v>
      </c>
      <c r="F596" s="20" t="s">
        <v>290</v>
      </c>
      <c r="G596" s="415">
        <f>'Пр.6 ведом.20'!G603</f>
        <v>0</v>
      </c>
      <c r="H596" s="415">
        <f t="shared" si="26"/>
        <v>0</v>
      </c>
      <c r="I596" s="230"/>
    </row>
    <row r="597" spans="1:9" s="229" customFormat="1" ht="94.5" x14ac:dyDescent="0.25">
      <c r="A597" s="23" t="s">
        <v>1426</v>
      </c>
      <c r="B597" s="19">
        <v>906</v>
      </c>
      <c r="C597" s="24" t="s">
        <v>279</v>
      </c>
      <c r="D597" s="24" t="s">
        <v>133</v>
      </c>
      <c r="E597" s="24" t="s">
        <v>1424</v>
      </c>
      <c r="F597" s="24"/>
      <c r="G597" s="416">
        <f>G598+G601</f>
        <v>1666.6</v>
      </c>
      <c r="H597" s="416">
        <f>H598+H601</f>
        <v>1666.6</v>
      </c>
      <c r="I597" s="230"/>
    </row>
    <row r="598" spans="1:9" s="229" customFormat="1" ht="78.75" x14ac:dyDescent="0.25">
      <c r="A598" s="153" t="s">
        <v>1429</v>
      </c>
      <c r="B598" s="16">
        <v>906</v>
      </c>
      <c r="C598" s="20" t="s">
        <v>279</v>
      </c>
      <c r="D598" s="20" t="s">
        <v>133</v>
      </c>
      <c r="E598" s="20" t="s">
        <v>1428</v>
      </c>
      <c r="F598" s="20"/>
      <c r="G598" s="415">
        <f>G599</f>
        <v>0</v>
      </c>
      <c r="H598" s="415">
        <f>H599</f>
        <v>0</v>
      </c>
      <c r="I598" s="230"/>
    </row>
    <row r="599" spans="1:9" s="229" customFormat="1" ht="31.5" x14ac:dyDescent="0.25">
      <c r="A599" s="25" t="s">
        <v>287</v>
      </c>
      <c r="B599" s="16">
        <v>906</v>
      </c>
      <c r="C599" s="20" t="s">
        <v>279</v>
      </c>
      <c r="D599" s="20" t="s">
        <v>133</v>
      </c>
      <c r="E599" s="20" t="s">
        <v>1428</v>
      </c>
      <c r="F599" s="20" t="s">
        <v>288</v>
      </c>
      <c r="G599" s="415">
        <f>G600</f>
        <v>0</v>
      </c>
      <c r="H599" s="415">
        <f>H600</f>
        <v>0</v>
      </c>
      <c r="I599" s="230"/>
    </row>
    <row r="600" spans="1:9" s="229" customFormat="1" ht="15.75" x14ac:dyDescent="0.25">
      <c r="A600" s="25" t="s">
        <v>289</v>
      </c>
      <c r="B600" s="16">
        <v>906</v>
      </c>
      <c r="C600" s="20" t="s">
        <v>279</v>
      </c>
      <c r="D600" s="20" t="s">
        <v>133</v>
      </c>
      <c r="E600" s="20" t="s">
        <v>1428</v>
      </c>
      <c r="F600" s="20" t="s">
        <v>290</v>
      </c>
      <c r="G600" s="415">
        <v>0</v>
      </c>
      <c r="H600" s="415">
        <v>0</v>
      </c>
      <c r="I600" s="230"/>
    </row>
    <row r="601" spans="1:9" s="229" customFormat="1" ht="94.5" x14ac:dyDescent="0.25">
      <c r="A601" s="153" t="s">
        <v>1425</v>
      </c>
      <c r="B601" s="16">
        <v>906</v>
      </c>
      <c r="C601" s="20" t="s">
        <v>279</v>
      </c>
      <c r="D601" s="20" t="s">
        <v>133</v>
      </c>
      <c r="E601" s="20" t="s">
        <v>1427</v>
      </c>
      <c r="F601" s="20"/>
      <c r="G601" s="415">
        <f>G602</f>
        <v>1666.6</v>
      </c>
      <c r="H601" s="415">
        <f>H602</f>
        <v>1666.6</v>
      </c>
      <c r="I601" s="230"/>
    </row>
    <row r="602" spans="1:9" s="229" customFormat="1" ht="31.5" x14ac:dyDescent="0.25">
      <c r="A602" s="25" t="s">
        <v>287</v>
      </c>
      <c r="B602" s="16">
        <v>906</v>
      </c>
      <c r="C602" s="20" t="s">
        <v>279</v>
      </c>
      <c r="D602" s="20" t="s">
        <v>133</v>
      </c>
      <c r="E602" s="20" t="s">
        <v>1427</v>
      </c>
      <c r="F602" s="20" t="s">
        <v>288</v>
      </c>
      <c r="G602" s="415">
        <f>G603</f>
        <v>1666.6</v>
      </c>
      <c r="H602" s="415">
        <f>H603</f>
        <v>1666.6</v>
      </c>
      <c r="I602" s="230"/>
    </row>
    <row r="603" spans="1:9" s="229" customFormat="1" ht="15.75" x14ac:dyDescent="0.25">
      <c r="A603" s="25" t="s">
        <v>289</v>
      </c>
      <c r="B603" s="16">
        <v>906</v>
      </c>
      <c r="C603" s="20" t="s">
        <v>279</v>
      </c>
      <c r="D603" s="20" t="s">
        <v>133</v>
      </c>
      <c r="E603" s="20" t="s">
        <v>1427</v>
      </c>
      <c r="F603" s="20" t="s">
        <v>290</v>
      </c>
      <c r="G603" s="415">
        <f>'Пр.6 ведом.20'!G598</f>
        <v>1666.6</v>
      </c>
      <c r="H603" s="415">
        <f>G603</f>
        <v>1666.6</v>
      </c>
      <c r="I603" s="230"/>
    </row>
    <row r="604" spans="1:9" ht="63" x14ac:dyDescent="0.25">
      <c r="A604" s="41" t="s">
        <v>729</v>
      </c>
      <c r="B604" s="19">
        <v>906</v>
      </c>
      <c r="C604" s="24" t="s">
        <v>279</v>
      </c>
      <c r="D604" s="24" t="s">
        <v>133</v>
      </c>
      <c r="E604" s="24" t="s">
        <v>727</v>
      </c>
      <c r="F604" s="285"/>
      <c r="G604" s="416">
        <f>G606</f>
        <v>464.3</v>
      </c>
      <c r="H604" s="416">
        <f>H606</f>
        <v>464.3</v>
      </c>
      <c r="I604" s="230"/>
    </row>
    <row r="605" spans="1:9" ht="47.25" x14ac:dyDescent="0.25">
      <c r="A605" s="41" t="s">
        <v>951</v>
      </c>
      <c r="B605" s="19">
        <v>906</v>
      </c>
      <c r="C605" s="24" t="s">
        <v>279</v>
      </c>
      <c r="D605" s="24" t="s">
        <v>133</v>
      </c>
      <c r="E605" s="24" t="s">
        <v>949</v>
      </c>
      <c r="F605" s="285"/>
      <c r="G605" s="416">
        <f>G606</f>
        <v>464.3</v>
      </c>
      <c r="H605" s="416">
        <f>H606</f>
        <v>464.3</v>
      </c>
      <c r="I605" s="230"/>
    </row>
    <row r="606" spans="1:9" ht="47.25" x14ac:dyDescent="0.25">
      <c r="A606" s="101" t="s">
        <v>802</v>
      </c>
      <c r="B606" s="16">
        <v>906</v>
      </c>
      <c r="C606" s="20" t="s">
        <v>279</v>
      </c>
      <c r="D606" s="20" t="s">
        <v>133</v>
      </c>
      <c r="E606" s="20" t="s">
        <v>1032</v>
      </c>
      <c r="F606" s="32"/>
      <c r="G606" s="415">
        <f>'Пр.6 ведом.20'!G606</f>
        <v>464.3</v>
      </c>
      <c r="H606" s="415">
        <f t="shared" si="26"/>
        <v>464.3</v>
      </c>
      <c r="I606" s="230"/>
    </row>
    <row r="607" spans="1:9" ht="31.5" x14ac:dyDescent="0.25">
      <c r="A607" s="29" t="s">
        <v>287</v>
      </c>
      <c r="B607" s="16">
        <v>906</v>
      </c>
      <c r="C607" s="20" t="s">
        <v>279</v>
      </c>
      <c r="D607" s="20" t="s">
        <v>133</v>
      </c>
      <c r="E607" s="20" t="s">
        <v>1032</v>
      </c>
      <c r="F607" s="32" t="s">
        <v>288</v>
      </c>
      <c r="G607" s="415">
        <f>'Пр.6 ведом.20'!G607</f>
        <v>464.3</v>
      </c>
      <c r="H607" s="415">
        <f t="shared" si="26"/>
        <v>464.3</v>
      </c>
      <c r="I607" s="230"/>
    </row>
    <row r="608" spans="1:9" ht="15.75" x14ac:dyDescent="0.25">
      <c r="A608" s="195" t="s">
        <v>289</v>
      </c>
      <c r="B608" s="16">
        <v>906</v>
      </c>
      <c r="C608" s="20" t="s">
        <v>279</v>
      </c>
      <c r="D608" s="20" t="s">
        <v>133</v>
      </c>
      <c r="E608" s="20" t="s">
        <v>1032</v>
      </c>
      <c r="F608" s="32" t="s">
        <v>290</v>
      </c>
      <c r="G608" s="415">
        <f>'Пр.6 ведом.20'!G608</f>
        <v>464.3</v>
      </c>
      <c r="H608" s="415">
        <f t="shared" si="26"/>
        <v>464.3</v>
      </c>
      <c r="I608" s="230"/>
    </row>
    <row r="609" spans="1:9" ht="15.75" x14ac:dyDescent="0.25">
      <c r="A609" s="23" t="s">
        <v>440</v>
      </c>
      <c r="B609" s="19">
        <v>906</v>
      </c>
      <c r="C609" s="24" t="s">
        <v>279</v>
      </c>
      <c r="D609" s="24" t="s">
        <v>228</v>
      </c>
      <c r="E609" s="24"/>
      <c r="F609" s="24"/>
      <c r="G609" s="416">
        <f>G610+G677+G682</f>
        <v>190807.17999999996</v>
      </c>
      <c r="H609" s="416">
        <f>H610+H677+H682</f>
        <v>190815.67999999996</v>
      </c>
      <c r="I609" s="230"/>
    </row>
    <row r="610" spans="1:9" ht="47.25" x14ac:dyDescent="0.25">
      <c r="A610" s="23" t="s">
        <v>1458</v>
      </c>
      <c r="B610" s="19">
        <v>906</v>
      </c>
      <c r="C610" s="24" t="s">
        <v>279</v>
      </c>
      <c r="D610" s="24" t="s">
        <v>228</v>
      </c>
      <c r="E610" s="24" t="s">
        <v>421</v>
      </c>
      <c r="F610" s="24"/>
      <c r="G610" s="416">
        <f>G611+G638</f>
        <v>190083.87999999998</v>
      </c>
      <c r="H610" s="416">
        <f>H611+H638</f>
        <v>190092.37999999998</v>
      </c>
      <c r="I610" s="230"/>
    </row>
    <row r="611" spans="1:9" ht="31.5" x14ac:dyDescent="0.25">
      <c r="A611" s="23" t="s">
        <v>422</v>
      </c>
      <c r="B611" s="19">
        <v>906</v>
      </c>
      <c r="C611" s="24" t="s">
        <v>279</v>
      </c>
      <c r="D611" s="24" t="s">
        <v>228</v>
      </c>
      <c r="E611" s="24" t="s">
        <v>423</v>
      </c>
      <c r="F611" s="24"/>
      <c r="G611" s="416">
        <f>G612+G622</f>
        <v>181239.77999999997</v>
      </c>
      <c r="H611" s="416">
        <f>H612+H622</f>
        <v>181239.77999999997</v>
      </c>
      <c r="I611" s="230"/>
    </row>
    <row r="612" spans="1:9" ht="31.5" x14ac:dyDescent="0.25">
      <c r="A612" s="23" t="s">
        <v>1033</v>
      </c>
      <c r="B612" s="19">
        <v>906</v>
      </c>
      <c r="C612" s="24" t="s">
        <v>279</v>
      </c>
      <c r="D612" s="24" t="s">
        <v>228</v>
      </c>
      <c r="E612" s="24" t="s">
        <v>1011</v>
      </c>
      <c r="F612" s="24"/>
      <c r="G612" s="416">
        <f>G613+G616+G619</f>
        <v>28803</v>
      </c>
      <c r="H612" s="416">
        <f>H613+H616+H619</f>
        <v>28803</v>
      </c>
      <c r="I612" s="230"/>
    </row>
    <row r="613" spans="1:9" ht="47.25" x14ac:dyDescent="0.25">
      <c r="A613" s="25" t="s">
        <v>1073</v>
      </c>
      <c r="B613" s="16">
        <v>906</v>
      </c>
      <c r="C613" s="20" t="s">
        <v>279</v>
      </c>
      <c r="D613" s="20" t="s">
        <v>228</v>
      </c>
      <c r="E613" s="20" t="s">
        <v>1070</v>
      </c>
      <c r="F613" s="20"/>
      <c r="G613" s="415">
        <f>'Пр.6 ведом.20'!G613</f>
        <v>9775.4000000000015</v>
      </c>
      <c r="H613" s="415">
        <f t="shared" si="26"/>
        <v>9775.4000000000015</v>
      </c>
      <c r="I613" s="230"/>
    </row>
    <row r="614" spans="1:9" ht="31.5" x14ac:dyDescent="0.25">
      <c r="A614" s="25" t="s">
        <v>287</v>
      </c>
      <c r="B614" s="16">
        <v>906</v>
      </c>
      <c r="C614" s="20" t="s">
        <v>279</v>
      </c>
      <c r="D614" s="20" t="s">
        <v>228</v>
      </c>
      <c r="E614" s="20" t="s">
        <v>1070</v>
      </c>
      <c r="F614" s="20" t="s">
        <v>288</v>
      </c>
      <c r="G614" s="415">
        <f>'Пр.6 ведом.20'!G614</f>
        <v>9775.4000000000015</v>
      </c>
      <c r="H614" s="415">
        <f t="shared" si="26"/>
        <v>9775.4000000000015</v>
      </c>
      <c r="I614" s="230"/>
    </row>
    <row r="615" spans="1:9" ht="15.75" x14ac:dyDescent="0.25">
      <c r="A615" s="25" t="s">
        <v>289</v>
      </c>
      <c r="B615" s="16">
        <v>906</v>
      </c>
      <c r="C615" s="20" t="s">
        <v>279</v>
      </c>
      <c r="D615" s="20" t="s">
        <v>228</v>
      </c>
      <c r="E615" s="20" t="s">
        <v>1070</v>
      </c>
      <c r="F615" s="20" t="s">
        <v>290</v>
      </c>
      <c r="G615" s="415">
        <f>'Пр.6 ведом.20'!G615</f>
        <v>9775.4000000000015</v>
      </c>
      <c r="H615" s="415">
        <f t="shared" si="26"/>
        <v>9775.4000000000015</v>
      </c>
      <c r="I615" s="230"/>
    </row>
    <row r="616" spans="1:9" ht="47.25" x14ac:dyDescent="0.25">
      <c r="A616" s="25" t="s">
        <v>1074</v>
      </c>
      <c r="B616" s="16">
        <v>906</v>
      </c>
      <c r="C616" s="20" t="s">
        <v>279</v>
      </c>
      <c r="D616" s="20" t="s">
        <v>228</v>
      </c>
      <c r="E616" s="20" t="s">
        <v>1071</v>
      </c>
      <c r="F616" s="20"/>
      <c r="G616" s="415">
        <f>'Пр.6 ведом.20'!G616</f>
        <v>12351.7</v>
      </c>
      <c r="H616" s="415">
        <f t="shared" si="26"/>
        <v>12351.7</v>
      </c>
      <c r="I616" s="230"/>
    </row>
    <row r="617" spans="1:9" ht="31.5" x14ac:dyDescent="0.25">
      <c r="A617" s="25" t="s">
        <v>287</v>
      </c>
      <c r="B617" s="16">
        <v>906</v>
      </c>
      <c r="C617" s="20" t="s">
        <v>279</v>
      </c>
      <c r="D617" s="20" t="s">
        <v>228</v>
      </c>
      <c r="E617" s="20" t="s">
        <v>1071</v>
      </c>
      <c r="F617" s="20" t="s">
        <v>288</v>
      </c>
      <c r="G617" s="415">
        <f>'Пр.6 ведом.20'!G617</f>
        <v>12351.7</v>
      </c>
      <c r="H617" s="415">
        <f t="shared" si="26"/>
        <v>12351.7</v>
      </c>
      <c r="I617" s="230"/>
    </row>
    <row r="618" spans="1:9" ht="15.75" x14ac:dyDescent="0.25">
      <c r="A618" s="25" t="s">
        <v>289</v>
      </c>
      <c r="B618" s="16">
        <v>906</v>
      </c>
      <c r="C618" s="20" t="s">
        <v>279</v>
      </c>
      <c r="D618" s="20" t="s">
        <v>228</v>
      </c>
      <c r="E618" s="20" t="s">
        <v>1071</v>
      </c>
      <c r="F618" s="20" t="s">
        <v>290</v>
      </c>
      <c r="G618" s="415">
        <f>'Пр.6 ведом.20'!G618</f>
        <v>12351.7</v>
      </c>
      <c r="H618" s="415">
        <f t="shared" si="26"/>
        <v>12351.7</v>
      </c>
      <c r="I618" s="230"/>
    </row>
    <row r="619" spans="1:9" ht="47.25" x14ac:dyDescent="0.25">
      <c r="A619" s="25" t="s">
        <v>1075</v>
      </c>
      <c r="B619" s="16">
        <v>906</v>
      </c>
      <c r="C619" s="20" t="s">
        <v>279</v>
      </c>
      <c r="D619" s="20" t="s">
        <v>228</v>
      </c>
      <c r="E619" s="20" t="s">
        <v>1072</v>
      </c>
      <c r="F619" s="20"/>
      <c r="G619" s="415">
        <f>'Пр.6 ведом.20'!G619</f>
        <v>6675.9</v>
      </c>
      <c r="H619" s="415">
        <f t="shared" si="26"/>
        <v>6675.9</v>
      </c>
      <c r="I619" s="230"/>
    </row>
    <row r="620" spans="1:9" ht="31.5" x14ac:dyDescent="0.25">
      <c r="A620" s="25" t="s">
        <v>287</v>
      </c>
      <c r="B620" s="16">
        <v>906</v>
      </c>
      <c r="C620" s="20" t="s">
        <v>279</v>
      </c>
      <c r="D620" s="20" t="s">
        <v>228</v>
      </c>
      <c r="E620" s="20" t="s">
        <v>1072</v>
      </c>
      <c r="F620" s="20" t="s">
        <v>288</v>
      </c>
      <c r="G620" s="415">
        <f>'Пр.6 ведом.20'!G620</f>
        <v>6675.9</v>
      </c>
      <c r="H620" s="415">
        <f t="shared" si="26"/>
        <v>6675.9</v>
      </c>
      <c r="I620" s="230"/>
    </row>
    <row r="621" spans="1:9" ht="15.75" x14ac:dyDescent="0.25">
      <c r="A621" s="25" t="s">
        <v>289</v>
      </c>
      <c r="B621" s="16">
        <v>906</v>
      </c>
      <c r="C621" s="20" t="s">
        <v>279</v>
      </c>
      <c r="D621" s="20" t="s">
        <v>228</v>
      </c>
      <c r="E621" s="20" t="s">
        <v>1072</v>
      </c>
      <c r="F621" s="20" t="s">
        <v>290</v>
      </c>
      <c r="G621" s="415">
        <f>'Пр.6 ведом.20'!G621</f>
        <v>6675.9</v>
      </c>
      <c r="H621" s="415">
        <f t="shared" si="26"/>
        <v>6675.9</v>
      </c>
      <c r="I621" s="230"/>
    </row>
    <row r="622" spans="1:9" ht="47.25" x14ac:dyDescent="0.25">
      <c r="A622" s="23" t="s">
        <v>973</v>
      </c>
      <c r="B622" s="19">
        <v>906</v>
      </c>
      <c r="C622" s="24" t="s">
        <v>279</v>
      </c>
      <c r="D622" s="24" t="s">
        <v>228</v>
      </c>
      <c r="E622" s="24" t="s">
        <v>1026</v>
      </c>
      <c r="F622" s="24"/>
      <c r="G622" s="315">
        <f>G623+G626+G629+G632+G635</f>
        <v>152436.77999999997</v>
      </c>
      <c r="H622" s="315">
        <f>H623+H626+H629+H632+H635</f>
        <v>152436.77999999997</v>
      </c>
      <c r="I622" s="230"/>
    </row>
    <row r="623" spans="1:9" ht="78.75" x14ac:dyDescent="0.25">
      <c r="A623" s="31" t="s">
        <v>475</v>
      </c>
      <c r="B623" s="16">
        <v>906</v>
      </c>
      <c r="C623" s="20" t="s">
        <v>279</v>
      </c>
      <c r="D623" s="20" t="s">
        <v>228</v>
      </c>
      <c r="E623" s="20" t="s">
        <v>1054</v>
      </c>
      <c r="F623" s="20"/>
      <c r="G623" s="415">
        <f>G624</f>
        <v>143160</v>
      </c>
      <c r="H623" s="415">
        <f>H624</f>
        <v>143160</v>
      </c>
      <c r="I623" s="230"/>
    </row>
    <row r="624" spans="1:9" ht="31.5" x14ac:dyDescent="0.25">
      <c r="A624" s="25" t="s">
        <v>287</v>
      </c>
      <c r="B624" s="16">
        <v>906</v>
      </c>
      <c r="C624" s="20" t="s">
        <v>279</v>
      </c>
      <c r="D624" s="20" t="s">
        <v>228</v>
      </c>
      <c r="E624" s="20" t="s">
        <v>1054</v>
      </c>
      <c r="F624" s="20" t="s">
        <v>288</v>
      </c>
      <c r="G624" s="415">
        <f>G625</f>
        <v>143160</v>
      </c>
      <c r="H624" s="415">
        <f>H625</f>
        <v>143160</v>
      </c>
      <c r="I624" s="230"/>
    </row>
    <row r="625" spans="1:9" ht="15.75" x14ac:dyDescent="0.25">
      <c r="A625" s="25" t="s">
        <v>289</v>
      </c>
      <c r="B625" s="16">
        <v>906</v>
      </c>
      <c r="C625" s="20" t="s">
        <v>279</v>
      </c>
      <c r="D625" s="20" t="s">
        <v>228</v>
      </c>
      <c r="E625" s="20" t="s">
        <v>1054</v>
      </c>
      <c r="F625" s="20" t="s">
        <v>290</v>
      </c>
      <c r="G625" s="415">
        <f>'Пр.6 ведом.20'!G625</f>
        <v>143160</v>
      </c>
      <c r="H625" s="415">
        <f t="shared" si="26"/>
        <v>143160</v>
      </c>
      <c r="I625" s="230"/>
    </row>
    <row r="626" spans="1:9" ht="63" x14ac:dyDescent="0.25">
      <c r="A626" s="31" t="s">
        <v>304</v>
      </c>
      <c r="B626" s="16">
        <v>906</v>
      </c>
      <c r="C626" s="20" t="s">
        <v>279</v>
      </c>
      <c r="D626" s="20" t="s">
        <v>228</v>
      </c>
      <c r="E626" s="20" t="s">
        <v>1025</v>
      </c>
      <c r="F626" s="20"/>
      <c r="G626" s="415">
        <f>'Пр.6 ведом.20'!G626</f>
        <v>1245.6099999999999</v>
      </c>
      <c r="H626" s="415">
        <f t="shared" si="26"/>
        <v>1245.6099999999999</v>
      </c>
      <c r="I626" s="230"/>
    </row>
    <row r="627" spans="1:9" ht="31.5" x14ac:dyDescent="0.25">
      <c r="A627" s="25" t="s">
        <v>287</v>
      </c>
      <c r="B627" s="16">
        <v>906</v>
      </c>
      <c r="C627" s="20" t="s">
        <v>279</v>
      </c>
      <c r="D627" s="20" t="s">
        <v>228</v>
      </c>
      <c r="E627" s="20" t="s">
        <v>1025</v>
      </c>
      <c r="F627" s="20" t="s">
        <v>288</v>
      </c>
      <c r="G627" s="415">
        <f>'Пр.6 ведом.20'!G627</f>
        <v>1245.6099999999999</v>
      </c>
      <c r="H627" s="415">
        <f t="shared" si="26"/>
        <v>1245.6099999999999</v>
      </c>
      <c r="I627" s="230"/>
    </row>
    <row r="628" spans="1:9" ht="15.75" x14ac:dyDescent="0.25">
      <c r="A628" s="25" t="s">
        <v>289</v>
      </c>
      <c r="B628" s="16">
        <v>906</v>
      </c>
      <c r="C628" s="20" t="s">
        <v>279</v>
      </c>
      <c r="D628" s="20" t="s">
        <v>228</v>
      </c>
      <c r="E628" s="20" t="s">
        <v>1025</v>
      </c>
      <c r="F628" s="20" t="s">
        <v>290</v>
      </c>
      <c r="G628" s="415">
        <f>'Пр.6 ведом.20'!G628</f>
        <v>1245.6099999999999</v>
      </c>
      <c r="H628" s="415">
        <f t="shared" si="26"/>
        <v>1245.6099999999999</v>
      </c>
      <c r="I628" s="230"/>
    </row>
    <row r="629" spans="1:9" ht="63" x14ac:dyDescent="0.25">
      <c r="A629" s="31" t="s">
        <v>306</v>
      </c>
      <c r="B629" s="16">
        <v>906</v>
      </c>
      <c r="C629" s="20" t="s">
        <v>279</v>
      </c>
      <c r="D629" s="20" t="s">
        <v>228</v>
      </c>
      <c r="E629" s="20" t="s">
        <v>1028</v>
      </c>
      <c r="F629" s="20"/>
      <c r="G629" s="415">
        <f>'Пр.6 ведом.20'!G629</f>
        <v>2266.7199999999998</v>
      </c>
      <c r="H629" s="415">
        <f t="shared" si="26"/>
        <v>2266.7199999999998</v>
      </c>
      <c r="I629" s="230"/>
    </row>
    <row r="630" spans="1:9" ht="31.5" x14ac:dyDescent="0.25">
      <c r="A630" s="25" t="s">
        <v>287</v>
      </c>
      <c r="B630" s="16">
        <v>906</v>
      </c>
      <c r="C630" s="20" t="s">
        <v>279</v>
      </c>
      <c r="D630" s="20" t="s">
        <v>228</v>
      </c>
      <c r="E630" s="20" t="s">
        <v>1028</v>
      </c>
      <c r="F630" s="20" t="s">
        <v>288</v>
      </c>
      <c r="G630" s="415">
        <f>'Пр.6 ведом.20'!G630</f>
        <v>2266.7199999999998</v>
      </c>
      <c r="H630" s="415">
        <f t="shared" si="26"/>
        <v>2266.7199999999998</v>
      </c>
      <c r="I630" s="230"/>
    </row>
    <row r="631" spans="1:9" ht="15.75" x14ac:dyDescent="0.25">
      <c r="A631" s="25" t="s">
        <v>289</v>
      </c>
      <c r="B631" s="16">
        <v>906</v>
      </c>
      <c r="C631" s="20" t="s">
        <v>279</v>
      </c>
      <c r="D631" s="20" t="s">
        <v>228</v>
      </c>
      <c r="E631" s="20" t="s">
        <v>1028</v>
      </c>
      <c r="F631" s="20" t="s">
        <v>290</v>
      </c>
      <c r="G631" s="415">
        <f>'Пр.6 ведом.20'!G631</f>
        <v>2266.7199999999998</v>
      </c>
      <c r="H631" s="415">
        <f t="shared" si="26"/>
        <v>2266.7199999999998</v>
      </c>
      <c r="I631" s="230"/>
    </row>
    <row r="632" spans="1:9" ht="47.25" x14ac:dyDescent="0.25">
      <c r="A632" s="31" t="s">
        <v>477</v>
      </c>
      <c r="B632" s="16">
        <v>906</v>
      </c>
      <c r="C632" s="20" t="s">
        <v>279</v>
      </c>
      <c r="D632" s="20" t="s">
        <v>228</v>
      </c>
      <c r="E632" s="20" t="s">
        <v>1055</v>
      </c>
      <c r="F632" s="20"/>
      <c r="G632" s="415">
        <f>'Пр.6 ведом.20'!G632</f>
        <v>923.4</v>
      </c>
      <c r="H632" s="415">
        <f t="shared" si="26"/>
        <v>923.4</v>
      </c>
      <c r="I632" s="230"/>
    </row>
    <row r="633" spans="1:9" ht="31.5" x14ac:dyDescent="0.25">
      <c r="A633" s="25" t="s">
        <v>287</v>
      </c>
      <c r="B633" s="16">
        <v>906</v>
      </c>
      <c r="C633" s="20" t="s">
        <v>279</v>
      </c>
      <c r="D633" s="20" t="s">
        <v>228</v>
      </c>
      <c r="E633" s="20" t="s">
        <v>1055</v>
      </c>
      <c r="F633" s="20" t="s">
        <v>288</v>
      </c>
      <c r="G633" s="415">
        <f>'Пр.6 ведом.20'!G633</f>
        <v>923.4</v>
      </c>
      <c r="H633" s="415">
        <f t="shared" si="26"/>
        <v>923.4</v>
      </c>
      <c r="I633" s="230"/>
    </row>
    <row r="634" spans="1:9" ht="15.75" x14ac:dyDescent="0.25">
      <c r="A634" s="25" t="s">
        <v>289</v>
      </c>
      <c r="B634" s="16">
        <v>906</v>
      </c>
      <c r="C634" s="20" t="s">
        <v>279</v>
      </c>
      <c r="D634" s="20" t="s">
        <v>228</v>
      </c>
      <c r="E634" s="20" t="s">
        <v>1055</v>
      </c>
      <c r="F634" s="20" t="s">
        <v>290</v>
      </c>
      <c r="G634" s="415">
        <f>'Пр.6 ведом.20'!G634</f>
        <v>923.4</v>
      </c>
      <c r="H634" s="415">
        <f t="shared" si="26"/>
        <v>923.4</v>
      </c>
      <c r="I634" s="230"/>
    </row>
    <row r="635" spans="1:9" ht="94.5" x14ac:dyDescent="0.25">
      <c r="A635" s="31" t="s">
        <v>479</v>
      </c>
      <c r="B635" s="16">
        <v>906</v>
      </c>
      <c r="C635" s="20" t="s">
        <v>279</v>
      </c>
      <c r="D635" s="20" t="s">
        <v>228</v>
      </c>
      <c r="E635" s="20" t="s">
        <v>1029</v>
      </c>
      <c r="F635" s="20"/>
      <c r="G635" s="415">
        <f>'Пр.6 ведом.20'!G635</f>
        <v>4841.0499999999993</v>
      </c>
      <c r="H635" s="415">
        <f t="shared" si="26"/>
        <v>4841.0499999999993</v>
      </c>
      <c r="I635" s="230"/>
    </row>
    <row r="636" spans="1:9" ht="31.5" x14ac:dyDescent="0.25">
      <c r="A636" s="25" t="s">
        <v>287</v>
      </c>
      <c r="B636" s="16">
        <v>906</v>
      </c>
      <c r="C636" s="20" t="s">
        <v>279</v>
      </c>
      <c r="D636" s="20" t="s">
        <v>228</v>
      </c>
      <c r="E636" s="20" t="s">
        <v>1029</v>
      </c>
      <c r="F636" s="20" t="s">
        <v>288</v>
      </c>
      <c r="G636" s="415">
        <f>'Пр.6 ведом.20'!G636</f>
        <v>4841.0499999999993</v>
      </c>
      <c r="H636" s="415">
        <f t="shared" si="26"/>
        <v>4841.0499999999993</v>
      </c>
      <c r="I636" s="230"/>
    </row>
    <row r="637" spans="1:9" ht="15.75" x14ac:dyDescent="0.25">
      <c r="A637" s="25" t="s">
        <v>289</v>
      </c>
      <c r="B637" s="16">
        <v>906</v>
      </c>
      <c r="C637" s="20" t="s">
        <v>279</v>
      </c>
      <c r="D637" s="20" t="s">
        <v>228</v>
      </c>
      <c r="E637" s="20" t="s">
        <v>1029</v>
      </c>
      <c r="F637" s="20" t="s">
        <v>290</v>
      </c>
      <c r="G637" s="415">
        <f>'Пр.6 ведом.20'!G637</f>
        <v>4841.0499999999993</v>
      </c>
      <c r="H637" s="415">
        <f t="shared" si="26"/>
        <v>4841.0499999999993</v>
      </c>
      <c r="I637" s="230"/>
    </row>
    <row r="638" spans="1:9" ht="31.5" x14ac:dyDescent="0.25">
      <c r="A638" s="353" t="s">
        <v>445</v>
      </c>
      <c r="B638" s="19">
        <v>906</v>
      </c>
      <c r="C638" s="24" t="s">
        <v>279</v>
      </c>
      <c r="D638" s="24" t="s">
        <v>228</v>
      </c>
      <c r="E638" s="24" t="s">
        <v>446</v>
      </c>
      <c r="F638" s="24"/>
      <c r="G638" s="416">
        <f>G639+G652+G659+G666+G673</f>
        <v>8844.0999999999985</v>
      </c>
      <c r="H638" s="416">
        <f>H639+H652+H659+H666+H673</f>
        <v>8852.5999999999985</v>
      </c>
      <c r="I638" s="230"/>
    </row>
    <row r="639" spans="1:9" ht="31.5" x14ac:dyDescent="0.25">
      <c r="A639" s="23" t="s">
        <v>1034</v>
      </c>
      <c r="B639" s="356">
        <v>906</v>
      </c>
      <c r="C639" s="24" t="s">
        <v>279</v>
      </c>
      <c r="D639" s="24" t="s">
        <v>228</v>
      </c>
      <c r="E639" s="24" t="s">
        <v>1035</v>
      </c>
      <c r="F639" s="24"/>
      <c r="G639" s="416">
        <f>G640+G643+G646+G649</f>
        <v>224</v>
      </c>
      <c r="H639" s="416">
        <f>H640+H643+H646+H649</f>
        <v>224</v>
      </c>
      <c r="I639" s="230"/>
    </row>
    <row r="640" spans="1:9" ht="31.5" hidden="1" x14ac:dyDescent="0.25">
      <c r="A640" s="25" t="s">
        <v>455</v>
      </c>
      <c r="B640" s="37">
        <v>906</v>
      </c>
      <c r="C640" s="20" t="s">
        <v>279</v>
      </c>
      <c r="D640" s="20" t="s">
        <v>228</v>
      </c>
      <c r="E640" s="20" t="s">
        <v>1039</v>
      </c>
      <c r="F640" s="20"/>
      <c r="G640" s="415">
        <f>'Пр.6 ведом.20'!G640</f>
        <v>0</v>
      </c>
      <c r="H640" s="415">
        <f t="shared" ref="H640:H701" si="27">G640</f>
        <v>0</v>
      </c>
      <c r="I640" s="230"/>
    </row>
    <row r="641" spans="1:9" ht="31.5" hidden="1" x14ac:dyDescent="0.25">
      <c r="A641" s="25" t="s">
        <v>287</v>
      </c>
      <c r="B641" s="37">
        <v>906</v>
      </c>
      <c r="C641" s="20" t="s">
        <v>279</v>
      </c>
      <c r="D641" s="20" t="s">
        <v>228</v>
      </c>
      <c r="E641" s="20" t="s">
        <v>1039</v>
      </c>
      <c r="F641" s="20" t="s">
        <v>288</v>
      </c>
      <c r="G641" s="415">
        <f>'Пр.6 ведом.20'!G641</f>
        <v>0</v>
      </c>
      <c r="H641" s="415">
        <f t="shared" si="27"/>
        <v>0</v>
      </c>
      <c r="I641" s="230"/>
    </row>
    <row r="642" spans="1:9" ht="15.75" hidden="1" x14ac:dyDescent="0.25">
      <c r="A642" s="25" t="s">
        <v>289</v>
      </c>
      <c r="B642" s="37">
        <v>906</v>
      </c>
      <c r="C642" s="20" t="s">
        <v>279</v>
      </c>
      <c r="D642" s="20" t="s">
        <v>228</v>
      </c>
      <c r="E642" s="20" t="s">
        <v>1039</v>
      </c>
      <c r="F642" s="20" t="s">
        <v>290</v>
      </c>
      <c r="G642" s="415">
        <f>'Пр.6 ведом.20'!G642</f>
        <v>0</v>
      </c>
      <c r="H642" s="415">
        <f t="shared" si="27"/>
        <v>0</v>
      </c>
      <c r="I642" s="230"/>
    </row>
    <row r="643" spans="1:9" ht="31.5" hidden="1" x14ac:dyDescent="0.25">
      <c r="A643" s="25" t="s">
        <v>293</v>
      </c>
      <c r="B643" s="37">
        <v>906</v>
      </c>
      <c r="C643" s="20" t="s">
        <v>279</v>
      </c>
      <c r="D643" s="20" t="s">
        <v>228</v>
      </c>
      <c r="E643" s="20" t="s">
        <v>1040</v>
      </c>
      <c r="F643" s="20"/>
      <c r="G643" s="415">
        <f>'Пр.6 ведом.20'!G643</f>
        <v>0</v>
      </c>
      <c r="H643" s="415">
        <f t="shared" si="27"/>
        <v>0</v>
      </c>
      <c r="I643" s="230"/>
    </row>
    <row r="644" spans="1:9" ht="31.5" hidden="1" x14ac:dyDescent="0.25">
      <c r="A644" s="25" t="s">
        <v>287</v>
      </c>
      <c r="B644" s="37">
        <v>906</v>
      </c>
      <c r="C644" s="20" t="s">
        <v>279</v>
      </c>
      <c r="D644" s="20" t="s">
        <v>228</v>
      </c>
      <c r="E644" s="20" t="s">
        <v>1040</v>
      </c>
      <c r="F644" s="20" t="s">
        <v>288</v>
      </c>
      <c r="G644" s="415">
        <f>'Пр.6 ведом.20'!G644</f>
        <v>0</v>
      </c>
      <c r="H644" s="415">
        <f t="shared" si="27"/>
        <v>0</v>
      </c>
      <c r="I644" s="230"/>
    </row>
    <row r="645" spans="1:9" ht="15.75" hidden="1" x14ac:dyDescent="0.25">
      <c r="A645" s="25" t="s">
        <v>289</v>
      </c>
      <c r="B645" s="37">
        <v>906</v>
      </c>
      <c r="C645" s="20" t="s">
        <v>279</v>
      </c>
      <c r="D645" s="20" t="s">
        <v>228</v>
      </c>
      <c r="E645" s="20" t="s">
        <v>1040</v>
      </c>
      <c r="F645" s="20" t="s">
        <v>290</v>
      </c>
      <c r="G645" s="415">
        <f>'Пр.6 ведом.20'!G645</f>
        <v>0</v>
      </c>
      <c r="H645" s="415">
        <f t="shared" si="27"/>
        <v>0</v>
      </c>
      <c r="I645" s="230"/>
    </row>
    <row r="646" spans="1:9" ht="31.5" hidden="1" x14ac:dyDescent="0.25">
      <c r="A646" s="25" t="s">
        <v>295</v>
      </c>
      <c r="B646" s="37">
        <v>906</v>
      </c>
      <c r="C646" s="20" t="s">
        <v>279</v>
      </c>
      <c r="D646" s="20" t="s">
        <v>228</v>
      </c>
      <c r="E646" s="20" t="s">
        <v>1041</v>
      </c>
      <c r="F646" s="20"/>
      <c r="G646" s="415">
        <f>'Пр.6 ведом.20'!G646</f>
        <v>0</v>
      </c>
      <c r="H646" s="415">
        <f t="shared" si="27"/>
        <v>0</v>
      </c>
      <c r="I646" s="230"/>
    </row>
    <row r="647" spans="1:9" ht="31.5" hidden="1" x14ac:dyDescent="0.25">
      <c r="A647" s="25" t="s">
        <v>287</v>
      </c>
      <c r="B647" s="37">
        <v>906</v>
      </c>
      <c r="C647" s="20" t="s">
        <v>279</v>
      </c>
      <c r="D647" s="20" t="s">
        <v>228</v>
      </c>
      <c r="E647" s="20" t="s">
        <v>1041</v>
      </c>
      <c r="F647" s="20" t="s">
        <v>288</v>
      </c>
      <c r="G647" s="415">
        <f>'Пр.6 ведом.20'!G647</f>
        <v>0</v>
      </c>
      <c r="H647" s="415">
        <f t="shared" si="27"/>
        <v>0</v>
      </c>
      <c r="I647" s="230"/>
    </row>
    <row r="648" spans="1:9" ht="15.75" hidden="1" x14ac:dyDescent="0.25">
      <c r="A648" s="25" t="s">
        <v>289</v>
      </c>
      <c r="B648" s="37">
        <v>906</v>
      </c>
      <c r="C648" s="20" t="s">
        <v>279</v>
      </c>
      <c r="D648" s="20" t="s">
        <v>228</v>
      </c>
      <c r="E648" s="20" t="s">
        <v>1041</v>
      </c>
      <c r="F648" s="20" t="s">
        <v>290</v>
      </c>
      <c r="G648" s="415">
        <f>'Пр.6 ведом.20'!G648</f>
        <v>0</v>
      </c>
      <c r="H648" s="415">
        <f t="shared" si="27"/>
        <v>0</v>
      </c>
      <c r="I648" s="230"/>
    </row>
    <row r="649" spans="1:9" ht="31.5" x14ac:dyDescent="0.25">
      <c r="A649" s="25" t="s">
        <v>297</v>
      </c>
      <c r="B649" s="37">
        <v>906</v>
      </c>
      <c r="C649" s="20" t="s">
        <v>279</v>
      </c>
      <c r="D649" s="20" t="s">
        <v>228</v>
      </c>
      <c r="E649" s="20" t="s">
        <v>1042</v>
      </c>
      <c r="F649" s="20"/>
      <c r="G649" s="415">
        <f>'Пр.6 ведом.20'!G649</f>
        <v>224</v>
      </c>
      <c r="H649" s="415">
        <f t="shared" si="27"/>
        <v>224</v>
      </c>
      <c r="I649" s="230"/>
    </row>
    <row r="650" spans="1:9" ht="31.5" x14ac:dyDescent="0.25">
      <c r="A650" s="25" t="s">
        <v>287</v>
      </c>
      <c r="B650" s="37">
        <v>906</v>
      </c>
      <c r="C650" s="20" t="s">
        <v>279</v>
      </c>
      <c r="D650" s="20" t="s">
        <v>228</v>
      </c>
      <c r="E650" s="20" t="s">
        <v>1042</v>
      </c>
      <c r="F650" s="20" t="s">
        <v>288</v>
      </c>
      <c r="G650" s="415">
        <f>'Пр.6 ведом.20'!G650</f>
        <v>224</v>
      </c>
      <c r="H650" s="415">
        <f t="shared" si="27"/>
        <v>224</v>
      </c>
      <c r="I650" s="230"/>
    </row>
    <row r="651" spans="1:9" ht="15.75" x14ac:dyDescent="0.25">
      <c r="A651" s="25" t="s">
        <v>289</v>
      </c>
      <c r="B651" s="37">
        <v>906</v>
      </c>
      <c r="C651" s="20" t="s">
        <v>279</v>
      </c>
      <c r="D651" s="20" t="s">
        <v>228</v>
      </c>
      <c r="E651" s="20" t="s">
        <v>1042</v>
      </c>
      <c r="F651" s="20" t="s">
        <v>290</v>
      </c>
      <c r="G651" s="415">
        <f>'Пр.6 ведом.20'!G651</f>
        <v>224</v>
      </c>
      <c r="H651" s="415">
        <f t="shared" si="27"/>
        <v>224</v>
      </c>
      <c r="I651" s="230"/>
    </row>
    <row r="652" spans="1:9" ht="31.5" x14ac:dyDescent="0.25">
      <c r="A652" s="23" t="s">
        <v>1036</v>
      </c>
      <c r="B652" s="356">
        <v>906</v>
      </c>
      <c r="C652" s="24" t="s">
        <v>279</v>
      </c>
      <c r="D652" s="24" t="s">
        <v>228</v>
      </c>
      <c r="E652" s="24" t="s">
        <v>1037</v>
      </c>
      <c r="F652" s="24"/>
      <c r="G652" s="416">
        <f>G653+G656</f>
        <v>3943.4</v>
      </c>
      <c r="H652" s="416">
        <f>H653+H656</f>
        <v>3951.9</v>
      </c>
      <c r="I652" s="230"/>
    </row>
    <row r="653" spans="1:9" ht="50.25" customHeight="1" x14ac:dyDescent="0.25">
      <c r="A653" s="271" t="s">
        <v>451</v>
      </c>
      <c r="B653" s="37">
        <v>906</v>
      </c>
      <c r="C653" s="20" t="s">
        <v>279</v>
      </c>
      <c r="D653" s="20" t="s">
        <v>228</v>
      </c>
      <c r="E653" s="20" t="s">
        <v>1043</v>
      </c>
      <c r="F653" s="20"/>
      <c r="G653" s="415">
        <f>'Пр.6 ведом.20'!G653</f>
        <v>2200</v>
      </c>
      <c r="H653" s="415">
        <f t="shared" si="27"/>
        <v>2200</v>
      </c>
      <c r="I653" s="230"/>
    </row>
    <row r="654" spans="1:9" ht="31.5" x14ac:dyDescent="0.25">
      <c r="A654" s="25" t="s">
        <v>287</v>
      </c>
      <c r="B654" s="37">
        <v>906</v>
      </c>
      <c r="C654" s="20" t="s">
        <v>279</v>
      </c>
      <c r="D654" s="20" t="s">
        <v>228</v>
      </c>
      <c r="E654" s="20" t="s">
        <v>1043</v>
      </c>
      <c r="F654" s="20" t="s">
        <v>288</v>
      </c>
      <c r="G654" s="415">
        <f>'Пр.6 ведом.20'!G654</f>
        <v>2200</v>
      </c>
      <c r="H654" s="415">
        <f t="shared" si="27"/>
        <v>2200</v>
      </c>
      <c r="I654" s="230"/>
    </row>
    <row r="655" spans="1:9" ht="15.75" x14ac:dyDescent="0.25">
      <c r="A655" s="25" t="s">
        <v>289</v>
      </c>
      <c r="B655" s="37">
        <v>906</v>
      </c>
      <c r="C655" s="20" t="s">
        <v>279</v>
      </c>
      <c r="D655" s="20" t="s">
        <v>228</v>
      </c>
      <c r="E655" s="20" t="s">
        <v>1043</v>
      </c>
      <c r="F655" s="20" t="s">
        <v>290</v>
      </c>
      <c r="G655" s="415">
        <f>'Пр.6 ведом.20'!G655</f>
        <v>2200</v>
      </c>
      <c r="H655" s="415">
        <f t="shared" si="27"/>
        <v>2200</v>
      </c>
      <c r="I655" s="230"/>
    </row>
    <row r="656" spans="1:9" ht="31.5" x14ac:dyDescent="0.25">
      <c r="A656" s="25" t="s">
        <v>471</v>
      </c>
      <c r="B656" s="37">
        <v>906</v>
      </c>
      <c r="C656" s="20" t="s">
        <v>279</v>
      </c>
      <c r="D656" s="20" t="s">
        <v>228</v>
      </c>
      <c r="E656" s="20" t="s">
        <v>1044</v>
      </c>
      <c r="F656" s="20"/>
      <c r="G656" s="415">
        <f>G657</f>
        <v>1743.4</v>
      </c>
      <c r="H656" s="415">
        <f>H657</f>
        <v>1751.9</v>
      </c>
      <c r="I656" s="230"/>
    </row>
    <row r="657" spans="1:9" ht="31.5" x14ac:dyDescent="0.25">
      <c r="A657" s="25" t="s">
        <v>287</v>
      </c>
      <c r="B657" s="37">
        <v>906</v>
      </c>
      <c r="C657" s="20" t="s">
        <v>279</v>
      </c>
      <c r="D657" s="20" t="s">
        <v>228</v>
      </c>
      <c r="E657" s="20" t="s">
        <v>1044</v>
      </c>
      <c r="F657" s="20" t="s">
        <v>288</v>
      </c>
      <c r="G657" s="415">
        <f>G658</f>
        <v>1743.4</v>
      </c>
      <c r="H657" s="415">
        <f>H658</f>
        <v>1751.9</v>
      </c>
      <c r="I657" s="230"/>
    </row>
    <row r="658" spans="1:9" ht="15.75" x14ac:dyDescent="0.25">
      <c r="A658" s="25" t="s">
        <v>289</v>
      </c>
      <c r="B658" s="37">
        <v>906</v>
      </c>
      <c r="C658" s="20" t="s">
        <v>279</v>
      </c>
      <c r="D658" s="20" t="s">
        <v>228</v>
      </c>
      <c r="E658" s="20" t="s">
        <v>1044</v>
      </c>
      <c r="F658" s="20" t="s">
        <v>290</v>
      </c>
      <c r="G658" s="415">
        <v>1743.4</v>
      </c>
      <c r="H658" s="415">
        <v>1751.9</v>
      </c>
      <c r="I658" s="230"/>
    </row>
    <row r="659" spans="1:9" ht="31.5" x14ac:dyDescent="0.25">
      <c r="A659" s="23" t="s">
        <v>1038</v>
      </c>
      <c r="B659" s="356">
        <v>906</v>
      </c>
      <c r="C659" s="24" t="s">
        <v>279</v>
      </c>
      <c r="D659" s="24" t="s">
        <v>228</v>
      </c>
      <c r="E659" s="24" t="s">
        <v>1045</v>
      </c>
      <c r="F659" s="24"/>
      <c r="G659" s="315">
        <f>G660+G663</f>
        <v>1364.7</v>
      </c>
      <c r="H659" s="315">
        <f>H660+H663</f>
        <v>1364.7</v>
      </c>
      <c r="I659" s="230"/>
    </row>
    <row r="660" spans="1:9" ht="47.25" x14ac:dyDescent="0.25">
      <c r="A660" s="25" t="s">
        <v>453</v>
      </c>
      <c r="B660" s="37">
        <v>906</v>
      </c>
      <c r="C660" s="20" t="s">
        <v>279</v>
      </c>
      <c r="D660" s="20" t="s">
        <v>228</v>
      </c>
      <c r="E660" s="20" t="s">
        <v>1046</v>
      </c>
      <c r="F660" s="20"/>
      <c r="G660" s="415">
        <f>'Пр.6 ведом.20'!G660</f>
        <v>868</v>
      </c>
      <c r="H660" s="415">
        <f t="shared" si="27"/>
        <v>868</v>
      </c>
      <c r="I660" s="230"/>
    </row>
    <row r="661" spans="1:9" ht="31.5" x14ac:dyDescent="0.25">
      <c r="A661" s="25" t="s">
        <v>287</v>
      </c>
      <c r="B661" s="37">
        <v>906</v>
      </c>
      <c r="C661" s="20" t="s">
        <v>279</v>
      </c>
      <c r="D661" s="20" t="s">
        <v>228</v>
      </c>
      <c r="E661" s="20" t="s">
        <v>1046</v>
      </c>
      <c r="F661" s="20" t="s">
        <v>288</v>
      </c>
      <c r="G661" s="415">
        <f>'Пр.6 ведом.20'!G661</f>
        <v>868</v>
      </c>
      <c r="H661" s="415">
        <f t="shared" si="27"/>
        <v>868</v>
      </c>
      <c r="I661" s="230"/>
    </row>
    <row r="662" spans="1:9" ht="15.75" x14ac:dyDescent="0.25">
      <c r="A662" s="25" t="s">
        <v>289</v>
      </c>
      <c r="B662" s="37">
        <v>906</v>
      </c>
      <c r="C662" s="20" t="s">
        <v>279</v>
      </c>
      <c r="D662" s="20" t="s">
        <v>228</v>
      </c>
      <c r="E662" s="20" t="s">
        <v>1046</v>
      </c>
      <c r="F662" s="20" t="s">
        <v>290</v>
      </c>
      <c r="G662" s="415">
        <f>'Пр.6 ведом.20'!G662</f>
        <v>868</v>
      </c>
      <c r="H662" s="415">
        <f t="shared" si="27"/>
        <v>868</v>
      </c>
      <c r="I662" s="230"/>
    </row>
    <row r="663" spans="1:9" ht="47.25" x14ac:dyDescent="0.25">
      <c r="A663" s="25" t="s">
        <v>473</v>
      </c>
      <c r="B663" s="37">
        <v>906</v>
      </c>
      <c r="C663" s="20" t="s">
        <v>279</v>
      </c>
      <c r="D663" s="20" t="s">
        <v>228</v>
      </c>
      <c r="E663" s="20" t="s">
        <v>1047</v>
      </c>
      <c r="F663" s="20"/>
      <c r="G663" s="415">
        <f>'Пр.6 ведом.20'!G663</f>
        <v>496.7</v>
      </c>
      <c r="H663" s="415">
        <f t="shared" si="27"/>
        <v>496.7</v>
      </c>
      <c r="I663" s="230"/>
    </row>
    <row r="664" spans="1:9" ht="31.5" x14ac:dyDescent="0.25">
      <c r="A664" s="354" t="s">
        <v>287</v>
      </c>
      <c r="B664" s="16">
        <v>906</v>
      </c>
      <c r="C664" s="20" t="s">
        <v>279</v>
      </c>
      <c r="D664" s="20" t="s">
        <v>228</v>
      </c>
      <c r="E664" s="20" t="s">
        <v>1047</v>
      </c>
      <c r="F664" s="20" t="s">
        <v>288</v>
      </c>
      <c r="G664" s="415">
        <f>'Пр.6 ведом.20'!G664</f>
        <v>496.7</v>
      </c>
      <c r="H664" s="415">
        <f t="shared" si="27"/>
        <v>496.7</v>
      </c>
      <c r="I664" s="230"/>
    </row>
    <row r="665" spans="1:9" ht="15.75" x14ac:dyDescent="0.25">
      <c r="A665" s="25" t="s">
        <v>289</v>
      </c>
      <c r="B665" s="16">
        <v>906</v>
      </c>
      <c r="C665" s="20" t="s">
        <v>279</v>
      </c>
      <c r="D665" s="20" t="s">
        <v>228</v>
      </c>
      <c r="E665" s="20" t="s">
        <v>1047</v>
      </c>
      <c r="F665" s="20" t="s">
        <v>290</v>
      </c>
      <c r="G665" s="415">
        <f>'Пр.6 ведом.20'!G665</f>
        <v>496.7</v>
      </c>
      <c r="H665" s="415">
        <f t="shared" si="27"/>
        <v>496.7</v>
      </c>
      <c r="I665" s="230"/>
    </row>
    <row r="666" spans="1:9" ht="31.5" x14ac:dyDescent="0.25">
      <c r="A666" s="281" t="s">
        <v>1082</v>
      </c>
      <c r="B666" s="19">
        <v>906</v>
      </c>
      <c r="C666" s="24" t="s">
        <v>279</v>
      </c>
      <c r="D666" s="24" t="s">
        <v>228</v>
      </c>
      <c r="E666" s="24" t="s">
        <v>1048</v>
      </c>
      <c r="F666" s="24"/>
      <c r="G666" s="315">
        <f>G667+G670</f>
        <v>2634</v>
      </c>
      <c r="H666" s="315">
        <f>H667+H670</f>
        <v>2634</v>
      </c>
      <c r="I666" s="230"/>
    </row>
    <row r="667" spans="1:9" ht="31.5" hidden="1" x14ac:dyDescent="0.25">
      <c r="A667" s="25" t="s">
        <v>816</v>
      </c>
      <c r="B667" s="16">
        <v>906</v>
      </c>
      <c r="C667" s="20" t="s">
        <v>279</v>
      </c>
      <c r="D667" s="20" t="s">
        <v>228</v>
      </c>
      <c r="E667" s="20" t="s">
        <v>1050</v>
      </c>
      <c r="F667" s="20"/>
      <c r="G667" s="415">
        <f>'Пр.6 ведом.20'!G667</f>
        <v>0</v>
      </c>
      <c r="H667" s="415">
        <f t="shared" si="27"/>
        <v>0</v>
      </c>
      <c r="I667" s="230"/>
    </row>
    <row r="668" spans="1:9" ht="31.5" hidden="1" x14ac:dyDescent="0.25">
      <c r="A668" s="25" t="s">
        <v>287</v>
      </c>
      <c r="B668" s="16">
        <v>906</v>
      </c>
      <c r="C668" s="20" t="s">
        <v>279</v>
      </c>
      <c r="D668" s="20" t="s">
        <v>228</v>
      </c>
      <c r="E668" s="20" t="s">
        <v>1050</v>
      </c>
      <c r="F668" s="20" t="s">
        <v>288</v>
      </c>
      <c r="G668" s="415">
        <f>'Пр.6 ведом.20'!G668</f>
        <v>0</v>
      </c>
      <c r="H668" s="415">
        <f t="shared" si="27"/>
        <v>0</v>
      </c>
      <c r="I668" s="230"/>
    </row>
    <row r="669" spans="1:9" ht="15.75" hidden="1" x14ac:dyDescent="0.25">
      <c r="A669" s="25" t="s">
        <v>289</v>
      </c>
      <c r="B669" s="16">
        <v>906</v>
      </c>
      <c r="C669" s="20" t="s">
        <v>279</v>
      </c>
      <c r="D669" s="20" t="s">
        <v>228</v>
      </c>
      <c r="E669" s="20" t="s">
        <v>1050</v>
      </c>
      <c r="F669" s="20" t="s">
        <v>290</v>
      </c>
      <c r="G669" s="415">
        <f>'Пр.6 ведом.20'!G669</f>
        <v>0</v>
      </c>
      <c r="H669" s="415">
        <f t="shared" si="27"/>
        <v>0</v>
      </c>
      <c r="I669" s="230"/>
    </row>
    <row r="670" spans="1:9" ht="31.5" x14ac:dyDescent="0.25">
      <c r="A670" s="60" t="s">
        <v>786</v>
      </c>
      <c r="B670" s="16">
        <v>906</v>
      </c>
      <c r="C670" s="20" t="s">
        <v>279</v>
      </c>
      <c r="D670" s="20" t="s">
        <v>228</v>
      </c>
      <c r="E670" s="20" t="s">
        <v>1051</v>
      </c>
      <c r="F670" s="20"/>
      <c r="G670" s="415">
        <f>'Пр.6 ведом.20'!G670</f>
        <v>2634</v>
      </c>
      <c r="H670" s="415">
        <f t="shared" si="27"/>
        <v>2634</v>
      </c>
      <c r="I670" s="230"/>
    </row>
    <row r="671" spans="1:9" ht="31.5" x14ac:dyDescent="0.25">
      <c r="A671" s="29" t="s">
        <v>287</v>
      </c>
      <c r="B671" s="16">
        <v>906</v>
      </c>
      <c r="C671" s="20" t="s">
        <v>279</v>
      </c>
      <c r="D671" s="20" t="s">
        <v>228</v>
      </c>
      <c r="E671" s="20" t="s">
        <v>1051</v>
      </c>
      <c r="F671" s="20" t="s">
        <v>288</v>
      </c>
      <c r="G671" s="415">
        <f>'Пр.6 ведом.20'!G671</f>
        <v>2634</v>
      </c>
      <c r="H671" s="415">
        <f t="shared" si="27"/>
        <v>2634</v>
      </c>
      <c r="I671" s="230"/>
    </row>
    <row r="672" spans="1:9" ht="15.75" x14ac:dyDescent="0.25">
      <c r="A672" s="195" t="s">
        <v>289</v>
      </c>
      <c r="B672" s="16">
        <v>906</v>
      </c>
      <c r="C672" s="20" t="s">
        <v>279</v>
      </c>
      <c r="D672" s="20" t="s">
        <v>228</v>
      </c>
      <c r="E672" s="20" t="s">
        <v>1051</v>
      </c>
      <c r="F672" s="20" t="s">
        <v>290</v>
      </c>
      <c r="G672" s="415">
        <f>'Пр.6 ведом.20'!G672</f>
        <v>2634</v>
      </c>
      <c r="H672" s="415">
        <f t="shared" si="27"/>
        <v>2634</v>
      </c>
      <c r="I672" s="230"/>
    </row>
    <row r="673" spans="1:9" ht="31.5" x14ac:dyDescent="0.25">
      <c r="A673" s="279" t="s">
        <v>1053</v>
      </c>
      <c r="B673" s="19">
        <v>906</v>
      </c>
      <c r="C673" s="24" t="s">
        <v>279</v>
      </c>
      <c r="D673" s="24" t="s">
        <v>228</v>
      </c>
      <c r="E673" s="24" t="s">
        <v>1049</v>
      </c>
      <c r="F673" s="24"/>
      <c r="G673" s="416">
        <f>G674</f>
        <v>678</v>
      </c>
      <c r="H673" s="416">
        <f>H674</f>
        <v>678</v>
      </c>
      <c r="I673" s="230"/>
    </row>
    <row r="674" spans="1:9" ht="47.25" x14ac:dyDescent="0.25">
      <c r="A674" s="195" t="s">
        <v>875</v>
      </c>
      <c r="B674" s="16">
        <v>906</v>
      </c>
      <c r="C674" s="20" t="s">
        <v>279</v>
      </c>
      <c r="D674" s="20" t="s">
        <v>228</v>
      </c>
      <c r="E674" s="20" t="s">
        <v>1052</v>
      </c>
      <c r="F674" s="20"/>
      <c r="G674" s="415">
        <f>'Пр.6 ведом.20'!G674</f>
        <v>678</v>
      </c>
      <c r="H674" s="415">
        <f t="shared" si="27"/>
        <v>678</v>
      </c>
      <c r="I674" s="230"/>
    </row>
    <row r="675" spans="1:9" ht="31.5" x14ac:dyDescent="0.25">
      <c r="A675" s="31" t="s">
        <v>287</v>
      </c>
      <c r="B675" s="16">
        <v>906</v>
      </c>
      <c r="C675" s="20" t="s">
        <v>279</v>
      </c>
      <c r="D675" s="20" t="s">
        <v>228</v>
      </c>
      <c r="E675" s="20" t="s">
        <v>1052</v>
      </c>
      <c r="F675" s="20" t="s">
        <v>288</v>
      </c>
      <c r="G675" s="415">
        <f>'Пр.6 ведом.20'!G675</f>
        <v>678</v>
      </c>
      <c r="H675" s="415">
        <f t="shared" si="27"/>
        <v>678</v>
      </c>
      <c r="I675" s="230"/>
    </row>
    <row r="676" spans="1:9" ht="15.75" x14ac:dyDescent="0.25">
      <c r="A676" s="31" t="s">
        <v>289</v>
      </c>
      <c r="B676" s="16">
        <v>906</v>
      </c>
      <c r="C676" s="20" t="s">
        <v>279</v>
      </c>
      <c r="D676" s="20" t="s">
        <v>228</v>
      </c>
      <c r="E676" s="20" t="s">
        <v>1052</v>
      </c>
      <c r="F676" s="20" t="s">
        <v>290</v>
      </c>
      <c r="G676" s="415">
        <f>'Пр.6 ведом.20'!G676</f>
        <v>678</v>
      </c>
      <c r="H676" s="415">
        <f t="shared" si="27"/>
        <v>678</v>
      </c>
      <c r="I676" s="230"/>
    </row>
    <row r="677" spans="1:9" ht="63" hidden="1" x14ac:dyDescent="0.25">
      <c r="A677" s="34" t="s">
        <v>804</v>
      </c>
      <c r="B677" s="19">
        <v>906</v>
      </c>
      <c r="C677" s="24" t="s">
        <v>279</v>
      </c>
      <c r="D677" s="24" t="s">
        <v>228</v>
      </c>
      <c r="E677" s="24" t="s">
        <v>339</v>
      </c>
      <c r="F677" s="24"/>
      <c r="G677" s="416">
        <f>G678</f>
        <v>0</v>
      </c>
      <c r="H677" s="416">
        <f>H678</f>
        <v>0</v>
      </c>
      <c r="I677" s="230"/>
    </row>
    <row r="678" spans="1:9" ht="63" hidden="1" x14ac:dyDescent="0.25">
      <c r="A678" s="34" t="s">
        <v>1197</v>
      </c>
      <c r="B678" s="19">
        <v>906</v>
      </c>
      <c r="C678" s="24" t="s">
        <v>279</v>
      </c>
      <c r="D678" s="24" t="s">
        <v>228</v>
      </c>
      <c r="E678" s="24" t="s">
        <v>1030</v>
      </c>
      <c r="F678" s="24"/>
      <c r="G678" s="416">
        <f>G679</f>
        <v>0</v>
      </c>
      <c r="H678" s="416">
        <f>H679</f>
        <v>0</v>
      </c>
      <c r="I678" s="230"/>
    </row>
    <row r="679" spans="1:9" ht="47.25" hidden="1" x14ac:dyDescent="0.25">
      <c r="A679" s="31" t="s">
        <v>1285</v>
      </c>
      <c r="B679" s="16">
        <v>906</v>
      </c>
      <c r="C679" s="20" t="s">
        <v>279</v>
      </c>
      <c r="D679" s="20" t="s">
        <v>228</v>
      </c>
      <c r="E679" s="20" t="s">
        <v>1031</v>
      </c>
      <c r="F679" s="20"/>
      <c r="G679" s="415">
        <f>'Пр.6 ведом.20'!G679</f>
        <v>0</v>
      </c>
      <c r="H679" s="415">
        <f t="shared" si="27"/>
        <v>0</v>
      </c>
      <c r="I679" s="230"/>
    </row>
    <row r="680" spans="1:9" ht="31.5" hidden="1" x14ac:dyDescent="0.25">
      <c r="A680" s="31" t="s">
        <v>287</v>
      </c>
      <c r="B680" s="16">
        <v>906</v>
      </c>
      <c r="C680" s="20" t="s">
        <v>279</v>
      </c>
      <c r="D680" s="20" t="s">
        <v>228</v>
      </c>
      <c r="E680" s="20" t="s">
        <v>1031</v>
      </c>
      <c r="F680" s="20" t="s">
        <v>288</v>
      </c>
      <c r="G680" s="415">
        <f>'Пр.6 ведом.20'!G680</f>
        <v>0</v>
      </c>
      <c r="H680" s="415">
        <f t="shared" si="27"/>
        <v>0</v>
      </c>
      <c r="I680" s="230"/>
    </row>
    <row r="681" spans="1:9" ht="15.75" hidden="1" x14ac:dyDescent="0.25">
      <c r="A681" s="31" t="s">
        <v>289</v>
      </c>
      <c r="B681" s="16">
        <v>906</v>
      </c>
      <c r="C681" s="20" t="s">
        <v>279</v>
      </c>
      <c r="D681" s="20" t="s">
        <v>228</v>
      </c>
      <c r="E681" s="20" t="s">
        <v>1031</v>
      </c>
      <c r="F681" s="20" t="s">
        <v>290</v>
      </c>
      <c r="G681" s="415">
        <f>'Пр.6 ведом.20'!G681</f>
        <v>0</v>
      </c>
      <c r="H681" s="415">
        <f t="shared" si="27"/>
        <v>0</v>
      </c>
      <c r="I681" s="230"/>
    </row>
    <row r="682" spans="1:9" ht="63" x14ac:dyDescent="0.25">
      <c r="A682" s="41" t="s">
        <v>1452</v>
      </c>
      <c r="B682" s="19">
        <v>906</v>
      </c>
      <c r="C682" s="24" t="s">
        <v>279</v>
      </c>
      <c r="D682" s="24" t="s">
        <v>228</v>
      </c>
      <c r="E682" s="24" t="s">
        <v>727</v>
      </c>
      <c r="F682" s="285"/>
      <c r="G682" s="416">
        <f>G683</f>
        <v>723.3</v>
      </c>
      <c r="H682" s="416">
        <f>H683</f>
        <v>723.3</v>
      </c>
      <c r="I682" s="230"/>
    </row>
    <row r="683" spans="1:9" ht="47.25" x14ac:dyDescent="0.25">
      <c r="A683" s="41" t="s">
        <v>951</v>
      </c>
      <c r="B683" s="19">
        <v>906</v>
      </c>
      <c r="C683" s="24" t="s">
        <v>279</v>
      </c>
      <c r="D683" s="24" t="s">
        <v>228</v>
      </c>
      <c r="E683" s="24" t="s">
        <v>949</v>
      </c>
      <c r="F683" s="285"/>
      <c r="G683" s="416">
        <f>G684</f>
        <v>723.3</v>
      </c>
      <c r="H683" s="416">
        <f>H684</f>
        <v>723.3</v>
      </c>
      <c r="I683" s="230"/>
    </row>
    <row r="684" spans="1:9" ht="47.25" x14ac:dyDescent="0.25">
      <c r="A684" s="101" t="s">
        <v>802</v>
      </c>
      <c r="B684" s="16">
        <v>906</v>
      </c>
      <c r="C684" s="20" t="s">
        <v>279</v>
      </c>
      <c r="D684" s="20" t="s">
        <v>228</v>
      </c>
      <c r="E684" s="20" t="s">
        <v>1032</v>
      </c>
      <c r="F684" s="32"/>
      <c r="G684" s="415">
        <f>'Пр.6 ведом.20'!G688</f>
        <v>723.3</v>
      </c>
      <c r="H684" s="415">
        <f t="shared" si="27"/>
        <v>723.3</v>
      </c>
      <c r="I684" s="230"/>
    </row>
    <row r="685" spans="1:9" ht="31.5" x14ac:dyDescent="0.25">
      <c r="A685" s="29" t="s">
        <v>287</v>
      </c>
      <c r="B685" s="16">
        <v>906</v>
      </c>
      <c r="C685" s="20" t="s">
        <v>279</v>
      </c>
      <c r="D685" s="20" t="s">
        <v>228</v>
      </c>
      <c r="E685" s="20" t="s">
        <v>1032</v>
      </c>
      <c r="F685" s="32" t="s">
        <v>288</v>
      </c>
      <c r="G685" s="415">
        <f>'Пр.6 ведом.20'!G689</f>
        <v>723.3</v>
      </c>
      <c r="H685" s="415">
        <f t="shared" si="27"/>
        <v>723.3</v>
      </c>
      <c r="I685" s="230"/>
    </row>
    <row r="686" spans="1:9" ht="15.75" x14ac:dyDescent="0.25">
      <c r="A686" s="195" t="s">
        <v>289</v>
      </c>
      <c r="B686" s="16">
        <v>906</v>
      </c>
      <c r="C686" s="20" t="s">
        <v>279</v>
      </c>
      <c r="D686" s="20" t="s">
        <v>228</v>
      </c>
      <c r="E686" s="20" t="s">
        <v>1032</v>
      </c>
      <c r="F686" s="32" t="s">
        <v>290</v>
      </c>
      <c r="G686" s="415">
        <f>'Пр.6 ведом.20'!G690</f>
        <v>723.3</v>
      </c>
      <c r="H686" s="415">
        <f t="shared" si="27"/>
        <v>723.3</v>
      </c>
      <c r="I686" s="230"/>
    </row>
    <row r="687" spans="1:9" ht="15.75" x14ac:dyDescent="0.25">
      <c r="A687" s="23" t="s">
        <v>280</v>
      </c>
      <c r="B687" s="19">
        <v>906</v>
      </c>
      <c r="C687" s="24" t="s">
        <v>279</v>
      </c>
      <c r="D687" s="24" t="s">
        <v>230</v>
      </c>
      <c r="E687" s="24"/>
      <c r="F687" s="24"/>
      <c r="G687" s="315">
        <f>G688+G713</f>
        <v>35226.839999999997</v>
      </c>
      <c r="H687" s="315">
        <f>H688+H713</f>
        <v>35226.839999999997</v>
      </c>
      <c r="I687" s="230"/>
    </row>
    <row r="688" spans="1:9" ht="47.25" x14ac:dyDescent="0.25">
      <c r="A688" s="23" t="s">
        <v>441</v>
      </c>
      <c r="B688" s="19">
        <v>906</v>
      </c>
      <c r="C688" s="24" t="s">
        <v>279</v>
      </c>
      <c r="D688" s="24" t="s">
        <v>230</v>
      </c>
      <c r="E688" s="24" t="s">
        <v>421</v>
      </c>
      <c r="F688" s="24"/>
      <c r="G688" s="315">
        <f>G689+G704</f>
        <v>34926.14</v>
      </c>
      <c r="H688" s="315">
        <f>H689+H704</f>
        <v>34926.14</v>
      </c>
      <c r="I688" s="230"/>
    </row>
    <row r="689" spans="1:9" ht="31.5" x14ac:dyDescent="0.25">
      <c r="A689" s="23" t="s">
        <v>422</v>
      </c>
      <c r="B689" s="19">
        <v>906</v>
      </c>
      <c r="C689" s="24" t="s">
        <v>279</v>
      </c>
      <c r="D689" s="24" t="s">
        <v>230</v>
      </c>
      <c r="E689" s="24" t="s">
        <v>423</v>
      </c>
      <c r="F689" s="24"/>
      <c r="G689" s="315">
        <f>G691+G694</f>
        <v>34237.14</v>
      </c>
      <c r="H689" s="315">
        <f>H691+H694</f>
        <v>34237.14</v>
      </c>
      <c r="I689" s="230"/>
    </row>
    <row r="690" spans="1:9" ht="31.5" x14ac:dyDescent="0.25">
      <c r="A690" s="23" t="s">
        <v>1033</v>
      </c>
      <c r="B690" s="19">
        <v>906</v>
      </c>
      <c r="C690" s="24" t="s">
        <v>279</v>
      </c>
      <c r="D690" s="24" t="s">
        <v>230</v>
      </c>
      <c r="E690" s="24" t="s">
        <v>1011</v>
      </c>
      <c r="F690" s="24"/>
      <c r="G690" s="315">
        <f>G691</f>
        <v>32614.999999999996</v>
      </c>
      <c r="H690" s="315">
        <f>H691</f>
        <v>32614.999999999996</v>
      </c>
      <c r="I690" s="230"/>
    </row>
    <row r="691" spans="1:9" ht="47.25" x14ac:dyDescent="0.25">
      <c r="A691" s="25" t="s">
        <v>285</v>
      </c>
      <c r="B691" s="16">
        <v>906</v>
      </c>
      <c r="C691" s="20" t="s">
        <v>279</v>
      </c>
      <c r="D691" s="20" t="s">
        <v>230</v>
      </c>
      <c r="E691" s="20" t="s">
        <v>1056</v>
      </c>
      <c r="F691" s="20"/>
      <c r="G691" s="415">
        <f>'Пр.6 ведом.20'!G695</f>
        <v>32614.999999999996</v>
      </c>
      <c r="H691" s="415">
        <f t="shared" si="27"/>
        <v>32614.999999999996</v>
      </c>
      <c r="I691" s="230"/>
    </row>
    <row r="692" spans="1:9" ht="31.5" x14ac:dyDescent="0.25">
      <c r="A692" s="25" t="s">
        <v>287</v>
      </c>
      <c r="B692" s="16">
        <v>906</v>
      </c>
      <c r="C692" s="20" t="s">
        <v>279</v>
      </c>
      <c r="D692" s="20" t="s">
        <v>230</v>
      </c>
      <c r="E692" s="20" t="s">
        <v>1056</v>
      </c>
      <c r="F692" s="20" t="s">
        <v>288</v>
      </c>
      <c r="G692" s="415">
        <f>'Пр.6 ведом.20'!G696</f>
        <v>32614.999999999996</v>
      </c>
      <c r="H692" s="415">
        <f t="shared" si="27"/>
        <v>32614.999999999996</v>
      </c>
      <c r="I692" s="230"/>
    </row>
    <row r="693" spans="1:9" ht="15.75" x14ac:dyDescent="0.25">
      <c r="A693" s="25" t="s">
        <v>289</v>
      </c>
      <c r="B693" s="16">
        <v>906</v>
      </c>
      <c r="C693" s="20" t="s">
        <v>279</v>
      </c>
      <c r="D693" s="20" t="s">
        <v>230</v>
      </c>
      <c r="E693" s="20" t="s">
        <v>1056</v>
      </c>
      <c r="F693" s="20" t="s">
        <v>290</v>
      </c>
      <c r="G693" s="415">
        <f>'Пр.6 ведом.20'!G697</f>
        <v>32614.999999999996</v>
      </c>
      <c r="H693" s="415">
        <f t="shared" si="27"/>
        <v>32614.999999999996</v>
      </c>
      <c r="I693" s="230"/>
    </row>
    <row r="694" spans="1:9" ht="47.25" x14ac:dyDescent="0.25">
      <c r="A694" s="23" t="s">
        <v>973</v>
      </c>
      <c r="B694" s="19">
        <v>906</v>
      </c>
      <c r="C694" s="24" t="s">
        <v>279</v>
      </c>
      <c r="D694" s="24" t="s">
        <v>230</v>
      </c>
      <c r="E694" s="24" t="s">
        <v>1026</v>
      </c>
      <c r="F694" s="24"/>
      <c r="G694" s="315">
        <f>G695+G698+G701</f>
        <v>1622.1399999999999</v>
      </c>
      <c r="H694" s="315">
        <f>H695+H698+H701</f>
        <v>1622.1399999999999</v>
      </c>
      <c r="I694" s="230"/>
    </row>
    <row r="695" spans="1:9" ht="63" x14ac:dyDescent="0.25">
      <c r="A695" s="31" t="s">
        <v>304</v>
      </c>
      <c r="B695" s="16">
        <v>906</v>
      </c>
      <c r="C695" s="20" t="s">
        <v>279</v>
      </c>
      <c r="D695" s="20" t="s">
        <v>230</v>
      </c>
      <c r="E695" s="20" t="s">
        <v>1025</v>
      </c>
      <c r="F695" s="20"/>
      <c r="G695" s="415">
        <f>'Пр.6 ведом.20'!G699</f>
        <v>169.28</v>
      </c>
      <c r="H695" s="415">
        <f t="shared" si="27"/>
        <v>169.28</v>
      </c>
      <c r="I695" s="230"/>
    </row>
    <row r="696" spans="1:9" ht="31.5" x14ac:dyDescent="0.25">
      <c r="A696" s="25" t="s">
        <v>287</v>
      </c>
      <c r="B696" s="16">
        <v>906</v>
      </c>
      <c r="C696" s="20" t="s">
        <v>279</v>
      </c>
      <c r="D696" s="20" t="s">
        <v>230</v>
      </c>
      <c r="E696" s="20" t="s">
        <v>1025</v>
      </c>
      <c r="F696" s="20" t="s">
        <v>288</v>
      </c>
      <c r="G696" s="415">
        <f>'Пр.6 ведом.20'!G700</f>
        <v>169.28</v>
      </c>
      <c r="H696" s="415">
        <f t="shared" si="27"/>
        <v>169.28</v>
      </c>
      <c r="I696" s="230"/>
    </row>
    <row r="697" spans="1:9" ht="15.75" x14ac:dyDescent="0.25">
      <c r="A697" s="25" t="s">
        <v>289</v>
      </c>
      <c r="B697" s="16">
        <v>906</v>
      </c>
      <c r="C697" s="20" t="s">
        <v>279</v>
      </c>
      <c r="D697" s="20" t="s">
        <v>230</v>
      </c>
      <c r="E697" s="20" t="s">
        <v>1025</v>
      </c>
      <c r="F697" s="20" t="s">
        <v>290</v>
      </c>
      <c r="G697" s="415">
        <f>'Пр.6 ведом.20'!G701</f>
        <v>169.28</v>
      </c>
      <c r="H697" s="415">
        <f t="shared" si="27"/>
        <v>169.28</v>
      </c>
      <c r="I697" s="230"/>
    </row>
    <row r="698" spans="1:9" ht="63" x14ac:dyDescent="0.25">
      <c r="A698" s="31" t="s">
        <v>306</v>
      </c>
      <c r="B698" s="16">
        <v>906</v>
      </c>
      <c r="C698" s="20" t="s">
        <v>279</v>
      </c>
      <c r="D698" s="20" t="s">
        <v>230</v>
      </c>
      <c r="E698" s="20" t="s">
        <v>1028</v>
      </c>
      <c r="F698" s="20"/>
      <c r="G698" s="415">
        <f>'Пр.6 ведом.20'!G702</f>
        <v>549.46</v>
      </c>
      <c r="H698" s="415">
        <f t="shared" si="27"/>
        <v>549.46</v>
      </c>
      <c r="I698" s="230"/>
    </row>
    <row r="699" spans="1:9" ht="31.5" x14ac:dyDescent="0.25">
      <c r="A699" s="25" t="s">
        <v>287</v>
      </c>
      <c r="B699" s="16">
        <v>906</v>
      </c>
      <c r="C699" s="20" t="s">
        <v>279</v>
      </c>
      <c r="D699" s="20" t="s">
        <v>230</v>
      </c>
      <c r="E699" s="20" t="s">
        <v>1028</v>
      </c>
      <c r="F699" s="20" t="s">
        <v>288</v>
      </c>
      <c r="G699" s="415">
        <f>'Пр.6 ведом.20'!G703</f>
        <v>549.46</v>
      </c>
      <c r="H699" s="415">
        <f t="shared" si="27"/>
        <v>549.46</v>
      </c>
      <c r="I699" s="230"/>
    </row>
    <row r="700" spans="1:9" ht="15.75" x14ac:dyDescent="0.25">
      <c r="A700" s="25" t="s">
        <v>289</v>
      </c>
      <c r="B700" s="16">
        <v>906</v>
      </c>
      <c r="C700" s="20" t="s">
        <v>279</v>
      </c>
      <c r="D700" s="20" t="s">
        <v>230</v>
      </c>
      <c r="E700" s="20" t="s">
        <v>1028</v>
      </c>
      <c r="F700" s="20" t="s">
        <v>290</v>
      </c>
      <c r="G700" s="415">
        <f>'Пр.6 ведом.20'!G704</f>
        <v>549.46</v>
      </c>
      <c r="H700" s="415">
        <f t="shared" si="27"/>
        <v>549.46</v>
      </c>
      <c r="I700" s="230"/>
    </row>
    <row r="701" spans="1:9" ht="94.5" x14ac:dyDescent="0.25">
      <c r="A701" s="31" t="s">
        <v>308</v>
      </c>
      <c r="B701" s="16">
        <v>906</v>
      </c>
      <c r="C701" s="20" t="s">
        <v>279</v>
      </c>
      <c r="D701" s="20" t="s">
        <v>230</v>
      </c>
      <c r="E701" s="20" t="s">
        <v>1029</v>
      </c>
      <c r="F701" s="20"/>
      <c r="G701" s="415">
        <f>'Пр.6 ведом.20'!G705</f>
        <v>903.4</v>
      </c>
      <c r="H701" s="415">
        <f t="shared" si="27"/>
        <v>903.4</v>
      </c>
      <c r="I701" s="230"/>
    </row>
    <row r="702" spans="1:9" ht="31.5" x14ac:dyDescent="0.25">
      <c r="A702" s="25" t="s">
        <v>287</v>
      </c>
      <c r="B702" s="16">
        <v>906</v>
      </c>
      <c r="C702" s="20" t="s">
        <v>279</v>
      </c>
      <c r="D702" s="20" t="s">
        <v>230</v>
      </c>
      <c r="E702" s="20" t="s">
        <v>1029</v>
      </c>
      <c r="F702" s="20" t="s">
        <v>288</v>
      </c>
      <c r="G702" s="415">
        <f>'Пр.6 ведом.20'!G706</f>
        <v>903.4</v>
      </c>
      <c r="H702" s="415">
        <f t="shared" ref="H702:H772" si="28">G702</f>
        <v>903.4</v>
      </c>
      <c r="I702" s="230"/>
    </row>
    <row r="703" spans="1:9" ht="15.75" x14ac:dyDescent="0.25">
      <c r="A703" s="25" t="s">
        <v>289</v>
      </c>
      <c r="B703" s="16">
        <v>906</v>
      </c>
      <c r="C703" s="20" t="s">
        <v>279</v>
      </c>
      <c r="D703" s="20" t="s">
        <v>230</v>
      </c>
      <c r="E703" s="20" t="s">
        <v>1029</v>
      </c>
      <c r="F703" s="20" t="s">
        <v>290</v>
      </c>
      <c r="G703" s="415">
        <f>'Пр.6 ведом.20'!G707</f>
        <v>903.4</v>
      </c>
      <c r="H703" s="415">
        <f t="shared" si="28"/>
        <v>903.4</v>
      </c>
      <c r="I703" s="230"/>
    </row>
    <row r="704" spans="1:9" ht="31.5" x14ac:dyDescent="0.25">
      <c r="A704" s="34" t="s">
        <v>720</v>
      </c>
      <c r="B704" s="19">
        <v>906</v>
      </c>
      <c r="C704" s="24" t="s">
        <v>279</v>
      </c>
      <c r="D704" s="24" t="s">
        <v>230</v>
      </c>
      <c r="E704" s="24" t="s">
        <v>462</v>
      </c>
      <c r="F704" s="24"/>
      <c r="G704" s="315">
        <f>G705+G709</f>
        <v>689</v>
      </c>
      <c r="H704" s="315">
        <f>H705+H709</f>
        <v>689</v>
      </c>
      <c r="I704" s="230"/>
    </row>
    <row r="705" spans="1:9" ht="31.5" hidden="1" x14ac:dyDescent="0.25">
      <c r="A705" s="23" t="s">
        <v>1057</v>
      </c>
      <c r="B705" s="19">
        <v>906</v>
      </c>
      <c r="C705" s="24" t="s">
        <v>279</v>
      </c>
      <c r="D705" s="24" t="s">
        <v>230</v>
      </c>
      <c r="E705" s="24" t="s">
        <v>1244</v>
      </c>
      <c r="F705" s="24"/>
      <c r="G705" s="315">
        <f>G706</f>
        <v>0</v>
      </c>
      <c r="H705" s="315">
        <f>H706</f>
        <v>0</v>
      </c>
      <c r="I705" s="230"/>
    </row>
    <row r="706" spans="1:9" ht="31.5" hidden="1" x14ac:dyDescent="0.25">
      <c r="A706" s="45" t="s">
        <v>788</v>
      </c>
      <c r="B706" s="16">
        <v>906</v>
      </c>
      <c r="C706" s="20" t="s">
        <v>279</v>
      </c>
      <c r="D706" s="20" t="s">
        <v>230</v>
      </c>
      <c r="E706" s="20" t="s">
        <v>1245</v>
      </c>
      <c r="F706" s="20"/>
      <c r="G706" s="415">
        <f>'Пр.6 ведом.20'!G710</f>
        <v>0</v>
      </c>
      <c r="H706" s="415">
        <f t="shared" si="28"/>
        <v>0</v>
      </c>
      <c r="I706" s="230"/>
    </row>
    <row r="707" spans="1:9" ht="31.5" hidden="1" x14ac:dyDescent="0.25">
      <c r="A707" s="31" t="s">
        <v>287</v>
      </c>
      <c r="B707" s="16">
        <v>906</v>
      </c>
      <c r="C707" s="20" t="s">
        <v>279</v>
      </c>
      <c r="D707" s="20" t="s">
        <v>230</v>
      </c>
      <c r="E707" s="20" t="s">
        <v>1245</v>
      </c>
      <c r="F707" s="20" t="s">
        <v>288</v>
      </c>
      <c r="G707" s="415">
        <f>'Пр.6 ведом.20'!G711</f>
        <v>0</v>
      </c>
      <c r="H707" s="415">
        <f t="shared" si="28"/>
        <v>0</v>
      </c>
      <c r="I707" s="230"/>
    </row>
    <row r="708" spans="1:9" ht="15.75" hidden="1" x14ac:dyDescent="0.25">
      <c r="A708" s="31" t="s">
        <v>289</v>
      </c>
      <c r="B708" s="16">
        <v>906</v>
      </c>
      <c r="C708" s="20" t="s">
        <v>279</v>
      </c>
      <c r="D708" s="20" t="s">
        <v>230</v>
      </c>
      <c r="E708" s="20" t="s">
        <v>1245</v>
      </c>
      <c r="F708" s="20" t="s">
        <v>290</v>
      </c>
      <c r="G708" s="415">
        <f>'Пр.6 ведом.20'!G712</f>
        <v>0</v>
      </c>
      <c r="H708" s="415">
        <f t="shared" si="28"/>
        <v>0</v>
      </c>
      <c r="I708" s="230"/>
    </row>
    <row r="709" spans="1:9" ht="31.5" x14ac:dyDescent="0.25">
      <c r="A709" s="281" t="s">
        <v>1082</v>
      </c>
      <c r="B709" s="19">
        <v>906</v>
      </c>
      <c r="C709" s="24" t="s">
        <v>279</v>
      </c>
      <c r="D709" s="24" t="s">
        <v>230</v>
      </c>
      <c r="E709" s="24" t="s">
        <v>1058</v>
      </c>
      <c r="F709" s="24"/>
      <c r="G709" s="315">
        <f>G710</f>
        <v>689</v>
      </c>
      <c r="H709" s="315">
        <f>H710</f>
        <v>689</v>
      </c>
      <c r="I709" s="230"/>
    </row>
    <row r="710" spans="1:9" ht="31.5" x14ac:dyDescent="0.25">
      <c r="A710" s="45" t="s">
        <v>786</v>
      </c>
      <c r="B710" s="16">
        <v>906</v>
      </c>
      <c r="C710" s="20" t="s">
        <v>279</v>
      </c>
      <c r="D710" s="20" t="s">
        <v>230</v>
      </c>
      <c r="E710" s="20" t="s">
        <v>1059</v>
      </c>
      <c r="F710" s="20"/>
      <c r="G710" s="415">
        <f>'Пр.6 ведом.20'!G714</f>
        <v>689</v>
      </c>
      <c r="H710" s="415">
        <f t="shared" si="28"/>
        <v>689</v>
      </c>
      <c r="I710" s="230"/>
    </row>
    <row r="711" spans="1:9" ht="31.5" x14ac:dyDescent="0.25">
      <c r="A711" s="25" t="s">
        <v>287</v>
      </c>
      <c r="B711" s="16">
        <v>906</v>
      </c>
      <c r="C711" s="20" t="s">
        <v>279</v>
      </c>
      <c r="D711" s="20" t="s">
        <v>230</v>
      </c>
      <c r="E711" s="20" t="s">
        <v>1059</v>
      </c>
      <c r="F711" s="20" t="s">
        <v>288</v>
      </c>
      <c r="G711" s="415">
        <f>'Пр.6 ведом.20'!G715</f>
        <v>689</v>
      </c>
      <c r="H711" s="415">
        <f t="shared" si="28"/>
        <v>689</v>
      </c>
      <c r="I711" s="230"/>
    </row>
    <row r="712" spans="1:9" ht="15.75" x14ac:dyDescent="0.25">
      <c r="A712" s="31" t="s">
        <v>289</v>
      </c>
      <c r="B712" s="16">
        <v>906</v>
      </c>
      <c r="C712" s="20" t="s">
        <v>279</v>
      </c>
      <c r="D712" s="20" t="s">
        <v>230</v>
      </c>
      <c r="E712" s="20" t="s">
        <v>1059</v>
      </c>
      <c r="F712" s="20" t="s">
        <v>290</v>
      </c>
      <c r="G712" s="415">
        <f>'Пр.6 ведом.20'!G716</f>
        <v>689</v>
      </c>
      <c r="H712" s="415">
        <f t="shared" si="28"/>
        <v>689</v>
      </c>
      <c r="I712" s="230"/>
    </row>
    <row r="713" spans="1:9" ht="63" x14ac:dyDescent="0.25">
      <c r="A713" s="41" t="s">
        <v>1452</v>
      </c>
      <c r="B713" s="19">
        <v>906</v>
      </c>
      <c r="C713" s="24" t="s">
        <v>279</v>
      </c>
      <c r="D713" s="24" t="s">
        <v>230</v>
      </c>
      <c r="E713" s="24" t="s">
        <v>727</v>
      </c>
      <c r="F713" s="285"/>
      <c r="G713" s="315">
        <f>G715</f>
        <v>300.7</v>
      </c>
      <c r="H713" s="315">
        <f>H715</f>
        <v>300.7</v>
      </c>
      <c r="I713" s="230"/>
    </row>
    <row r="714" spans="1:9" ht="47.25" x14ac:dyDescent="0.25">
      <c r="A714" s="41" t="s">
        <v>951</v>
      </c>
      <c r="B714" s="19">
        <v>906</v>
      </c>
      <c r="C714" s="24" t="s">
        <v>279</v>
      </c>
      <c r="D714" s="24" t="s">
        <v>1060</v>
      </c>
      <c r="E714" s="24" t="s">
        <v>949</v>
      </c>
      <c r="F714" s="285"/>
      <c r="G714" s="315">
        <f>G715</f>
        <v>300.7</v>
      </c>
      <c r="H714" s="315">
        <f>H715</f>
        <v>300.7</v>
      </c>
      <c r="I714" s="230"/>
    </row>
    <row r="715" spans="1:9" ht="47.25" x14ac:dyDescent="0.25">
      <c r="A715" s="101" t="s">
        <v>802</v>
      </c>
      <c r="B715" s="16">
        <v>906</v>
      </c>
      <c r="C715" s="20" t="s">
        <v>279</v>
      </c>
      <c r="D715" s="20" t="s">
        <v>230</v>
      </c>
      <c r="E715" s="20" t="s">
        <v>1032</v>
      </c>
      <c r="F715" s="32"/>
      <c r="G715" s="415">
        <f>'Пр.6 ведом.20'!G719</f>
        <v>300.7</v>
      </c>
      <c r="H715" s="415">
        <f t="shared" si="28"/>
        <v>300.7</v>
      </c>
      <c r="I715" s="230"/>
    </row>
    <row r="716" spans="1:9" ht="31.5" x14ac:dyDescent="0.25">
      <c r="A716" s="29" t="s">
        <v>287</v>
      </c>
      <c r="B716" s="16">
        <v>906</v>
      </c>
      <c r="C716" s="20" t="s">
        <v>279</v>
      </c>
      <c r="D716" s="20" t="s">
        <v>230</v>
      </c>
      <c r="E716" s="20" t="s">
        <v>1032</v>
      </c>
      <c r="F716" s="32" t="s">
        <v>288</v>
      </c>
      <c r="G716" s="415">
        <f>'Пр.6 ведом.20'!G720</f>
        <v>300.7</v>
      </c>
      <c r="H716" s="415">
        <f t="shared" si="28"/>
        <v>300.7</v>
      </c>
      <c r="I716" s="230"/>
    </row>
    <row r="717" spans="1:9" ht="15.75" x14ac:dyDescent="0.25">
      <c r="A717" s="195" t="s">
        <v>289</v>
      </c>
      <c r="B717" s="16">
        <v>906</v>
      </c>
      <c r="C717" s="20" t="s">
        <v>279</v>
      </c>
      <c r="D717" s="20" t="s">
        <v>230</v>
      </c>
      <c r="E717" s="20" t="s">
        <v>1032</v>
      </c>
      <c r="F717" s="32" t="s">
        <v>290</v>
      </c>
      <c r="G717" s="415">
        <f>'Пр.6 ведом.20'!G721</f>
        <v>300.7</v>
      </c>
      <c r="H717" s="415">
        <f t="shared" si="28"/>
        <v>300.7</v>
      </c>
      <c r="I717" s="230"/>
    </row>
    <row r="718" spans="1:9" ht="15.75" x14ac:dyDescent="0.25">
      <c r="A718" s="23" t="s">
        <v>481</v>
      </c>
      <c r="B718" s="19">
        <v>906</v>
      </c>
      <c r="C718" s="24" t="s">
        <v>279</v>
      </c>
      <c r="D718" s="24" t="s">
        <v>279</v>
      </c>
      <c r="E718" s="24"/>
      <c r="F718" s="24"/>
      <c r="G718" s="416">
        <f>G719</f>
        <v>5804.9</v>
      </c>
      <c r="H718" s="416">
        <f>H719</f>
        <v>5804.9</v>
      </c>
      <c r="I718" s="230"/>
    </row>
    <row r="719" spans="1:9" ht="47.25" x14ac:dyDescent="0.25">
      <c r="A719" s="23" t="s">
        <v>1458</v>
      </c>
      <c r="B719" s="19">
        <v>906</v>
      </c>
      <c r="C719" s="24" t="s">
        <v>279</v>
      </c>
      <c r="D719" s="24" t="s">
        <v>279</v>
      </c>
      <c r="E719" s="24" t="s">
        <v>421</v>
      </c>
      <c r="F719" s="24"/>
      <c r="G719" s="416">
        <f t="shared" ref="G719:H719" si="29">G720</f>
        <v>5804.9</v>
      </c>
      <c r="H719" s="416">
        <f t="shared" si="29"/>
        <v>5804.9</v>
      </c>
      <c r="I719" s="230"/>
    </row>
    <row r="720" spans="1:9" ht="31.5" x14ac:dyDescent="0.25">
      <c r="A720" s="23" t="s">
        <v>482</v>
      </c>
      <c r="B720" s="19">
        <v>906</v>
      </c>
      <c r="C720" s="24" t="s">
        <v>279</v>
      </c>
      <c r="D720" s="24" t="s">
        <v>483</v>
      </c>
      <c r="E720" s="24" t="s">
        <v>484</v>
      </c>
      <c r="F720" s="24"/>
      <c r="G720" s="416">
        <f>G721</f>
        <v>5804.9</v>
      </c>
      <c r="H720" s="416">
        <f>H721</f>
        <v>5804.9</v>
      </c>
      <c r="I720" s="230"/>
    </row>
    <row r="721" spans="1:9" ht="31.5" x14ac:dyDescent="0.25">
      <c r="A721" s="23" t="s">
        <v>1061</v>
      </c>
      <c r="B721" s="19">
        <v>906</v>
      </c>
      <c r="C721" s="24" t="s">
        <v>279</v>
      </c>
      <c r="D721" s="24" t="s">
        <v>279</v>
      </c>
      <c r="E721" s="24" t="s">
        <v>1062</v>
      </c>
      <c r="F721" s="24"/>
      <c r="G721" s="416">
        <f>G722+G725</f>
        <v>5804.9</v>
      </c>
      <c r="H721" s="416">
        <f>H722+H725</f>
        <v>5804.9</v>
      </c>
      <c r="I721" s="230"/>
    </row>
    <row r="722" spans="1:9" ht="31.5" x14ac:dyDescent="0.25">
      <c r="A722" s="31" t="s">
        <v>1246</v>
      </c>
      <c r="B722" s="16">
        <v>906</v>
      </c>
      <c r="C722" s="20" t="s">
        <v>279</v>
      </c>
      <c r="D722" s="20" t="s">
        <v>279</v>
      </c>
      <c r="E722" s="20" t="s">
        <v>1063</v>
      </c>
      <c r="F722" s="20"/>
      <c r="G722" s="415">
        <f>'Пр.6 ведом.20'!G726</f>
        <v>3584</v>
      </c>
      <c r="H722" s="415">
        <f t="shared" si="28"/>
        <v>3584</v>
      </c>
      <c r="I722" s="230"/>
    </row>
    <row r="723" spans="1:9" ht="31.5" x14ac:dyDescent="0.25">
      <c r="A723" s="25" t="s">
        <v>287</v>
      </c>
      <c r="B723" s="16">
        <v>906</v>
      </c>
      <c r="C723" s="20" t="s">
        <v>279</v>
      </c>
      <c r="D723" s="20" t="s">
        <v>279</v>
      </c>
      <c r="E723" s="20" t="s">
        <v>1063</v>
      </c>
      <c r="F723" s="20" t="s">
        <v>288</v>
      </c>
      <c r="G723" s="415">
        <f>'Пр.6 ведом.20'!G727</f>
        <v>3584</v>
      </c>
      <c r="H723" s="415">
        <f t="shared" si="28"/>
        <v>3584</v>
      </c>
      <c r="I723" s="230"/>
    </row>
    <row r="724" spans="1:9" ht="15.75" x14ac:dyDescent="0.25">
      <c r="A724" s="25" t="s">
        <v>289</v>
      </c>
      <c r="B724" s="16">
        <v>906</v>
      </c>
      <c r="C724" s="20" t="s">
        <v>279</v>
      </c>
      <c r="D724" s="20" t="s">
        <v>279</v>
      </c>
      <c r="E724" s="20" t="s">
        <v>1063</v>
      </c>
      <c r="F724" s="20" t="s">
        <v>290</v>
      </c>
      <c r="G724" s="415">
        <f>'Пр.6 ведом.20'!G728</f>
        <v>3584</v>
      </c>
      <c r="H724" s="415">
        <f t="shared" si="28"/>
        <v>3584</v>
      </c>
      <c r="I724" s="230"/>
    </row>
    <row r="725" spans="1:9" ht="31.5" x14ac:dyDescent="0.25">
      <c r="A725" s="31" t="s">
        <v>489</v>
      </c>
      <c r="B725" s="16">
        <v>906</v>
      </c>
      <c r="C725" s="20" t="s">
        <v>279</v>
      </c>
      <c r="D725" s="20" t="s">
        <v>279</v>
      </c>
      <c r="E725" s="20" t="s">
        <v>1064</v>
      </c>
      <c r="F725" s="20"/>
      <c r="G725" s="415">
        <f>G726</f>
        <v>2220.9</v>
      </c>
      <c r="H725" s="415">
        <f>H726</f>
        <v>2220.9</v>
      </c>
      <c r="I725" s="230"/>
    </row>
    <row r="726" spans="1:9" ht="31.5" x14ac:dyDescent="0.25">
      <c r="A726" s="25" t="s">
        <v>287</v>
      </c>
      <c r="B726" s="16">
        <v>906</v>
      </c>
      <c r="C726" s="20" t="s">
        <v>279</v>
      </c>
      <c r="D726" s="20" t="s">
        <v>279</v>
      </c>
      <c r="E726" s="20" t="s">
        <v>1064</v>
      </c>
      <c r="F726" s="20" t="s">
        <v>288</v>
      </c>
      <c r="G726" s="415">
        <f>G727</f>
        <v>2220.9</v>
      </c>
      <c r="H726" s="415">
        <f>H727</f>
        <v>2220.9</v>
      </c>
      <c r="I726" s="230"/>
    </row>
    <row r="727" spans="1:9" ht="15.75" x14ac:dyDescent="0.25">
      <c r="A727" s="25" t="s">
        <v>289</v>
      </c>
      <c r="B727" s="16">
        <v>906</v>
      </c>
      <c r="C727" s="20" t="s">
        <v>279</v>
      </c>
      <c r="D727" s="20" t="s">
        <v>279</v>
      </c>
      <c r="E727" s="20" t="s">
        <v>1064</v>
      </c>
      <c r="F727" s="20" t="s">
        <v>290</v>
      </c>
      <c r="G727" s="415">
        <v>2220.9</v>
      </c>
      <c r="H727" s="415">
        <f t="shared" si="28"/>
        <v>2220.9</v>
      </c>
      <c r="I727" s="230"/>
    </row>
    <row r="728" spans="1:9" ht="15.75" x14ac:dyDescent="0.25">
      <c r="A728" s="23" t="s">
        <v>310</v>
      </c>
      <c r="B728" s="19">
        <v>906</v>
      </c>
      <c r="C728" s="24" t="s">
        <v>279</v>
      </c>
      <c r="D728" s="24" t="s">
        <v>234</v>
      </c>
      <c r="E728" s="24"/>
      <c r="F728" s="24"/>
      <c r="G728" s="416">
        <f>G729+G739</f>
        <v>19830</v>
      </c>
      <c r="H728" s="416">
        <f>H729+H739</f>
        <v>19830</v>
      </c>
      <c r="I728" s="230"/>
    </row>
    <row r="729" spans="1:9" ht="31.5" x14ac:dyDescent="0.25">
      <c r="A729" s="23" t="s">
        <v>992</v>
      </c>
      <c r="B729" s="19">
        <v>906</v>
      </c>
      <c r="C729" s="24" t="s">
        <v>279</v>
      </c>
      <c r="D729" s="24" t="s">
        <v>234</v>
      </c>
      <c r="E729" s="24" t="s">
        <v>906</v>
      </c>
      <c r="F729" s="24"/>
      <c r="G729" s="416">
        <f>G730</f>
        <v>5585</v>
      </c>
      <c r="H729" s="416">
        <f>H730</f>
        <v>5585</v>
      </c>
      <c r="I729" s="230"/>
    </row>
    <row r="730" spans="1:9" ht="15.75" x14ac:dyDescent="0.25">
      <c r="A730" s="23" t="s">
        <v>993</v>
      </c>
      <c r="B730" s="19">
        <v>906</v>
      </c>
      <c r="C730" s="24" t="s">
        <v>279</v>
      </c>
      <c r="D730" s="24" t="s">
        <v>234</v>
      </c>
      <c r="E730" s="24" t="s">
        <v>907</v>
      </c>
      <c r="F730" s="24"/>
      <c r="G730" s="416">
        <f>G731+G736</f>
        <v>5585</v>
      </c>
      <c r="H730" s="416">
        <f>H731+H736</f>
        <v>5585</v>
      </c>
      <c r="I730" s="230"/>
    </row>
    <row r="731" spans="1:9" ht="31.5" x14ac:dyDescent="0.25">
      <c r="A731" s="25" t="s">
        <v>969</v>
      </c>
      <c r="B731" s="16">
        <v>906</v>
      </c>
      <c r="C731" s="20" t="s">
        <v>279</v>
      </c>
      <c r="D731" s="20" t="s">
        <v>234</v>
      </c>
      <c r="E731" s="20" t="s">
        <v>908</v>
      </c>
      <c r="F731" s="20"/>
      <c r="G731" s="415">
        <f>'Пр.6 ведом.20'!G735</f>
        <v>5459</v>
      </c>
      <c r="H731" s="415">
        <f t="shared" si="28"/>
        <v>5459</v>
      </c>
      <c r="I731" s="230"/>
    </row>
    <row r="732" spans="1:9" ht="78.75" x14ac:dyDescent="0.25">
      <c r="A732" s="25" t="s">
        <v>142</v>
      </c>
      <c r="B732" s="16">
        <v>906</v>
      </c>
      <c r="C732" s="20" t="s">
        <v>279</v>
      </c>
      <c r="D732" s="20" t="s">
        <v>234</v>
      </c>
      <c r="E732" s="20" t="s">
        <v>908</v>
      </c>
      <c r="F732" s="20" t="s">
        <v>143</v>
      </c>
      <c r="G732" s="415">
        <f>'Пр.6 ведом.20'!G736</f>
        <v>5247</v>
      </c>
      <c r="H732" s="415">
        <f t="shared" si="28"/>
        <v>5247</v>
      </c>
      <c r="I732" s="230"/>
    </row>
    <row r="733" spans="1:9" ht="31.5" x14ac:dyDescent="0.25">
      <c r="A733" s="25" t="s">
        <v>144</v>
      </c>
      <c r="B733" s="16">
        <v>906</v>
      </c>
      <c r="C733" s="20" t="s">
        <v>279</v>
      </c>
      <c r="D733" s="20" t="s">
        <v>234</v>
      </c>
      <c r="E733" s="20" t="s">
        <v>908</v>
      </c>
      <c r="F733" s="20" t="s">
        <v>145</v>
      </c>
      <c r="G733" s="415">
        <f>'Пр.6 ведом.20'!G737</f>
        <v>5247</v>
      </c>
      <c r="H733" s="415">
        <f t="shared" si="28"/>
        <v>5247</v>
      </c>
      <c r="I733" s="230"/>
    </row>
    <row r="734" spans="1:9" ht="31.5" x14ac:dyDescent="0.25">
      <c r="A734" s="25" t="s">
        <v>146</v>
      </c>
      <c r="B734" s="16">
        <v>906</v>
      </c>
      <c r="C734" s="20" t="s">
        <v>279</v>
      </c>
      <c r="D734" s="20" t="s">
        <v>234</v>
      </c>
      <c r="E734" s="20" t="s">
        <v>908</v>
      </c>
      <c r="F734" s="20" t="s">
        <v>147</v>
      </c>
      <c r="G734" s="415">
        <f>'Пр.6 ведом.20'!G738</f>
        <v>212</v>
      </c>
      <c r="H734" s="415">
        <f t="shared" si="28"/>
        <v>212</v>
      </c>
      <c r="I734" s="230"/>
    </row>
    <row r="735" spans="1:9" ht="31.5" x14ac:dyDescent="0.25">
      <c r="A735" s="25" t="s">
        <v>148</v>
      </c>
      <c r="B735" s="16">
        <v>906</v>
      </c>
      <c r="C735" s="20" t="s">
        <v>279</v>
      </c>
      <c r="D735" s="20" t="s">
        <v>234</v>
      </c>
      <c r="E735" s="20" t="s">
        <v>908</v>
      </c>
      <c r="F735" s="20" t="s">
        <v>149</v>
      </c>
      <c r="G735" s="415">
        <f>'Пр.6 ведом.20'!G739</f>
        <v>212</v>
      </c>
      <c r="H735" s="415">
        <f t="shared" si="28"/>
        <v>212</v>
      </c>
      <c r="I735" s="230"/>
    </row>
    <row r="736" spans="1:9" ht="47.25" x14ac:dyDescent="0.25">
      <c r="A736" s="25" t="s">
        <v>886</v>
      </c>
      <c r="B736" s="16">
        <v>906</v>
      </c>
      <c r="C736" s="20" t="s">
        <v>279</v>
      </c>
      <c r="D736" s="20" t="s">
        <v>234</v>
      </c>
      <c r="E736" s="20" t="s">
        <v>910</v>
      </c>
      <c r="F736" s="20"/>
      <c r="G736" s="415">
        <f>'Пр.6 ведом.20'!G740</f>
        <v>126</v>
      </c>
      <c r="H736" s="415">
        <f t="shared" si="28"/>
        <v>126</v>
      </c>
      <c r="I736" s="230"/>
    </row>
    <row r="737" spans="1:9" ht="78.75" x14ac:dyDescent="0.25">
      <c r="A737" s="25" t="s">
        <v>142</v>
      </c>
      <c r="B737" s="16">
        <v>906</v>
      </c>
      <c r="C737" s="20" t="s">
        <v>279</v>
      </c>
      <c r="D737" s="20" t="s">
        <v>234</v>
      </c>
      <c r="E737" s="20" t="s">
        <v>910</v>
      </c>
      <c r="F737" s="20" t="s">
        <v>143</v>
      </c>
      <c r="G737" s="415">
        <f>'Пр.6 ведом.20'!G741</f>
        <v>126</v>
      </c>
      <c r="H737" s="415">
        <f t="shared" si="28"/>
        <v>126</v>
      </c>
      <c r="I737" s="230"/>
    </row>
    <row r="738" spans="1:9" ht="31.5" x14ac:dyDescent="0.25">
      <c r="A738" s="25" t="s">
        <v>144</v>
      </c>
      <c r="B738" s="16">
        <v>906</v>
      </c>
      <c r="C738" s="20" t="s">
        <v>279</v>
      </c>
      <c r="D738" s="20" t="s">
        <v>234</v>
      </c>
      <c r="E738" s="20" t="s">
        <v>910</v>
      </c>
      <c r="F738" s="20" t="s">
        <v>145</v>
      </c>
      <c r="G738" s="415">
        <f>'Пр.6 ведом.20'!G742</f>
        <v>126</v>
      </c>
      <c r="H738" s="415">
        <f t="shared" si="28"/>
        <v>126</v>
      </c>
      <c r="I738" s="230"/>
    </row>
    <row r="739" spans="1:9" ht="15.75" x14ac:dyDescent="0.25">
      <c r="A739" s="23" t="s">
        <v>156</v>
      </c>
      <c r="B739" s="19">
        <v>906</v>
      </c>
      <c r="C739" s="24" t="s">
        <v>279</v>
      </c>
      <c r="D739" s="24" t="s">
        <v>234</v>
      </c>
      <c r="E739" s="24" t="s">
        <v>914</v>
      </c>
      <c r="F739" s="24"/>
      <c r="G739" s="416">
        <f>G740+G744</f>
        <v>14245</v>
      </c>
      <c r="H739" s="416">
        <f>H740+H744</f>
        <v>14245</v>
      </c>
      <c r="I739" s="230"/>
    </row>
    <row r="740" spans="1:9" ht="31.5" x14ac:dyDescent="0.25">
      <c r="A740" s="23" t="s">
        <v>918</v>
      </c>
      <c r="B740" s="19">
        <v>906</v>
      </c>
      <c r="C740" s="24" t="s">
        <v>279</v>
      </c>
      <c r="D740" s="24" t="s">
        <v>234</v>
      </c>
      <c r="E740" s="24" t="s">
        <v>913</v>
      </c>
      <c r="F740" s="24"/>
      <c r="G740" s="416">
        <f>G741</f>
        <v>300</v>
      </c>
      <c r="H740" s="416">
        <f>H741</f>
        <v>300</v>
      </c>
      <c r="I740" s="230"/>
    </row>
    <row r="741" spans="1:9" ht="15.75" x14ac:dyDescent="0.25">
      <c r="A741" s="25" t="s">
        <v>493</v>
      </c>
      <c r="B741" s="16">
        <v>906</v>
      </c>
      <c r="C741" s="20" t="s">
        <v>279</v>
      </c>
      <c r="D741" s="20" t="s">
        <v>234</v>
      </c>
      <c r="E741" s="20" t="s">
        <v>1065</v>
      </c>
      <c r="F741" s="20"/>
      <c r="G741" s="415">
        <f>'Пр.6 ведом.20'!G745</f>
        <v>300</v>
      </c>
      <c r="H741" s="415">
        <f t="shared" si="28"/>
        <v>300</v>
      </c>
      <c r="I741" s="230"/>
    </row>
    <row r="742" spans="1:9" ht="31.5" x14ac:dyDescent="0.25">
      <c r="A742" s="25" t="s">
        <v>146</v>
      </c>
      <c r="B742" s="16">
        <v>906</v>
      </c>
      <c r="C742" s="20" t="s">
        <v>279</v>
      </c>
      <c r="D742" s="20" t="s">
        <v>234</v>
      </c>
      <c r="E742" s="20" t="s">
        <v>1065</v>
      </c>
      <c r="F742" s="20" t="s">
        <v>147</v>
      </c>
      <c r="G742" s="415">
        <f>'Пр.6 ведом.20'!G746</f>
        <v>300</v>
      </c>
      <c r="H742" s="415">
        <f t="shared" si="28"/>
        <v>300</v>
      </c>
      <c r="I742" s="230"/>
    </row>
    <row r="743" spans="1:9" ht="31.5" x14ac:dyDescent="0.25">
      <c r="A743" s="25" t="s">
        <v>148</v>
      </c>
      <c r="B743" s="16">
        <v>906</v>
      </c>
      <c r="C743" s="20" t="s">
        <v>279</v>
      </c>
      <c r="D743" s="20" t="s">
        <v>234</v>
      </c>
      <c r="E743" s="20" t="s">
        <v>1065</v>
      </c>
      <c r="F743" s="20" t="s">
        <v>149</v>
      </c>
      <c r="G743" s="415">
        <f>'Пр.6 ведом.20'!G747</f>
        <v>300</v>
      </c>
      <c r="H743" s="415">
        <f t="shared" si="28"/>
        <v>300</v>
      </c>
      <c r="I743" s="230"/>
    </row>
    <row r="744" spans="1:9" ht="31.5" x14ac:dyDescent="0.25">
      <c r="A744" s="23" t="s">
        <v>1006</v>
      </c>
      <c r="B744" s="19">
        <v>906</v>
      </c>
      <c r="C744" s="24" t="s">
        <v>279</v>
      </c>
      <c r="D744" s="24" t="s">
        <v>234</v>
      </c>
      <c r="E744" s="24" t="s">
        <v>989</v>
      </c>
      <c r="F744" s="24"/>
      <c r="G744" s="416">
        <f>G745+G752</f>
        <v>13945</v>
      </c>
      <c r="H744" s="416">
        <f>H745+H752</f>
        <v>13945</v>
      </c>
      <c r="I744" s="230"/>
    </row>
    <row r="745" spans="1:9" ht="31.5" x14ac:dyDescent="0.25">
      <c r="A745" s="25" t="s">
        <v>1291</v>
      </c>
      <c r="B745" s="16">
        <v>906</v>
      </c>
      <c r="C745" s="20" t="s">
        <v>279</v>
      </c>
      <c r="D745" s="20" t="s">
        <v>234</v>
      </c>
      <c r="E745" s="20" t="s">
        <v>990</v>
      </c>
      <c r="F745" s="20"/>
      <c r="G745" s="415">
        <f>'Пр.6 ведом.20'!G749</f>
        <v>13609</v>
      </c>
      <c r="H745" s="415">
        <f t="shared" si="28"/>
        <v>13609</v>
      </c>
      <c r="I745" s="230"/>
    </row>
    <row r="746" spans="1:9" ht="78.75" x14ac:dyDescent="0.25">
      <c r="A746" s="25" t="s">
        <v>142</v>
      </c>
      <c r="B746" s="16">
        <v>906</v>
      </c>
      <c r="C746" s="20" t="s">
        <v>279</v>
      </c>
      <c r="D746" s="20" t="s">
        <v>234</v>
      </c>
      <c r="E746" s="20" t="s">
        <v>990</v>
      </c>
      <c r="F746" s="20" t="s">
        <v>143</v>
      </c>
      <c r="G746" s="415">
        <f>'Пр.6 ведом.20'!G750</f>
        <v>12517</v>
      </c>
      <c r="H746" s="415">
        <f t="shared" si="28"/>
        <v>12517</v>
      </c>
      <c r="I746" s="230"/>
    </row>
    <row r="747" spans="1:9" ht="31.5" x14ac:dyDescent="0.25">
      <c r="A747" s="25" t="s">
        <v>357</v>
      </c>
      <c r="B747" s="16">
        <v>906</v>
      </c>
      <c r="C747" s="20" t="s">
        <v>279</v>
      </c>
      <c r="D747" s="20" t="s">
        <v>234</v>
      </c>
      <c r="E747" s="20" t="s">
        <v>990</v>
      </c>
      <c r="F747" s="20" t="s">
        <v>224</v>
      </c>
      <c r="G747" s="415">
        <f>'Пр.6 ведом.20'!G751</f>
        <v>12517</v>
      </c>
      <c r="H747" s="415">
        <f t="shared" si="28"/>
        <v>12517</v>
      </c>
      <c r="I747" s="230"/>
    </row>
    <row r="748" spans="1:9" ht="31.5" x14ac:dyDescent="0.25">
      <c r="A748" s="25" t="s">
        <v>146</v>
      </c>
      <c r="B748" s="16">
        <v>906</v>
      </c>
      <c r="C748" s="20" t="s">
        <v>279</v>
      </c>
      <c r="D748" s="20" t="s">
        <v>234</v>
      </c>
      <c r="E748" s="20" t="s">
        <v>990</v>
      </c>
      <c r="F748" s="20" t="s">
        <v>147</v>
      </c>
      <c r="G748" s="415">
        <f>'Пр.6 ведом.20'!G752</f>
        <v>1077</v>
      </c>
      <c r="H748" s="415">
        <f t="shared" si="28"/>
        <v>1077</v>
      </c>
      <c r="I748" s="230"/>
    </row>
    <row r="749" spans="1:9" ht="31.5" x14ac:dyDescent="0.25">
      <c r="A749" s="25" t="s">
        <v>148</v>
      </c>
      <c r="B749" s="16">
        <v>906</v>
      </c>
      <c r="C749" s="20" t="s">
        <v>279</v>
      </c>
      <c r="D749" s="20" t="s">
        <v>234</v>
      </c>
      <c r="E749" s="20" t="s">
        <v>990</v>
      </c>
      <c r="F749" s="20" t="s">
        <v>149</v>
      </c>
      <c r="G749" s="415">
        <f>'Пр.6 ведом.20'!G753</f>
        <v>1077</v>
      </c>
      <c r="H749" s="415">
        <f t="shared" si="28"/>
        <v>1077</v>
      </c>
      <c r="I749" s="230"/>
    </row>
    <row r="750" spans="1:9" ht="15.75" x14ac:dyDescent="0.25">
      <c r="A750" s="25" t="s">
        <v>150</v>
      </c>
      <c r="B750" s="16">
        <v>906</v>
      </c>
      <c r="C750" s="20" t="s">
        <v>279</v>
      </c>
      <c r="D750" s="20" t="s">
        <v>234</v>
      </c>
      <c r="E750" s="20" t="s">
        <v>990</v>
      </c>
      <c r="F750" s="20" t="s">
        <v>160</v>
      </c>
      <c r="G750" s="415">
        <f>'Пр.6 ведом.20'!G754</f>
        <v>15</v>
      </c>
      <c r="H750" s="415">
        <f t="shared" si="28"/>
        <v>15</v>
      </c>
      <c r="I750" s="230"/>
    </row>
    <row r="751" spans="1:9" ht="15.75" x14ac:dyDescent="0.25">
      <c r="A751" s="25" t="s">
        <v>583</v>
      </c>
      <c r="B751" s="16">
        <v>906</v>
      </c>
      <c r="C751" s="20" t="s">
        <v>279</v>
      </c>
      <c r="D751" s="20" t="s">
        <v>234</v>
      </c>
      <c r="E751" s="20" t="s">
        <v>990</v>
      </c>
      <c r="F751" s="20" t="s">
        <v>153</v>
      </c>
      <c r="G751" s="415">
        <f>'Пр.6 ведом.20'!G755</f>
        <v>15</v>
      </c>
      <c r="H751" s="415">
        <f t="shared" si="28"/>
        <v>15</v>
      </c>
      <c r="I751" s="230"/>
    </row>
    <row r="752" spans="1:9" ht="47.25" x14ac:dyDescent="0.25">
      <c r="A752" s="25" t="s">
        <v>886</v>
      </c>
      <c r="B752" s="16">
        <v>906</v>
      </c>
      <c r="C752" s="20" t="s">
        <v>279</v>
      </c>
      <c r="D752" s="20" t="s">
        <v>234</v>
      </c>
      <c r="E752" s="20" t="s">
        <v>991</v>
      </c>
      <c r="F752" s="20"/>
      <c r="G752" s="415">
        <f>'Пр.6 ведом.20'!G756</f>
        <v>336</v>
      </c>
      <c r="H752" s="415">
        <f t="shared" si="28"/>
        <v>336</v>
      </c>
      <c r="I752" s="230"/>
    </row>
    <row r="753" spans="1:9" ht="78.75" x14ac:dyDescent="0.25">
      <c r="A753" s="25" t="s">
        <v>142</v>
      </c>
      <c r="B753" s="16">
        <v>906</v>
      </c>
      <c r="C753" s="20" t="s">
        <v>279</v>
      </c>
      <c r="D753" s="20" t="s">
        <v>234</v>
      </c>
      <c r="E753" s="20" t="s">
        <v>991</v>
      </c>
      <c r="F753" s="20" t="s">
        <v>143</v>
      </c>
      <c r="G753" s="415">
        <f>'Пр.6 ведом.20'!G757</f>
        <v>336</v>
      </c>
      <c r="H753" s="415">
        <f t="shared" si="28"/>
        <v>336</v>
      </c>
      <c r="I753" s="230"/>
    </row>
    <row r="754" spans="1:9" ht="31.5" x14ac:dyDescent="0.25">
      <c r="A754" s="25" t="s">
        <v>357</v>
      </c>
      <c r="B754" s="16">
        <v>906</v>
      </c>
      <c r="C754" s="20" t="s">
        <v>279</v>
      </c>
      <c r="D754" s="20" t="s">
        <v>234</v>
      </c>
      <c r="E754" s="20" t="s">
        <v>991</v>
      </c>
      <c r="F754" s="20" t="s">
        <v>224</v>
      </c>
      <c r="G754" s="415">
        <f>'Пр.6 ведом.20'!G758</f>
        <v>336</v>
      </c>
      <c r="H754" s="415">
        <f t="shared" si="28"/>
        <v>336</v>
      </c>
      <c r="I754" s="230"/>
    </row>
    <row r="755" spans="1:9" ht="31.5" x14ac:dyDescent="0.25">
      <c r="A755" s="19" t="s">
        <v>495</v>
      </c>
      <c r="B755" s="19">
        <v>907</v>
      </c>
      <c r="C755" s="20"/>
      <c r="D755" s="20"/>
      <c r="E755" s="20"/>
      <c r="F755" s="20"/>
      <c r="G755" s="416">
        <f>G763+G756</f>
        <v>58553.599999999999</v>
      </c>
      <c r="H755" s="416">
        <f>H763+H756</f>
        <v>58553.599999999999</v>
      </c>
      <c r="I755" s="230"/>
    </row>
    <row r="756" spans="1:9" s="229" customFormat="1" ht="15.75" x14ac:dyDescent="0.25">
      <c r="A756" s="23" t="s">
        <v>132</v>
      </c>
      <c r="B756" s="19">
        <v>907</v>
      </c>
      <c r="C756" s="24" t="s">
        <v>133</v>
      </c>
      <c r="D756" s="24"/>
      <c r="E756" s="24"/>
      <c r="F756" s="24"/>
      <c r="G756" s="416">
        <f t="shared" ref="G756:H757" si="30">G757</f>
        <v>70</v>
      </c>
      <c r="H756" s="416">
        <f t="shared" si="30"/>
        <v>70</v>
      </c>
      <c r="I756" s="230"/>
    </row>
    <row r="757" spans="1:9" s="229" customFormat="1" ht="15.75" x14ac:dyDescent="0.25">
      <c r="A757" s="34" t="s">
        <v>154</v>
      </c>
      <c r="B757" s="19">
        <v>907</v>
      </c>
      <c r="C757" s="24" t="s">
        <v>133</v>
      </c>
      <c r="D757" s="24" t="s">
        <v>155</v>
      </c>
      <c r="E757" s="24"/>
      <c r="F757" s="24"/>
      <c r="G757" s="416">
        <f t="shared" si="30"/>
        <v>70</v>
      </c>
      <c r="H757" s="416">
        <f t="shared" si="30"/>
        <v>70</v>
      </c>
      <c r="I757" s="230"/>
    </row>
    <row r="758" spans="1:9" s="229" customFormat="1" ht="47.25" x14ac:dyDescent="0.25">
      <c r="A758" s="23" t="s">
        <v>1451</v>
      </c>
      <c r="B758" s="19">
        <v>907</v>
      </c>
      <c r="C758" s="24" t="s">
        <v>133</v>
      </c>
      <c r="D758" s="24" t="s">
        <v>155</v>
      </c>
      <c r="E758" s="24" t="s">
        <v>350</v>
      </c>
      <c r="F758" s="24"/>
      <c r="G758" s="416">
        <f>G759</f>
        <v>70</v>
      </c>
      <c r="H758" s="416">
        <f>H759</f>
        <v>70</v>
      </c>
      <c r="I758" s="230"/>
    </row>
    <row r="759" spans="1:9" s="229" customFormat="1" ht="31.5" x14ac:dyDescent="0.25">
      <c r="A759" s="275" t="s">
        <v>1236</v>
      </c>
      <c r="B759" s="19">
        <v>907</v>
      </c>
      <c r="C759" s="24" t="s">
        <v>133</v>
      </c>
      <c r="D759" s="24" t="s">
        <v>155</v>
      </c>
      <c r="E759" s="24" t="s">
        <v>1237</v>
      </c>
      <c r="F759" s="24"/>
      <c r="G759" s="416">
        <f>G760</f>
        <v>70</v>
      </c>
      <c r="H759" s="416">
        <f>H760</f>
        <v>70</v>
      </c>
      <c r="I759" s="230"/>
    </row>
    <row r="760" spans="1:9" s="229" customFormat="1" ht="31.5" x14ac:dyDescent="0.25">
      <c r="A760" s="100" t="s">
        <v>351</v>
      </c>
      <c r="B760" s="16">
        <v>907</v>
      </c>
      <c r="C760" s="20" t="s">
        <v>133</v>
      </c>
      <c r="D760" s="20" t="s">
        <v>155</v>
      </c>
      <c r="E760" s="20" t="s">
        <v>1238</v>
      </c>
      <c r="F760" s="20"/>
      <c r="G760" s="415">
        <f>'Пр.6 ведом.20'!G764</f>
        <v>70</v>
      </c>
      <c r="H760" s="415">
        <f t="shared" ref="H760:H762" si="31">G760</f>
        <v>70</v>
      </c>
      <c r="I760" s="230"/>
    </row>
    <row r="761" spans="1:9" s="229" customFormat="1" ht="31.5" x14ac:dyDescent="0.25">
      <c r="A761" s="25" t="s">
        <v>146</v>
      </c>
      <c r="B761" s="16">
        <v>907</v>
      </c>
      <c r="C761" s="20" t="s">
        <v>133</v>
      </c>
      <c r="D761" s="20" t="s">
        <v>155</v>
      </c>
      <c r="E761" s="20" t="s">
        <v>1238</v>
      </c>
      <c r="F761" s="20" t="s">
        <v>147</v>
      </c>
      <c r="G761" s="415">
        <f>'Пр.6 ведом.20'!G765</f>
        <v>70</v>
      </c>
      <c r="H761" s="415">
        <f t="shared" si="31"/>
        <v>70</v>
      </c>
      <c r="I761" s="230"/>
    </row>
    <row r="762" spans="1:9" s="229" customFormat="1" ht="31.5" x14ac:dyDescent="0.25">
      <c r="A762" s="25" t="s">
        <v>148</v>
      </c>
      <c r="B762" s="16">
        <v>907</v>
      </c>
      <c r="C762" s="20" t="s">
        <v>133</v>
      </c>
      <c r="D762" s="20" t="s">
        <v>155</v>
      </c>
      <c r="E762" s="20" t="s">
        <v>1238</v>
      </c>
      <c r="F762" s="20" t="s">
        <v>149</v>
      </c>
      <c r="G762" s="415">
        <f>'Пр.6 ведом.20'!G766</f>
        <v>70</v>
      </c>
      <c r="H762" s="415">
        <f t="shared" si="31"/>
        <v>70</v>
      </c>
      <c r="I762" s="230"/>
    </row>
    <row r="763" spans="1:9" ht="15.75" x14ac:dyDescent="0.25">
      <c r="A763" s="23" t="s">
        <v>505</v>
      </c>
      <c r="B763" s="19">
        <v>907</v>
      </c>
      <c r="C763" s="24" t="s">
        <v>506</v>
      </c>
      <c r="D763" s="20"/>
      <c r="E763" s="20"/>
      <c r="F763" s="20"/>
      <c r="G763" s="416">
        <f>G764+G803</f>
        <v>58483.6</v>
      </c>
      <c r="H763" s="416">
        <f>H764+H803</f>
        <v>58483.6</v>
      </c>
      <c r="I763" s="230"/>
    </row>
    <row r="764" spans="1:9" ht="15.75" x14ac:dyDescent="0.25">
      <c r="A764" s="23" t="s">
        <v>507</v>
      </c>
      <c r="B764" s="19">
        <v>907</v>
      </c>
      <c r="C764" s="24" t="s">
        <v>506</v>
      </c>
      <c r="D764" s="24" t="s">
        <v>133</v>
      </c>
      <c r="E764" s="20"/>
      <c r="F764" s="20"/>
      <c r="G764" s="416">
        <f>G765+G798</f>
        <v>46727.6</v>
      </c>
      <c r="H764" s="416">
        <f>H765+H798</f>
        <v>46727.6</v>
      </c>
      <c r="I764" s="230"/>
    </row>
    <row r="765" spans="1:9" ht="47.25" x14ac:dyDescent="0.25">
      <c r="A765" s="23" t="s">
        <v>1460</v>
      </c>
      <c r="B765" s="19">
        <v>907</v>
      </c>
      <c r="C765" s="24" t="s">
        <v>506</v>
      </c>
      <c r="D765" s="24" t="s">
        <v>133</v>
      </c>
      <c r="E765" s="24" t="s">
        <v>497</v>
      </c>
      <c r="F765" s="24"/>
      <c r="G765" s="416">
        <f>G766</f>
        <v>46187.5</v>
      </c>
      <c r="H765" s="416">
        <f>H766</f>
        <v>46187.5</v>
      </c>
      <c r="I765" s="230"/>
    </row>
    <row r="766" spans="1:9" ht="47.25" x14ac:dyDescent="0.25">
      <c r="A766" s="23" t="s">
        <v>1459</v>
      </c>
      <c r="B766" s="19">
        <v>907</v>
      </c>
      <c r="C766" s="24" t="s">
        <v>506</v>
      </c>
      <c r="D766" s="24" t="s">
        <v>133</v>
      </c>
      <c r="E766" s="24" t="s">
        <v>509</v>
      </c>
      <c r="F766" s="24"/>
      <c r="G766" s="416">
        <f>G767+G777+G787+G794</f>
        <v>46187.5</v>
      </c>
      <c r="H766" s="416">
        <f>H767+H777+H787+H794</f>
        <v>46187.5</v>
      </c>
      <c r="I766" s="230"/>
    </row>
    <row r="767" spans="1:9" ht="31.5" x14ac:dyDescent="0.25">
      <c r="A767" s="23" t="s">
        <v>1033</v>
      </c>
      <c r="B767" s="19">
        <v>907</v>
      </c>
      <c r="C767" s="24" t="s">
        <v>506</v>
      </c>
      <c r="D767" s="24" t="s">
        <v>133</v>
      </c>
      <c r="E767" s="24" t="s">
        <v>1066</v>
      </c>
      <c r="F767" s="24"/>
      <c r="G767" s="416">
        <f>G768+G771+G774</f>
        <v>44582</v>
      </c>
      <c r="H767" s="416">
        <f>H768+H771+H774</f>
        <v>44582</v>
      </c>
      <c r="I767" s="230"/>
    </row>
    <row r="768" spans="1:9" ht="47.25" x14ac:dyDescent="0.25">
      <c r="A768" s="25" t="s">
        <v>838</v>
      </c>
      <c r="B768" s="16">
        <v>907</v>
      </c>
      <c r="C768" s="20" t="s">
        <v>506</v>
      </c>
      <c r="D768" s="20" t="s">
        <v>133</v>
      </c>
      <c r="E768" s="20" t="s">
        <v>1076</v>
      </c>
      <c r="F768" s="20"/>
      <c r="G768" s="415">
        <f>'Пр.6 ведом.20'!G772</f>
        <v>13108</v>
      </c>
      <c r="H768" s="415">
        <f t="shared" si="28"/>
        <v>13108</v>
      </c>
      <c r="I768" s="230"/>
    </row>
    <row r="769" spans="1:9" ht="31.5" x14ac:dyDescent="0.25">
      <c r="A769" s="25" t="s">
        <v>287</v>
      </c>
      <c r="B769" s="16">
        <v>907</v>
      </c>
      <c r="C769" s="20" t="s">
        <v>506</v>
      </c>
      <c r="D769" s="20" t="s">
        <v>133</v>
      </c>
      <c r="E769" s="20" t="s">
        <v>1076</v>
      </c>
      <c r="F769" s="20" t="s">
        <v>288</v>
      </c>
      <c r="G769" s="415">
        <f>'Пр.6 ведом.20'!G773</f>
        <v>13108</v>
      </c>
      <c r="H769" s="415">
        <f t="shared" si="28"/>
        <v>13108</v>
      </c>
      <c r="I769" s="230"/>
    </row>
    <row r="770" spans="1:9" ht="15.75" x14ac:dyDescent="0.25">
      <c r="A770" s="25" t="s">
        <v>289</v>
      </c>
      <c r="B770" s="16">
        <v>907</v>
      </c>
      <c r="C770" s="20" t="s">
        <v>506</v>
      </c>
      <c r="D770" s="20" t="s">
        <v>133</v>
      </c>
      <c r="E770" s="20" t="s">
        <v>1076</v>
      </c>
      <c r="F770" s="20" t="s">
        <v>290</v>
      </c>
      <c r="G770" s="415">
        <f>'Пр.6 ведом.20'!G774</f>
        <v>13108</v>
      </c>
      <c r="H770" s="415">
        <f t="shared" si="28"/>
        <v>13108</v>
      </c>
      <c r="I770" s="230"/>
    </row>
    <row r="771" spans="1:9" ht="47.25" x14ac:dyDescent="0.25">
      <c r="A771" s="25" t="s">
        <v>859</v>
      </c>
      <c r="B771" s="16">
        <v>907</v>
      </c>
      <c r="C771" s="20" t="s">
        <v>506</v>
      </c>
      <c r="D771" s="20" t="s">
        <v>133</v>
      </c>
      <c r="E771" s="20" t="s">
        <v>1077</v>
      </c>
      <c r="F771" s="20"/>
      <c r="G771" s="415">
        <f>'Пр.6 ведом.20'!G775</f>
        <v>12897</v>
      </c>
      <c r="H771" s="415">
        <f t="shared" si="28"/>
        <v>12897</v>
      </c>
      <c r="I771" s="230"/>
    </row>
    <row r="772" spans="1:9" ht="31.5" x14ac:dyDescent="0.25">
      <c r="A772" s="25" t="s">
        <v>287</v>
      </c>
      <c r="B772" s="16">
        <v>907</v>
      </c>
      <c r="C772" s="20" t="s">
        <v>506</v>
      </c>
      <c r="D772" s="20" t="s">
        <v>133</v>
      </c>
      <c r="E772" s="20" t="s">
        <v>1077</v>
      </c>
      <c r="F772" s="20" t="s">
        <v>288</v>
      </c>
      <c r="G772" s="415">
        <f>'Пр.6 ведом.20'!G776</f>
        <v>12897</v>
      </c>
      <c r="H772" s="415">
        <f t="shared" si="28"/>
        <v>12897</v>
      </c>
      <c r="I772" s="230"/>
    </row>
    <row r="773" spans="1:9" ht="15.75" x14ac:dyDescent="0.25">
      <c r="A773" s="25" t="s">
        <v>289</v>
      </c>
      <c r="B773" s="16">
        <v>907</v>
      </c>
      <c r="C773" s="20" t="s">
        <v>506</v>
      </c>
      <c r="D773" s="20" t="s">
        <v>133</v>
      </c>
      <c r="E773" s="20" t="s">
        <v>1077</v>
      </c>
      <c r="F773" s="20" t="s">
        <v>290</v>
      </c>
      <c r="G773" s="415">
        <f>'Пр.6 ведом.20'!G777</f>
        <v>12897</v>
      </c>
      <c r="H773" s="415">
        <f t="shared" ref="H773:H831" si="32">G773</f>
        <v>12897</v>
      </c>
      <c r="I773" s="230"/>
    </row>
    <row r="774" spans="1:9" ht="47.25" x14ac:dyDescent="0.25">
      <c r="A774" s="25" t="s">
        <v>860</v>
      </c>
      <c r="B774" s="16">
        <v>907</v>
      </c>
      <c r="C774" s="20" t="s">
        <v>506</v>
      </c>
      <c r="D774" s="20" t="s">
        <v>133</v>
      </c>
      <c r="E774" s="20" t="s">
        <v>1078</v>
      </c>
      <c r="F774" s="20"/>
      <c r="G774" s="415">
        <f>'Пр.6 ведом.20'!G778</f>
        <v>18577</v>
      </c>
      <c r="H774" s="415">
        <f t="shared" si="32"/>
        <v>18577</v>
      </c>
      <c r="I774" s="230"/>
    </row>
    <row r="775" spans="1:9" ht="31.5" x14ac:dyDescent="0.25">
      <c r="A775" s="25" t="s">
        <v>287</v>
      </c>
      <c r="B775" s="16">
        <v>907</v>
      </c>
      <c r="C775" s="20" t="s">
        <v>506</v>
      </c>
      <c r="D775" s="20" t="s">
        <v>133</v>
      </c>
      <c r="E775" s="20" t="s">
        <v>1078</v>
      </c>
      <c r="F775" s="20" t="s">
        <v>288</v>
      </c>
      <c r="G775" s="415">
        <f>'Пр.6 ведом.20'!G779</f>
        <v>18577</v>
      </c>
      <c r="H775" s="415">
        <f t="shared" si="32"/>
        <v>18577</v>
      </c>
      <c r="I775" s="230"/>
    </row>
    <row r="776" spans="1:9" ht="15.75" x14ac:dyDescent="0.25">
      <c r="A776" s="25" t="s">
        <v>289</v>
      </c>
      <c r="B776" s="16">
        <v>907</v>
      </c>
      <c r="C776" s="20" t="s">
        <v>506</v>
      </c>
      <c r="D776" s="20" t="s">
        <v>133</v>
      </c>
      <c r="E776" s="20" t="s">
        <v>1078</v>
      </c>
      <c r="F776" s="20" t="s">
        <v>290</v>
      </c>
      <c r="G776" s="415">
        <f>'Пр.6 ведом.20'!G780</f>
        <v>18577</v>
      </c>
      <c r="H776" s="415">
        <f t="shared" si="32"/>
        <v>18577</v>
      </c>
      <c r="I776" s="230"/>
    </row>
    <row r="777" spans="1:9" ht="31.5" hidden="1" x14ac:dyDescent="0.25">
      <c r="A777" s="23" t="s">
        <v>1079</v>
      </c>
      <c r="B777" s="19">
        <v>907</v>
      </c>
      <c r="C777" s="24" t="s">
        <v>506</v>
      </c>
      <c r="D777" s="24" t="s">
        <v>133</v>
      </c>
      <c r="E777" s="24" t="s">
        <v>1080</v>
      </c>
      <c r="F777" s="24"/>
      <c r="G777" s="315">
        <f>G778+G781+G784</f>
        <v>36</v>
      </c>
      <c r="H777" s="315">
        <f>H778+H781+H784</f>
        <v>36</v>
      </c>
      <c r="I777" s="230"/>
    </row>
    <row r="778" spans="1:9" ht="31.5" hidden="1" x14ac:dyDescent="0.25">
      <c r="A778" s="25" t="s">
        <v>293</v>
      </c>
      <c r="B778" s="16">
        <v>907</v>
      </c>
      <c r="C778" s="20" t="s">
        <v>506</v>
      </c>
      <c r="D778" s="20" t="s">
        <v>133</v>
      </c>
      <c r="E778" s="20" t="s">
        <v>1084</v>
      </c>
      <c r="F778" s="20"/>
      <c r="G778" s="415">
        <f>'Пр.6 ведом.20'!G782</f>
        <v>0</v>
      </c>
      <c r="H778" s="415">
        <f t="shared" si="32"/>
        <v>0</v>
      </c>
      <c r="I778" s="230"/>
    </row>
    <row r="779" spans="1:9" ht="31.5" hidden="1" x14ac:dyDescent="0.25">
      <c r="A779" s="25" t="s">
        <v>287</v>
      </c>
      <c r="B779" s="16">
        <v>907</v>
      </c>
      <c r="C779" s="20" t="s">
        <v>506</v>
      </c>
      <c r="D779" s="20" t="s">
        <v>133</v>
      </c>
      <c r="E779" s="20" t="s">
        <v>1084</v>
      </c>
      <c r="F779" s="20" t="s">
        <v>288</v>
      </c>
      <c r="G779" s="415">
        <f>'Пр.6 ведом.20'!G783</f>
        <v>0</v>
      </c>
      <c r="H779" s="415">
        <f t="shared" si="32"/>
        <v>0</v>
      </c>
      <c r="I779" s="230"/>
    </row>
    <row r="780" spans="1:9" ht="15.75" hidden="1" x14ac:dyDescent="0.25">
      <c r="A780" s="25" t="s">
        <v>289</v>
      </c>
      <c r="B780" s="16">
        <v>907</v>
      </c>
      <c r="C780" s="20" t="s">
        <v>506</v>
      </c>
      <c r="D780" s="20" t="s">
        <v>133</v>
      </c>
      <c r="E780" s="20" t="s">
        <v>1084</v>
      </c>
      <c r="F780" s="20" t="s">
        <v>290</v>
      </c>
      <c r="G780" s="415">
        <f>'Пр.6 ведом.20'!G784</f>
        <v>0</v>
      </c>
      <c r="H780" s="415">
        <f t="shared" si="32"/>
        <v>0</v>
      </c>
      <c r="I780" s="230"/>
    </row>
    <row r="781" spans="1:9" ht="31.5" hidden="1" x14ac:dyDescent="0.25">
      <c r="A781" s="25" t="s">
        <v>295</v>
      </c>
      <c r="B781" s="16">
        <v>907</v>
      </c>
      <c r="C781" s="20" t="s">
        <v>506</v>
      </c>
      <c r="D781" s="20" t="s">
        <v>133</v>
      </c>
      <c r="E781" s="20" t="s">
        <v>1085</v>
      </c>
      <c r="F781" s="20"/>
      <c r="G781" s="415">
        <f>'Пр.6 ведом.20'!G785</f>
        <v>0</v>
      </c>
      <c r="H781" s="415">
        <f t="shared" si="32"/>
        <v>0</v>
      </c>
      <c r="I781" s="230"/>
    </row>
    <row r="782" spans="1:9" ht="31.5" hidden="1" x14ac:dyDescent="0.25">
      <c r="A782" s="25" t="s">
        <v>287</v>
      </c>
      <c r="B782" s="16">
        <v>907</v>
      </c>
      <c r="C782" s="20" t="s">
        <v>506</v>
      </c>
      <c r="D782" s="20" t="s">
        <v>133</v>
      </c>
      <c r="E782" s="20" t="s">
        <v>1085</v>
      </c>
      <c r="F782" s="20" t="s">
        <v>288</v>
      </c>
      <c r="G782" s="415">
        <f>'Пр.6 ведом.20'!G786</f>
        <v>0</v>
      </c>
      <c r="H782" s="415">
        <f t="shared" si="32"/>
        <v>0</v>
      </c>
      <c r="I782" s="230"/>
    </row>
    <row r="783" spans="1:9" ht="15.75" hidden="1" x14ac:dyDescent="0.25">
      <c r="A783" s="25" t="s">
        <v>289</v>
      </c>
      <c r="B783" s="16">
        <v>907</v>
      </c>
      <c r="C783" s="20" t="s">
        <v>506</v>
      </c>
      <c r="D783" s="20" t="s">
        <v>133</v>
      </c>
      <c r="E783" s="20" t="s">
        <v>1085</v>
      </c>
      <c r="F783" s="20" t="s">
        <v>290</v>
      </c>
      <c r="G783" s="415">
        <f>'Пр.6 ведом.20'!G787</f>
        <v>0</v>
      </c>
      <c r="H783" s="415">
        <f t="shared" si="32"/>
        <v>0</v>
      </c>
      <c r="I783" s="230"/>
    </row>
    <row r="784" spans="1:9" ht="15.75" x14ac:dyDescent="0.25">
      <c r="A784" s="25" t="s">
        <v>877</v>
      </c>
      <c r="B784" s="16">
        <v>907</v>
      </c>
      <c r="C784" s="20" t="s">
        <v>506</v>
      </c>
      <c r="D784" s="20" t="s">
        <v>133</v>
      </c>
      <c r="E784" s="20" t="s">
        <v>1086</v>
      </c>
      <c r="F784" s="20"/>
      <c r="G784" s="415">
        <f>'Пр.6 ведом.20'!G788</f>
        <v>36</v>
      </c>
      <c r="H784" s="415">
        <f t="shared" si="32"/>
        <v>36</v>
      </c>
      <c r="I784" s="230"/>
    </row>
    <row r="785" spans="1:9" ht="31.5" x14ac:dyDescent="0.25">
      <c r="A785" s="25" t="s">
        <v>287</v>
      </c>
      <c r="B785" s="16">
        <v>907</v>
      </c>
      <c r="C785" s="20" t="s">
        <v>506</v>
      </c>
      <c r="D785" s="20" t="s">
        <v>133</v>
      </c>
      <c r="E785" s="20" t="s">
        <v>1086</v>
      </c>
      <c r="F785" s="20" t="s">
        <v>288</v>
      </c>
      <c r="G785" s="415">
        <f>'Пр.6 ведом.20'!G789</f>
        <v>36</v>
      </c>
      <c r="H785" s="415">
        <f t="shared" si="32"/>
        <v>36</v>
      </c>
      <c r="I785" s="230"/>
    </row>
    <row r="786" spans="1:9" ht="15.75" x14ac:dyDescent="0.25">
      <c r="A786" s="25" t="s">
        <v>289</v>
      </c>
      <c r="B786" s="16">
        <v>907</v>
      </c>
      <c r="C786" s="20" t="s">
        <v>506</v>
      </c>
      <c r="D786" s="20" t="s">
        <v>133</v>
      </c>
      <c r="E786" s="20" t="s">
        <v>1086</v>
      </c>
      <c r="F786" s="20" t="s">
        <v>290</v>
      </c>
      <c r="G786" s="415">
        <f>'Пр.6 ведом.20'!G790</f>
        <v>36</v>
      </c>
      <c r="H786" s="415">
        <f t="shared" si="32"/>
        <v>36</v>
      </c>
      <c r="I786" s="230"/>
    </row>
    <row r="787" spans="1:9" ht="31.5" x14ac:dyDescent="0.25">
      <c r="A787" s="23" t="s">
        <v>1081</v>
      </c>
      <c r="B787" s="19">
        <v>907</v>
      </c>
      <c r="C787" s="24" t="s">
        <v>506</v>
      </c>
      <c r="D787" s="24" t="s">
        <v>133</v>
      </c>
      <c r="E787" s="24" t="s">
        <v>1083</v>
      </c>
      <c r="F787" s="24"/>
      <c r="G787" s="416">
        <f>G788+G791</f>
        <v>756</v>
      </c>
      <c r="H787" s="416">
        <f>H788+H791</f>
        <v>756</v>
      </c>
      <c r="I787" s="230"/>
    </row>
    <row r="788" spans="1:9" ht="31.5" hidden="1" x14ac:dyDescent="0.25">
      <c r="A788" s="25" t="s">
        <v>816</v>
      </c>
      <c r="B788" s="16">
        <v>907</v>
      </c>
      <c r="C788" s="20" t="s">
        <v>506</v>
      </c>
      <c r="D788" s="20" t="s">
        <v>133</v>
      </c>
      <c r="E788" s="20" t="s">
        <v>1087</v>
      </c>
      <c r="F788" s="20"/>
      <c r="G788" s="415">
        <f>'Пр.6 ведом.20'!G792</f>
        <v>0</v>
      </c>
      <c r="H788" s="415">
        <f t="shared" si="32"/>
        <v>0</v>
      </c>
      <c r="I788" s="230"/>
    </row>
    <row r="789" spans="1:9" ht="31.5" hidden="1" x14ac:dyDescent="0.25">
      <c r="A789" s="25" t="s">
        <v>287</v>
      </c>
      <c r="B789" s="16">
        <v>907</v>
      </c>
      <c r="C789" s="20" t="s">
        <v>506</v>
      </c>
      <c r="D789" s="20" t="s">
        <v>133</v>
      </c>
      <c r="E789" s="20" t="s">
        <v>1087</v>
      </c>
      <c r="F789" s="20" t="s">
        <v>288</v>
      </c>
      <c r="G789" s="415">
        <f>'Пр.6 ведом.20'!G793</f>
        <v>0</v>
      </c>
      <c r="H789" s="415">
        <f t="shared" si="32"/>
        <v>0</v>
      </c>
      <c r="I789" s="230"/>
    </row>
    <row r="790" spans="1:9" ht="15.75" hidden="1" x14ac:dyDescent="0.25">
      <c r="A790" s="25" t="s">
        <v>289</v>
      </c>
      <c r="B790" s="16">
        <v>907</v>
      </c>
      <c r="C790" s="20" t="s">
        <v>506</v>
      </c>
      <c r="D790" s="20" t="s">
        <v>133</v>
      </c>
      <c r="E790" s="20" t="s">
        <v>1087</v>
      </c>
      <c r="F790" s="20" t="s">
        <v>290</v>
      </c>
      <c r="G790" s="415">
        <f>'Пр.6 ведом.20'!G794</f>
        <v>0</v>
      </c>
      <c r="H790" s="415">
        <f t="shared" si="32"/>
        <v>0</v>
      </c>
      <c r="I790" s="230"/>
    </row>
    <row r="791" spans="1:9" ht="31.5" x14ac:dyDescent="0.25">
      <c r="A791" s="45" t="s">
        <v>786</v>
      </c>
      <c r="B791" s="16">
        <v>907</v>
      </c>
      <c r="C791" s="20" t="s">
        <v>506</v>
      </c>
      <c r="D791" s="20" t="s">
        <v>133</v>
      </c>
      <c r="E791" s="20" t="s">
        <v>1088</v>
      </c>
      <c r="F791" s="20"/>
      <c r="G791" s="415">
        <f>'Пр.6 ведом.20'!G795</f>
        <v>756</v>
      </c>
      <c r="H791" s="415">
        <f t="shared" si="32"/>
        <v>756</v>
      </c>
      <c r="I791" s="230"/>
    </row>
    <row r="792" spans="1:9" ht="31.5" x14ac:dyDescent="0.25">
      <c r="A792" s="31" t="s">
        <v>287</v>
      </c>
      <c r="B792" s="16">
        <v>907</v>
      </c>
      <c r="C792" s="20" t="s">
        <v>506</v>
      </c>
      <c r="D792" s="20" t="s">
        <v>133</v>
      </c>
      <c r="E792" s="20" t="s">
        <v>1088</v>
      </c>
      <c r="F792" s="20" t="s">
        <v>288</v>
      </c>
      <c r="G792" s="415">
        <f>'Пр.6 ведом.20'!G796</f>
        <v>756</v>
      </c>
      <c r="H792" s="415">
        <f t="shared" si="32"/>
        <v>756</v>
      </c>
      <c r="I792" s="230"/>
    </row>
    <row r="793" spans="1:9" ht="15.75" x14ac:dyDescent="0.25">
      <c r="A793" s="31" t="s">
        <v>289</v>
      </c>
      <c r="B793" s="16">
        <v>907</v>
      </c>
      <c r="C793" s="20" t="s">
        <v>506</v>
      </c>
      <c r="D793" s="20" t="s">
        <v>133</v>
      </c>
      <c r="E793" s="20" t="s">
        <v>1088</v>
      </c>
      <c r="F793" s="20" t="s">
        <v>290</v>
      </c>
      <c r="G793" s="415">
        <f>'Пр.6 ведом.20'!G797</f>
        <v>756</v>
      </c>
      <c r="H793" s="415">
        <f t="shared" si="32"/>
        <v>756</v>
      </c>
      <c r="I793" s="230"/>
    </row>
    <row r="794" spans="1:9" ht="47.25" x14ac:dyDescent="0.25">
      <c r="A794" s="23" t="s">
        <v>973</v>
      </c>
      <c r="B794" s="19">
        <v>907</v>
      </c>
      <c r="C794" s="24" t="s">
        <v>506</v>
      </c>
      <c r="D794" s="24" t="s">
        <v>133</v>
      </c>
      <c r="E794" s="24" t="s">
        <v>1089</v>
      </c>
      <c r="F794" s="24"/>
      <c r="G794" s="416">
        <f>G795</f>
        <v>813.5</v>
      </c>
      <c r="H794" s="416">
        <f>H795</f>
        <v>813.5</v>
      </c>
      <c r="I794" s="230"/>
    </row>
    <row r="795" spans="1:9" ht="94.5" x14ac:dyDescent="0.25">
      <c r="A795" s="31" t="s">
        <v>479</v>
      </c>
      <c r="B795" s="16">
        <v>907</v>
      </c>
      <c r="C795" s="20" t="s">
        <v>506</v>
      </c>
      <c r="D795" s="20" t="s">
        <v>133</v>
      </c>
      <c r="E795" s="20" t="s">
        <v>1090</v>
      </c>
      <c r="F795" s="20"/>
      <c r="G795" s="415">
        <f>'Пр.6 ведом.20'!G799</f>
        <v>813.5</v>
      </c>
      <c r="H795" s="415">
        <f t="shared" si="32"/>
        <v>813.5</v>
      </c>
      <c r="I795" s="230"/>
    </row>
    <row r="796" spans="1:9" ht="31.5" x14ac:dyDescent="0.25">
      <c r="A796" s="25" t="s">
        <v>287</v>
      </c>
      <c r="B796" s="16">
        <v>907</v>
      </c>
      <c r="C796" s="20" t="s">
        <v>506</v>
      </c>
      <c r="D796" s="20" t="s">
        <v>133</v>
      </c>
      <c r="E796" s="20" t="s">
        <v>1090</v>
      </c>
      <c r="F796" s="20" t="s">
        <v>288</v>
      </c>
      <c r="G796" s="415">
        <f>'Пр.6 ведом.20'!G800</f>
        <v>813.5</v>
      </c>
      <c r="H796" s="415">
        <f t="shared" si="32"/>
        <v>813.5</v>
      </c>
      <c r="I796" s="230"/>
    </row>
    <row r="797" spans="1:9" ht="15.75" x14ac:dyDescent="0.25">
      <c r="A797" s="25" t="s">
        <v>289</v>
      </c>
      <c r="B797" s="16">
        <v>907</v>
      </c>
      <c r="C797" s="20" t="s">
        <v>506</v>
      </c>
      <c r="D797" s="20" t="s">
        <v>133</v>
      </c>
      <c r="E797" s="20" t="s">
        <v>1090</v>
      </c>
      <c r="F797" s="20" t="s">
        <v>290</v>
      </c>
      <c r="G797" s="415">
        <f>'Пр.6 ведом.20'!G801</f>
        <v>813.5</v>
      </c>
      <c r="H797" s="415">
        <f t="shared" si="32"/>
        <v>813.5</v>
      </c>
      <c r="I797" s="361">
        <f>12177.1/11326*870.2</f>
        <v>935.59177291188428</v>
      </c>
    </row>
    <row r="798" spans="1:9" ht="63" x14ac:dyDescent="0.25">
      <c r="A798" s="41" t="s">
        <v>1452</v>
      </c>
      <c r="B798" s="19">
        <v>907</v>
      </c>
      <c r="C798" s="24" t="s">
        <v>506</v>
      </c>
      <c r="D798" s="24" t="s">
        <v>133</v>
      </c>
      <c r="E798" s="24" t="s">
        <v>727</v>
      </c>
      <c r="F798" s="285"/>
      <c r="G798" s="416">
        <f>G799</f>
        <v>540.1</v>
      </c>
      <c r="H798" s="416">
        <f>H799</f>
        <v>540.1</v>
      </c>
      <c r="I798" s="230"/>
    </row>
    <row r="799" spans="1:9" ht="47.25" x14ac:dyDescent="0.25">
      <c r="A799" s="41" t="s">
        <v>951</v>
      </c>
      <c r="B799" s="19">
        <v>907</v>
      </c>
      <c r="C799" s="24" t="s">
        <v>506</v>
      </c>
      <c r="D799" s="24" t="s">
        <v>133</v>
      </c>
      <c r="E799" s="24" t="s">
        <v>949</v>
      </c>
      <c r="F799" s="285"/>
      <c r="G799" s="416">
        <f>G800</f>
        <v>540.1</v>
      </c>
      <c r="H799" s="416">
        <f>H800</f>
        <v>540.1</v>
      </c>
      <c r="I799" s="230"/>
    </row>
    <row r="800" spans="1:9" ht="47.25" x14ac:dyDescent="0.25">
      <c r="A800" s="101" t="s">
        <v>802</v>
      </c>
      <c r="B800" s="16">
        <v>907</v>
      </c>
      <c r="C800" s="20" t="s">
        <v>506</v>
      </c>
      <c r="D800" s="20" t="s">
        <v>133</v>
      </c>
      <c r="E800" s="20" t="s">
        <v>1032</v>
      </c>
      <c r="F800" s="32"/>
      <c r="G800" s="415">
        <f>'Пр.6 ведом.20'!G804</f>
        <v>540.1</v>
      </c>
      <c r="H800" s="415">
        <f t="shared" si="32"/>
        <v>540.1</v>
      </c>
      <c r="I800" s="230"/>
    </row>
    <row r="801" spans="1:9" ht="31.5" x14ac:dyDescent="0.25">
      <c r="A801" s="29" t="s">
        <v>287</v>
      </c>
      <c r="B801" s="16">
        <v>907</v>
      </c>
      <c r="C801" s="20" t="s">
        <v>506</v>
      </c>
      <c r="D801" s="20" t="s">
        <v>133</v>
      </c>
      <c r="E801" s="20" t="s">
        <v>1032</v>
      </c>
      <c r="F801" s="32" t="s">
        <v>288</v>
      </c>
      <c r="G801" s="415">
        <f>'Пр.6 ведом.20'!G805</f>
        <v>540.1</v>
      </c>
      <c r="H801" s="415">
        <f t="shared" si="32"/>
        <v>540.1</v>
      </c>
      <c r="I801" s="230"/>
    </row>
    <row r="802" spans="1:9" ht="15.75" x14ac:dyDescent="0.25">
      <c r="A802" s="195" t="s">
        <v>289</v>
      </c>
      <c r="B802" s="16">
        <v>907</v>
      </c>
      <c r="C802" s="20" t="s">
        <v>506</v>
      </c>
      <c r="D802" s="20" t="s">
        <v>133</v>
      </c>
      <c r="E802" s="20" t="s">
        <v>1032</v>
      </c>
      <c r="F802" s="32" t="s">
        <v>290</v>
      </c>
      <c r="G802" s="415">
        <f>'Пр.6 ведом.20'!G806</f>
        <v>540.1</v>
      </c>
      <c r="H802" s="415">
        <f t="shared" si="32"/>
        <v>540.1</v>
      </c>
      <c r="I802" s="230"/>
    </row>
    <row r="803" spans="1:9" ht="31.5" x14ac:dyDescent="0.25">
      <c r="A803" s="23" t="s">
        <v>515</v>
      </c>
      <c r="B803" s="19">
        <v>907</v>
      </c>
      <c r="C803" s="24" t="s">
        <v>506</v>
      </c>
      <c r="D803" s="24" t="s">
        <v>249</v>
      </c>
      <c r="E803" s="24"/>
      <c r="F803" s="24"/>
      <c r="G803" s="416">
        <f>G804+G812+G824</f>
        <v>11756</v>
      </c>
      <c r="H803" s="416">
        <f>H804+H812+H824</f>
        <v>11756</v>
      </c>
      <c r="I803" s="230"/>
    </row>
    <row r="804" spans="1:9" ht="31.5" x14ac:dyDescent="0.25">
      <c r="A804" s="23" t="s">
        <v>992</v>
      </c>
      <c r="B804" s="19">
        <v>907</v>
      </c>
      <c r="C804" s="24" t="s">
        <v>506</v>
      </c>
      <c r="D804" s="24" t="s">
        <v>249</v>
      </c>
      <c r="E804" s="24" t="s">
        <v>906</v>
      </c>
      <c r="F804" s="24"/>
      <c r="G804" s="416">
        <f>G805</f>
        <v>4531</v>
      </c>
      <c r="H804" s="416">
        <f>H805</f>
        <v>4531</v>
      </c>
      <c r="I804" s="230"/>
    </row>
    <row r="805" spans="1:9" ht="15.75" x14ac:dyDescent="0.25">
      <c r="A805" s="23" t="s">
        <v>993</v>
      </c>
      <c r="B805" s="19">
        <v>907</v>
      </c>
      <c r="C805" s="24" t="s">
        <v>506</v>
      </c>
      <c r="D805" s="24" t="s">
        <v>249</v>
      </c>
      <c r="E805" s="24" t="s">
        <v>907</v>
      </c>
      <c r="F805" s="24"/>
      <c r="G805" s="416">
        <f>G806+G809</f>
        <v>4531</v>
      </c>
      <c r="H805" s="416">
        <f>H806+H809</f>
        <v>4531</v>
      </c>
      <c r="I805" s="230"/>
    </row>
    <row r="806" spans="1:9" ht="31.5" x14ac:dyDescent="0.25">
      <c r="A806" s="25" t="s">
        <v>969</v>
      </c>
      <c r="B806" s="16">
        <v>907</v>
      </c>
      <c r="C806" s="20" t="s">
        <v>506</v>
      </c>
      <c r="D806" s="20" t="s">
        <v>249</v>
      </c>
      <c r="E806" s="20" t="s">
        <v>908</v>
      </c>
      <c r="F806" s="20"/>
      <c r="G806" s="415">
        <f>'Пр.6 ведом.20'!G810</f>
        <v>4447</v>
      </c>
      <c r="H806" s="415">
        <f t="shared" si="32"/>
        <v>4447</v>
      </c>
      <c r="I806" s="230"/>
    </row>
    <row r="807" spans="1:9" ht="78.75" x14ac:dyDescent="0.25">
      <c r="A807" s="25" t="s">
        <v>142</v>
      </c>
      <c r="B807" s="16">
        <v>907</v>
      </c>
      <c r="C807" s="20" t="s">
        <v>506</v>
      </c>
      <c r="D807" s="20" t="s">
        <v>249</v>
      </c>
      <c r="E807" s="20" t="s">
        <v>908</v>
      </c>
      <c r="F807" s="20" t="s">
        <v>143</v>
      </c>
      <c r="G807" s="415">
        <f>'Пр.6 ведом.20'!G811</f>
        <v>4447</v>
      </c>
      <c r="H807" s="415">
        <f t="shared" si="32"/>
        <v>4447</v>
      </c>
      <c r="I807" s="230"/>
    </row>
    <row r="808" spans="1:9" ht="31.5" x14ac:dyDescent="0.25">
      <c r="A808" s="25" t="s">
        <v>144</v>
      </c>
      <c r="B808" s="16">
        <v>907</v>
      </c>
      <c r="C808" s="20" t="s">
        <v>506</v>
      </c>
      <c r="D808" s="20" t="s">
        <v>249</v>
      </c>
      <c r="E808" s="20" t="s">
        <v>908</v>
      </c>
      <c r="F808" s="20" t="s">
        <v>145</v>
      </c>
      <c r="G808" s="415">
        <f>'Пр.6 ведом.20'!G812</f>
        <v>4447</v>
      </c>
      <c r="H808" s="415">
        <f t="shared" si="32"/>
        <v>4447</v>
      </c>
      <c r="I808" s="230"/>
    </row>
    <row r="809" spans="1:9" ht="47.25" x14ac:dyDescent="0.25">
      <c r="A809" s="25" t="s">
        <v>886</v>
      </c>
      <c r="B809" s="16">
        <v>907</v>
      </c>
      <c r="C809" s="20" t="s">
        <v>506</v>
      </c>
      <c r="D809" s="20" t="s">
        <v>249</v>
      </c>
      <c r="E809" s="20" t="s">
        <v>910</v>
      </c>
      <c r="F809" s="20"/>
      <c r="G809" s="415">
        <f>'Пр.6 ведом.20'!G813</f>
        <v>84</v>
      </c>
      <c r="H809" s="415">
        <f t="shared" si="32"/>
        <v>84</v>
      </c>
      <c r="I809" s="230"/>
    </row>
    <row r="810" spans="1:9" ht="78.75" x14ac:dyDescent="0.25">
      <c r="A810" s="25" t="s">
        <v>142</v>
      </c>
      <c r="B810" s="16">
        <v>907</v>
      </c>
      <c r="C810" s="20" t="s">
        <v>506</v>
      </c>
      <c r="D810" s="20" t="s">
        <v>249</v>
      </c>
      <c r="E810" s="20" t="s">
        <v>910</v>
      </c>
      <c r="F810" s="20" t="s">
        <v>143</v>
      </c>
      <c r="G810" s="415">
        <f>'Пр.6 ведом.20'!G814</f>
        <v>84</v>
      </c>
      <c r="H810" s="415">
        <f t="shared" si="32"/>
        <v>84</v>
      </c>
      <c r="I810" s="230"/>
    </row>
    <row r="811" spans="1:9" ht="31.5" x14ac:dyDescent="0.25">
      <c r="A811" s="25" t="s">
        <v>144</v>
      </c>
      <c r="B811" s="16">
        <v>907</v>
      </c>
      <c r="C811" s="20" t="s">
        <v>506</v>
      </c>
      <c r="D811" s="20" t="s">
        <v>249</v>
      </c>
      <c r="E811" s="20" t="s">
        <v>910</v>
      </c>
      <c r="F811" s="20" t="s">
        <v>145</v>
      </c>
      <c r="G811" s="415">
        <f>'Пр.6 ведом.20'!G815</f>
        <v>84</v>
      </c>
      <c r="H811" s="415">
        <f t="shared" si="32"/>
        <v>84</v>
      </c>
      <c r="I811" s="230"/>
    </row>
    <row r="812" spans="1:9" ht="15.75" x14ac:dyDescent="0.25">
      <c r="A812" s="23" t="s">
        <v>156</v>
      </c>
      <c r="B812" s="19">
        <v>907</v>
      </c>
      <c r="C812" s="24" t="s">
        <v>506</v>
      </c>
      <c r="D812" s="24" t="s">
        <v>249</v>
      </c>
      <c r="E812" s="24" t="s">
        <v>914</v>
      </c>
      <c r="F812" s="24"/>
      <c r="G812" s="416">
        <f>G813</f>
        <v>5225</v>
      </c>
      <c r="H812" s="416">
        <f>H813</f>
        <v>5225</v>
      </c>
      <c r="I812" s="230"/>
    </row>
    <row r="813" spans="1:9" ht="31.5" x14ac:dyDescent="0.25">
      <c r="A813" s="23" t="s">
        <v>1006</v>
      </c>
      <c r="B813" s="19">
        <v>907</v>
      </c>
      <c r="C813" s="24" t="s">
        <v>506</v>
      </c>
      <c r="D813" s="24" t="s">
        <v>249</v>
      </c>
      <c r="E813" s="24" t="s">
        <v>989</v>
      </c>
      <c r="F813" s="24"/>
      <c r="G813" s="416">
        <f>G814+G821</f>
        <v>5225</v>
      </c>
      <c r="H813" s="416">
        <f>H814+H821</f>
        <v>5225</v>
      </c>
      <c r="I813" s="230"/>
    </row>
    <row r="814" spans="1:9" ht="31.5" x14ac:dyDescent="0.25">
      <c r="A814" s="25" t="s">
        <v>976</v>
      </c>
      <c r="B814" s="16">
        <v>907</v>
      </c>
      <c r="C814" s="20" t="s">
        <v>506</v>
      </c>
      <c r="D814" s="20" t="s">
        <v>249</v>
      </c>
      <c r="E814" s="20" t="s">
        <v>990</v>
      </c>
      <c r="F814" s="20"/>
      <c r="G814" s="415">
        <f>'Пр.6 ведом.20'!G818</f>
        <v>5015</v>
      </c>
      <c r="H814" s="415">
        <f t="shared" si="32"/>
        <v>5015</v>
      </c>
      <c r="I814" s="230"/>
    </row>
    <row r="815" spans="1:9" ht="78.75" x14ac:dyDescent="0.25">
      <c r="A815" s="25" t="s">
        <v>142</v>
      </c>
      <c r="B815" s="16">
        <v>907</v>
      </c>
      <c r="C815" s="20" t="s">
        <v>506</v>
      </c>
      <c r="D815" s="20" t="s">
        <v>249</v>
      </c>
      <c r="E815" s="20" t="s">
        <v>990</v>
      </c>
      <c r="F815" s="20" t="s">
        <v>143</v>
      </c>
      <c r="G815" s="415">
        <f>'Пр.6 ведом.20'!G819</f>
        <v>4454</v>
      </c>
      <c r="H815" s="415">
        <f t="shared" si="32"/>
        <v>4454</v>
      </c>
      <c r="I815" s="230"/>
    </row>
    <row r="816" spans="1:9" ht="31.5" x14ac:dyDescent="0.25">
      <c r="A816" s="25" t="s">
        <v>357</v>
      </c>
      <c r="B816" s="16">
        <v>907</v>
      </c>
      <c r="C816" s="20" t="s">
        <v>506</v>
      </c>
      <c r="D816" s="20" t="s">
        <v>249</v>
      </c>
      <c r="E816" s="20" t="s">
        <v>990</v>
      </c>
      <c r="F816" s="20" t="s">
        <v>224</v>
      </c>
      <c r="G816" s="415">
        <f>'Пр.6 ведом.20'!G820</f>
        <v>4454</v>
      </c>
      <c r="H816" s="415">
        <f t="shared" si="32"/>
        <v>4454</v>
      </c>
      <c r="I816" s="230"/>
    </row>
    <row r="817" spans="1:9" ht="31.5" x14ac:dyDescent="0.25">
      <c r="A817" s="25" t="s">
        <v>146</v>
      </c>
      <c r="B817" s="16">
        <v>907</v>
      </c>
      <c r="C817" s="20" t="s">
        <v>506</v>
      </c>
      <c r="D817" s="20" t="s">
        <v>249</v>
      </c>
      <c r="E817" s="20" t="s">
        <v>990</v>
      </c>
      <c r="F817" s="20" t="s">
        <v>147</v>
      </c>
      <c r="G817" s="415">
        <f>'Пр.6 ведом.20'!G821</f>
        <v>510</v>
      </c>
      <c r="H817" s="415">
        <f t="shared" si="32"/>
        <v>510</v>
      </c>
      <c r="I817" s="230"/>
    </row>
    <row r="818" spans="1:9" ht="31.5" x14ac:dyDescent="0.25">
      <c r="A818" s="25" t="s">
        <v>148</v>
      </c>
      <c r="B818" s="16">
        <v>907</v>
      </c>
      <c r="C818" s="20" t="s">
        <v>506</v>
      </c>
      <c r="D818" s="20" t="s">
        <v>249</v>
      </c>
      <c r="E818" s="20" t="s">
        <v>990</v>
      </c>
      <c r="F818" s="20" t="s">
        <v>149</v>
      </c>
      <c r="G818" s="415">
        <f>'Пр.6 ведом.20'!G822</f>
        <v>510</v>
      </c>
      <c r="H818" s="415">
        <f t="shared" si="32"/>
        <v>510</v>
      </c>
      <c r="I818" s="230"/>
    </row>
    <row r="819" spans="1:9" ht="15.75" x14ac:dyDescent="0.25">
      <c r="A819" s="25" t="s">
        <v>150</v>
      </c>
      <c r="B819" s="16">
        <v>907</v>
      </c>
      <c r="C819" s="20" t="s">
        <v>506</v>
      </c>
      <c r="D819" s="20" t="s">
        <v>249</v>
      </c>
      <c r="E819" s="20" t="s">
        <v>990</v>
      </c>
      <c r="F819" s="20" t="s">
        <v>160</v>
      </c>
      <c r="G819" s="415">
        <f>'Пр.6 ведом.20'!G823</f>
        <v>51</v>
      </c>
      <c r="H819" s="415">
        <f t="shared" si="32"/>
        <v>51</v>
      </c>
      <c r="I819" s="230"/>
    </row>
    <row r="820" spans="1:9" ht="15.75" x14ac:dyDescent="0.25">
      <c r="A820" s="25" t="s">
        <v>583</v>
      </c>
      <c r="B820" s="16">
        <v>907</v>
      </c>
      <c r="C820" s="20" t="s">
        <v>506</v>
      </c>
      <c r="D820" s="20" t="s">
        <v>249</v>
      </c>
      <c r="E820" s="20" t="s">
        <v>990</v>
      </c>
      <c r="F820" s="20" t="s">
        <v>153</v>
      </c>
      <c r="G820" s="415">
        <f>'Пр.6 ведом.20'!G824</f>
        <v>51</v>
      </c>
      <c r="H820" s="415">
        <f t="shared" si="32"/>
        <v>51</v>
      </c>
      <c r="I820" s="230"/>
    </row>
    <row r="821" spans="1:9" ht="47.25" x14ac:dyDescent="0.25">
      <c r="A821" s="25" t="s">
        <v>886</v>
      </c>
      <c r="B821" s="16">
        <v>907</v>
      </c>
      <c r="C821" s="20" t="s">
        <v>506</v>
      </c>
      <c r="D821" s="20" t="s">
        <v>249</v>
      </c>
      <c r="E821" s="20" t="s">
        <v>991</v>
      </c>
      <c r="F821" s="20"/>
      <c r="G821" s="415">
        <f>'Пр.6 ведом.20'!G825</f>
        <v>210</v>
      </c>
      <c r="H821" s="415">
        <f t="shared" si="32"/>
        <v>210</v>
      </c>
      <c r="I821" s="230"/>
    </row>
    <row r="822" spans="1:9" ht="78.75" x14ac:dyDescent="0.25">
      <c r="A822" s="25" t="s">
        <v>142</v>
      </c>
      <c r="B822" s="16">
        <v>907</v>
      </c>
      <c r="C822" s="20" t="s">
        <v>506</v>
      </c>
      <c r="D822" s="20" t="s">
        <v>249</v>
      </c>
      <c r="E822" s="20" t="s">
        <v>991</v>
      </c>
      <c r="F822" s="20" t="s">
        <v>143</v>
      </c>
      <c r="G822" s="415">
        <f>'Пр.6 ведом.20'!G826</f>
        <v>210</v>
      </c>
      <c r="H822" s="415">
        <f t="shared" si="32"/>
        <v>210</v>
      </c>
      <c r="I822" s="230"/>
    </row>
    <row r="823" spans="1:9" ht="19.5" customHeight="1" x14ac:dyDescent="0.25">
      <c r="A823" s="25" t="s">
        <v>357</v>
      </c>
      <c r="B823" s="16">
        <v>907</v>
      </c>
      <c r="C823" s="20" t="s">
        <v>506</v>
      </c>
      <c r="D823" s="20" t="s">
        <v>249</v>
      </c>
      <c r="E823" s="20" t="s">
        <v>991</v>
      </c>
      <c r="F823" s="20" t="s">
        <v>224</v>
      </c>
      <c r="G823" s="415">
        <f>'Пр.6 ведом.20'!G827</f>
        <v>210</v>
      </c>
      <c r="H823" s="415">
        <f t="shared" si="32"/>
        <v>210</v>
      </c>
      <c r="I823" s="230"/>
    </row>
    <row r="824" spans="1:9" ht="47.25" x14ac:dyDescent="0.25">
      <c r="A824" s="41" t="s">
        <v>1460</v>
      </c>
      <c r="B824" s="19">
        <v>907</v>
      </c>
      <c r="C824" s="24" t="s">
        <v>506</v>
      </c>
      <c r="D824" s="24" t="s">
        <v>249</v>
      </c>
      <c r="E824" s="7" t="s">
        <v>497</v>
      </c>
      <c r="F824" s="24"/>
      <c r="G824" s="416">
        <f t="shared" ref="G824:H826" si="33">G825</f>
        <v>2000</v>
      </c>
      <c r="H824" s="416">
        <f t="shared" si="33"/>
        <v>2000</v>
      </c>
      <c r="I824" s="230"/>
    </row>
    <row r="825" spans="1:9" ht="47.25" x14ac:dyDescent="0.25">
      <c r="A825" s="58" t="s">
        <v>1461</v>
      </c>
      <c r="B825" s="19">
        <v>907</v>
      </c>
      <c r="C825" s="24" t="s">
        <v>506</v>
      </c>
      <c r="D825" s="24" t="s">
        <v>249</v>
      </c>
      <c r="E825" s="7" t="s">
        <v>517</v>
      </c>
      <c r="F825" s="24"/>
      <c r="G825" s="416">
        <f t="shared" si="33"/>
        <v>2000</v>
      </c>
      <c r="H825" s="416">
        <f t="shared" si="33"/>
        <v>2000</v>
      </c>
      <c r="I825" s="230"/>
    </row>
    <row r="826" spans="1:9" ht="31.5" x14ac:dyDescent="0.25">
      <c r="A826" s="58" t="s">
        <v>1091</v>
      </c>
      <c r="B826" s="19">
        <v>907</v>
      </c>
      <c r="C826" s="24" t="s">
        <v>506</v>
      </c>
      <c r="D826" s="24" t="s">
        <v>249</v>
      </c>
      <c r="E826" s="7" t="s">
        <v>1092</v>
      </c>
      <c r="F826" s="24"/>
      <c r="G826" s="416">
        <f t="shared" si="33"/>
        <v>2000</v>
      </c>
      <c r="H826" s="416">
        <f t="shared" si="33"/>
        <v>2000</v>
      </c>
      <c r="I826" s="230"/>
    </row>
    <row r="827" spans="1:9" ht="15.75" x14ac:dyDescent="0.25">
      <c r="A827" s="29" t="s">
        <v>1093</v>
      </c>
      <c r="B827" s="16">
        <v>907</v>
      </c>
      <c r="C827" s="20" t="s">
        <v>506</v>
      </c>
      <c r="D827" s="20" t="s">
        <v>249</v>
      </c>
      <c r="E827" s="40" t="s">
        <v>1247</v>
      </c>
      <c r="F827" s="20"/>
      <c r="G827" s="415">
        <f>'Пр.6 ведом.20'!G831</f>
        <v>2000</v>
      </c>
      <c r="H827" s="415">
        <f t="shared" si="32"/>
        <v>2000</v>
      </c>
      <c r="I827" s="230"/>
    </row>
    <row r="828" spans="1:9" ht="78.75" x14ac:dyDescent="0.25">
      <c r="A828" s="25" t="s">
        <v>142</v>
      </c>
      <c r="B828" s="16">
        <v>907</v>
      </c>
      <c r="C828" s="20" t="s">
        <v>506</v>
      </c>
      <c r="D828" s="20" t="s">
        <v>249</v>
      </c>
      <c r="E828" s="40" t="s">
        <v>1247</v>
      </c>
      <c r="F828" s="20" t="s">
        <v>143</v>
      </c>
      <c r="G828" s="415">
        <f>'Пр.6 ведом.20'!G832</f>
        <v>1500</v>
      </c>
      <c r="H828" s="415">
        <f t="shared" si="32"/>
        <v>1500</v>
      </c>
      <c r="I828" s="230"/>
    </row>
    <row r="829" spans="1:9" ht="31.5" x14ac:dyDescent="0.25">
      <c r="A829" s="25" t="s">
        <v>357</v>
      </c>
      <c r="B829" s="16">
        <v>907</v>
      </c>
      <c r="C829" s="20" t="s">
        <v>506</v>
      </c>
      <c r="D829" s="20" t="s">
        <v>249</v>
      </c>
      <c r="E829" s="40" t="s">
        <v>1247</v>
      </c>
      <c r="F829" s="20" t="s">
        <v>224</v>
      </c>
      <c r="G829" s="415">
        <f>'Пр.6 ведом.20'!G833</f>
        <v>1500</v>
      </c>
      <c r="H829" s="415">
        <f t="shared" si="32"/>
        <v>1500</v>
      </c>
      <c r="I829" s="230"/>
    </row>
    <row r="830" spans="1:9" ht="31.5" x14ac:dyDescent="0.25">
      <c r="A830" s="29" t="s">
        <v>146</v>
      </c>
      <c r="B830" s="16">
        <v>907</v>
      </c>
      <c r="C830" s="20" t="s">
        <v>506</v>
      </c>
      <c r="D830" s="20" t="s">
        <v>249</v>
      </c>
      <c r="E830" s="40" t="s">
        <v>1247</v>
      </c>
      <c r="F830" s="20" t="s">
        <v>147</v>
      </c>
      <c r="G830" s="415">
        <f>'Пр.6 ведом.20'!G834</f>
        <v>500</v>
      </c>
      <c r="H830" s="415">
        <f t="shared" si="32"/>
        <v>500</v>
      </c>
      <c r="I830" s="230"/>
    </row>
    <row r="831" spans="1:9" ht="31.5" x14ac:dyDescent="0.25">
      <c r="A831" s="29" t="s">
        <v>148</v>
      </c>
      <c r="B831" s="16">
        <v>907</v>
      </c>
      <c r="C831" s="20" t="s">
        <v>506</v>
      </c>
      <c r="D831" s="20" t="s">
        <v>249</v>
      </c>
      <c r="E831" s="40" t="s">
        <v>1247</v>
      </c>
      <c r="F831" s="20" t="s">
        <v>149</v>
      </c>
      <c r="G831" s="415">
        <f>'Пр.6 ведом.20'!G835</f>
        <v>500</v>
      </c>
      <c r="H831" s="415">
        <f t="shared" si="32"/>
        <v>500</v>
      </c>
      <c r="I831" s="230"/>
    </row>
    <row r="832" spans="1:9" ht="31.5" x14ac:dyDescent="0.25">
      <c r="A832" s="19" t="s">
        <v>519</v>
      </c>
      <c r="B832" s="19">
        <v>908</v>
      </c>
      <c r="C832" s="20"/>
      <c r="D832" s="20"/>
      <c r="E832" s="20"/>
      <c r="F832" s="20"/>
      <c r="G832" s="416">
        <f>G847+G854+G873+G1036+G833</f>
        <v>82450.5</v>
      </c>
      <c r="H832" s="416">
        <f>H847+H854+H873+H1036+H833</f>
        <v>81297.899999999994</v>
      </c>
      <c r="I832" s="230"/>
    </row>
    <row r="833" spans="1:9" ht="15.75" x14ac:dyDescent="0.25">
      <c r="A833" s="34" t="s">
        <v>132</v>
      </c>
      <c r="B833" s="19">
        <v>908</v>
      </c>
      <c r="C833" s="24" t="s">
        <v>133</v>
      </c>
      <c r="D833" s="20"/>
      <c r="E833" s="20"/>
      <c r="F833" s="20"/>
      <c r="G833" s="416">
        <f t="shared" ref="G833:H835" si="34">G834</f>
        <v>38273</v>
      </c>
      <c r="H833" s="416">
        <f t="shared" si="34"/>
        <v>38273</v>
      </c>
      <c r="I833" s="230"/>
    </row>
    <row r="834" spans="1:9" ht="15.75" x14ac:dyDescent="0.25">
      <c r="A834" s="34" t="s">
        <v>154</v>
      </c>
      <c r="B834" s="19">
        <v>908</v>
      </c>
      <c r="C834" s="24" t="s">
        <v>133</v>
      </c>
      <c r="D834" s="24" t="s">
        <v>155</v>
      </c>
      <c r="E834" s="20"/>
      <c r="F834" s="20"/>
      <c r="G834" s="416">
        <f t="shared" si="34"/>
        <v>38273</v>
      </c>
      <c r="H834" s="416">
        <f t="shared" si="34"/>
        <v>38273</v>
      </c>
      <c r="I834" s="230"/>
    </row>
    <row r="835" spans="1:9" ht="15.75" x14ac:dyDescent="0.25">
      <c r="A835" s="23" t="s">
        <v>156</v>
      </c>
      <c r="B835" s="19">
        <v>908</v>
      </c>
      <c r="C835" s="24" t="s">
        <v>133</v>
      </c>
      <c r="D835" s="24" t="s">
        <v>155</v>
      </c>
      <c r="E835" s="24" t="s">
        <v>914</v>
      </c>
      <c r="F835" s="24"/>
      <c r="G835" s="315">
        <f t="shared" si="34"/>
        <v>38273</v>
      </c>
      <c r="H835" s="315">
        <f t="shared" si="34"/>
        <v>38273</v>
      </c>
      <c r="I835" s="230"/>
    </row>
    <row r="836" spans="1:9" ht="15.75" x14ac:dyDescent="0.25">
      <c r="A836" s="23" t="s">
        <v>1095</v>
      </c>
      <c r="B836" s="19">
        <v>908</v>
      </c>
      <c r="C836" s="24" t="s">
        <v>133</v>
      </c>
      <c r="D836" s="24" t="s">
        <v>155</v>
      </c>
      <c r="E836" s="24" t="s">
        <v>1094</v>
      </c>
      <c r="F836" s="24"/>
      <c r="G836" s="315">
        <f>G840+G837</f>
        <v>38273</v>
      </c>
      <c r="H836" s="315">
        <f>H840+H837</f>
        <v>38273</v>
      </c>
      <c r="I836" s="230"/>
    </row>
    <row r="837" spans="1:9" ht="47.25" x14ac:dyDescent="0.25">
      <c r="A837" s="25" t="s">
        <v>886</v>
      </c>
      <c r="B837" s="16">
        <v>908</v>
      </c>
      <c r="C837" s="20" t="s">
        <v>133</v>
      </c>
      <c r="D837" s="20" t="s">
        <v>155</v>
      </c>
      <c r="E837" s="20" t="s">
        <v>1097</v>
      </c>
      <c r="F837" s="20"/>
      <c r="G837" s="415">
        <f>'Пр.6 ведом.20'!G841</f>
        <v>672</v>
      </c>
      <c r="H837" s="415">
        <f t="shared" ref="H837:H900" si="35">G837</f>
        <v>672</v>
      </c>
      <c r="I837" s="230"/>
    </row>
    <row r="838" spans="1:9" ht="78.75" x14ac:dyDescent="0.25">
      <c r="A838" s="25" t="s">
        <v>142</v>
      </c>
      <c r="B838" s="16">
        <v>908</v>
      </c>
      <c r="C838" s="20" t="s">
        <v>133</v>
      </c>
      <c r="D838" s="20" t="s">
        <v>155</v>
      </c>
      <c r="E838" s="20" t="s">
        <v>1097</v>
      </c>
      <c r="F838" s="20" t="s">
        <v>143</v>
      </c>
      <c r="G838" s="415">
        <f>'Пр.6 ведом.20'!G842</f>
        <v>672</v>
      </c>
      <c r="H838" s="415">
        <f t="shared" si="35"/>
        <v>672</v>
      </c>
      <c r="I838" s="230"/>
    </row>
    <row r="839" spans="1:9" ht="31.5" x14ac:dyDescent="0.25">
      <c r="A839" s="25" t="s">
        <v>144</v>
      </c>
      <c r="B839" s="16">
        <v>908</v>
      </c>
      <c r="C839" s="20" t="s">
        <v>133</v>
      </c>
      <c r="D839" s="20" t="s">
        <v>155</v>
      </c>
      <c r="E839" s="20" t="s">
        <v>1097</v>
      </c>
      <c r="F839" s="20" t="s">
        <v>224</v>
      </c>
      <c r="G839" s="415">
        <f>'Пр.6 ведом.20'!G843</f>
        <v>672</v>
      </c>
      <c r="H839" s="415">
        <f t="shared" si="35"/>
        <v>672</v>
      </c>
      <c r="I839" s="230"/>
    </row>
    <row r="840" spans="1:9" ht="15.75" x14ac:dyDescent="0.25">
      <c r="A840" s="25" t="s">
        <v>834</v>
      </c>
      <c r="B840" s="16">
        <v>908</v>
      </c>
      <c r="C840" s="20" t="s">
        <v>133</v>
      </c>
      <c r="D840" s="20" t="s">
        <v>155</v>
      </c>
      <c r="E840" s="20" t="s">
        <v>1096</v>
      </c>
      <c r="F840" s="20"/>
      <c r="G840" s="415">
        <f>'Пр.6 ведом.20'!G844</f>
        <v>37601</v>
      </c>
      <c r="H840" s="415">
        <f t="shared" si="35"/>
        <v>37601</v>
      </c>
      <c r="I840" s="230"/>
    </row>
    <row r="841" spans="1:9" ht="78.75" x14ac:dyDescent="0.25">
      <c r="A841" s="25" t="s">
        <v>142</v>
      </c>
      <c r="B841" s="16">
        <v>908</v>
      </c>
      <c r="C841" s="20" t="s">
        <v>133</v>
      </c>
      <c r="D841" s="20" t="s">
        <v>155</v>
      </c>
      <c r="E841" s="20" t="s">
        <v>1096</v>
      </c>
      <c r="F841" s="20" t="s">
        <v>143</v>
      </c>
      <c r="G841" s="415">
        <f>'Пр.6 ведом.20'!G845</f>
        <v>30180</v>
      </c>
      <c r="H841" s="415">
        <f t="shared" si="35"/>
        <v>30180</v>
      </c>
      <c r="I841" s="230"/>
    </row>
    <row r="842" spans="1:9" ht="31.5" x14ac:dyDescent="0.25">
      <c r="A842" s="46" t="s">
        <v>357</v>
      </c>
      <c r="B842" s="16">
        <v>908</v>
      </c>
      <c r="C842" s="20" t="s">
        <v>133</v>
      </c>
      <c r="D842" s="20" t="s">
        <v>155</v>
      </c>
      <c r="E842" s="20" t="s">
        <v>1096</v>
      </c>
      <c r="F842" s="20" t="s">
        <v>224</v>
      </c>
      <c r="G842" s="415">
        <f>'Пр.6 ведом.20'!G846</f>
        <v>30180</v>
      </c>
      <c r="H842" s="415">
        <f t="shared" si="35"/>
        <v>30180</v>
      </c>
      <c r="I842" s="230"/>
    </row>
    <row r="843" spans="1:9" ht="31.5" x14ac:dyDescent="0.25">
      <c r="A843" s="25" t="s">
        <v>146</v>
      </c>
      <c r="B843" s="16">
        <v>908</v>
      </c>
      <c r="C843" s="20" t="s">
        <v>133</v>
      </c>
      <c r="D843" s="20" t="s">
        <v>155</v>
      </c>
      <c r="E843" s="20" t="s">
        <v>1096</v>
      </c>
      <c r="F843" s="20" t="s">
        <v>147</v>
      </c>
      <c r="G843" s="415">
        <f>'Пр.6 ведом.20'!G847</f>
        <v>7000</v>
      </c>
      <c r="H843" s="415">
        <f t="shared" si="35"/>
        <v>7000</v>
      </c>
      <c r="I843" s="230"/>
    </row>
    <row r="844" spans="1:9" ht="31.5" x14ac:dyDescent="0.25">
      <c r="A844" s="25" t="s">
        <v>148</v>
      </c>
      <c r="B844" s="16">
        <v>908</v>
      </c>
      <c r="C844" s="20" t="s">
        <v>133</v>
      </c>
      <c r="D844" s="20" t="s">
        <v>155</v>
      </c>
      <c r="E844" s="20" t="s">
        <v>1096</v>
      </c>
      <c r="F844" s="20" t="s">
        <v>149</v>
      </c>
      <c r="G844" s="415">
        <f>'Пр.6 ведом.20'!G848</f>
        <v>7000</v>
      </c>
      <c r="H844" s="415">
        <f t="shared" si="35"/>
        <v>7000</v>
      </c>
      <c r="I844" s="230"/>
    </row>
    <row r="845" spans="1:9" ht="15.75" x14ac:dyDescent="0.25">
      <c r="A845" s="25" t="s">
        <v>150</v>
      </c>
      <c r="B845" s="16">
        <v>908</v>
      </c>
      <c r="C845" s="20" t="s">
        <v>133</v>
      </c>
      <c r="D845" s="20" t="s">
        <v>155</v>
      </c>
      <c r="E845" s="20" t="s">
        <v>1096</v>
      </c>
      <c r="F845" s="20" t="s">
        <v>160</v>
      </c>
      <c r="G845" s="415">
        <f>'Пр.6 ведом.20'!G849</f>
        <v>421</v>
      </c>
      <c r="H845" s="415">
        <f t="shared" si="35"/>
        <v>421</v>
      </c>
      <c r="I845" s="230"/>
    </row>
    <row r="846" spans="1:9" ht="15.75" x14ac:dyDescent="0.25">
      <c r="A846" s="25" t="s">
        <v>726</v>
      </c>
      <c r="B846" s="16">
        <v>908</v>
      </c>
      <c r="C846" s="20" t="s">
        <v>133</v>
      </c>
      <c r="D846" s="20" t="s">
        <v>155</v>
      </c>
      <c r="E846" s="20" t="s">
        <v>1096</v>
      </c>
      <c r="F846" s="20" t="s">
        <v>153</v>
      </c>
      <c r="G846" s="415">
        <f>'Пр.6 ведом.20'!G850</f>
        <v>421</v>
      </c>
      <c r="H846" s="415">
        <f t="shared" si="35"/>
        <v>421</v>
      </c>
      <c r="I846" s="230"/>
    </row>
    <row r="847" spans="1:9" ht="31.5" x14ac:dyDescent="0.25">
      <c r="A847" s="23" t="s">
        <v>237</v>
      </c>
      <c r="B847" s="19">
        <v>908</v>
      </c>
      <c r="C847" s="24" t="s">
        <v>230</v>
      </c>
      <c r="D847" s="24"/>
      <c r="E847" s="24"/>
      <c r="F847" s="24"/>
      <c r="G847" s="416">
        <f t="shared" ref="G847:H850" si="36">G848</f>
        <v>107</v>
      </c>
      <c r="H847" s="416">
        <f t="shared" si="36"/>
        <v>107</v>
      </c>
      <c r="I847" s="230"/>
    </row>
    <row r="848" spans="1:9" ht="47.25" x14ac:dyDescent="0.25">
      <c r="A848" s="23" t="s">
        <v>238</v>
      </c>
      <c r="B848" s="19">
        <v>908</v>
      </c>
      <c r="C848" s="24" t="s">
        <v>230</v>
      </c>
      <c r="D848" s="24" t="s">
        <v>234</v>
      </c>
      <c r="E848" s="24"/>
      <c r="F848" s="24"/>
      <c r="G848" s="416">
        <f t="shared" si="36"/>
        <v>107</v>
      </c>
      <c r="H848" s="416">
        <f t="shared" si="36"/>
        <v>107</v>
      </c>
      <c r="I848" s="230"/>
    </row>
    <row r="849" spans="1:9" ht="15.75" x14ac:dyDescent="0.25">
      <c r="A849" s="23" t="s">
        <v>156</v>
      </c>
      <c r="B849" s="19">
        <v>908</v>
      </c>
      <c r="C849" s="24" t="s">
        <v>230</v>
      </c>
      <c r="D849" s="24" t="s">
        <v>234</v>
      </c>
      <c r="E849" s="24" t="s">
        <v>914</v>
      </c>
      <c r="F849" s="24"/>
      <c r="G849" s="416">
        <f t="shared" si="36"/>
        <v>107</v>
      </c>
      <c r="H849" s="416">
        <f t="shared" si="36"/>
        <v>107</v>
      </c>
      <c r="I849" s="230"/>
    </row>
    <row r="850" spans="1:9" ht="31.5" x14ac:dyDescent="0.25">
      <c r="A850" s="23" t="s">
        <v>918</v>
      </c>
      <c r="B850" s="19">
        <v>908</v>
      </c>
      <c r="C850" s="24" t="s">
        <v>230</v>
      </c>
      <c r="D850" s="24" t="s">
        <v>234</v>
      </c>
      <c r="E850" s="24" t="s">
        <v>913</v>
      </c>
      <c r="F850" s="24"/>
      <c r="G850" s="416">
        <f t="shared" si="36"/>
        <v>107</v>
      </c>
      <c r="H850" s="416">
        <f t="shared" si="36"/>
        <v>107</v>
      </c>
      <c r="I850" s="230"/>
    </row>
    <row r="851" spans="1:9" ht="15.75" x14ac:dyDescent="0.25">
      <c r="A851" s="25" t="s">
        <v>245</v>
      </c>
      <c r="B851" s="16">
        <v>908</v>
      </c>
      <c r="C851" s="20" t="s">
        <v>230</v>
      </c>
      <c r="D851" s="20" t="s">
        <v>234</v>
      </c>
      <c r="E851" s="20" t="s">
        <v>924</v>
      </c>
      <c r="F851" s="20"/>
      <c r="G851" s="415">
        <f>'Пр.6 ведом.20'!G855</f>
        <v>107</v>
      </c>
      <c r="H851" s="415">
        <f t="shared" si="35"/>
        <v>107</v>
      </c>
      <c r="I851" s="230"/>
    </row>
    <row r="852" spans="1:9" ht="31.5" x14ac:dyDescent="0.25">
      <c r="A852" s="25" t="s">
        <v>146</v>
      </c>
      <c r="B852" s="16">
        <v>908</v>
      </c>
      <c r="C852" s="20" t="s">
        <v>230</v>
      </c>
      <c r="D852" s="20" t="s">
        <v>234</v>
      </c>
      <c r="E852" s="20" t="s">
        <v>924</v>
      </c>
      <c r="F852" s="20" t="s">
        <v>147</v>
      </c>
      <c r="G852" s="415">
        <f>'Пр.6 ведом.20'!G856</f>
        <v>107</v>
      </c>
      <c r="H852" s="415">
        <f t="shared" si="35"/>
        <v>107</v>
      </c>
      <c r="I852" s="230"/>
    </row>
    <row r="853" spans="1:9" ht="31.5" x14ac:dyDescent="0.25">
      <c r="A853" s="25" t="s">
        <v>148</v>
      </c>
      <c r="B853" s="16">
        <v>908</v>
      </c>
      <c r="C853" s="20" t="s">
        <v>230</v>
      </c>
      <c r="D853" s="20" t="s">
        <v>234</v>
      </c>
      <c r="E853" s="20" t="s">
        <v>924</v>
      </c>
      <c r="F853" s="20" t="s">
        <v>149</v>
      </c>
      <c r="G853" s="415">
        <f>'Пр.6 ведом.20'!G857</f>
        <v>107</v>
      </c>
      <c r="H853" s="415">
        <f t="shared" si="35"/>
        <v>107</v>
      </c>
      <c r="I853" s="230"/>
    </row>
    <row r="854" spans="1:9" ht="15.75" x14ac:dyDescent="0.25">
      <c r="A854" s="23" t="s">
        <v>247</v>
      </c>
      <c r="B854" s="19">
        <v>908</v>
      </c>
      <c r="C854" s="24" t="s">
        <v>165</v>
      </c>
      <c r="D854" s="24"/>
      <c r="E854" s="24"/>
      <c r="F854" s="24"/>
      <c r="G854" s="416">
        <f>G855+G861</f>
        <v>6447</v>
      </c>
      <c r="H854" s="416">
        <f>H855+H861</f>
        <v>6536</v>
      </c>
      <c r="I854" s="230"/>
    </row>
    <row r="855" spans="1:9" ht="15.75" x14ac:dyDescent="0.25">
      <c r="A855" s="23" t="s">
        <v>520</v>
      </c>
      <c r="B855" s="19">
        <v>908</v>
      </c>
      <c r="C855" s="24" t="s">
        <v>165</v>
      </c>
      <c r="D855" s="24" t="s">
        <v>314</v>
      </c>
      <c r="E855" s="24"/>
      <c r="F855" s="24"/>
      <c r="G855" s="416">
        <f t="shared" ref="G855:H857" si="37">G856</f>
        <v>3258</v>
      </c>
      <c r="H855" s="416">
        <f t="shared" si="37"/>
        <v>3258</v>
      </c>
      <c r="I855" s="230"/>
    </row>
    <row r="856" spans="1:9" ht="15.75" x14ac:dyDescent="0.25">
      <c r="A856" s="23" t="s">
        <v>156</v>
      </c>
      <c r="B856" s="19">
        <v>908</v>
      </c>
      <c r="C856" s="24" t="s">
        <v>165</v>
      </c>
      <c r="D856" s="24" t="s">
        <v>314</v>
      </c>
      <c r="E856" s="24" t="s">
        <v>914</v>
      </c>
      <c r="F856" s="24"/>
      <c r="G856" s="416">
        <f t="shared" si="37"/>
        <v>3258</v>
      </c>
      <c r="H856" s="416">
        <f t="shared" si="37"/>
        <v>3258</v>
      </c>
      <c r="I856" s="230"/>
    </row>
    <row r="857" spans="1:9" ht="31.5" x14ac:dyDescent="0.25">
      <c r="A857" s="23" t="s">
        <v>918</v>
      </c>
      <c r="B857" s="19">
        <v>908</v>
      </c>
      <c r="C857" s="24" t="s">
        <v>165</v>
      </c>
      <c r="D857" s="24" t="s">
        <v>314</v>
      </c>
      <c r="E857" s="24" t="s">
        <v>913</v>
      </c>
      <c r="F857" s="24"/>
      <c r="G857" s="416">
        <f t="shared" si="37"/>
        <v>3258</v>
      </c>
      <c r="H857" s="416">
        <f t="shared" si="37"/>
        <v>3258</v>
      </c>
      <c r="I857" s="230"/>
    </row>
    <row r="858" spans="1:9" ht="15.75" x14ac:dyDescent="0.25">
      <c r="A858" s="25" t="s">
        <v>521</v>
      </c>
      <c r="B858" s="16">
        <v>908</v>
      </c>
      <c r="C858" s="20" t="s">
        <v>165</v>
      </c>
      <c r="D858" s="20" t="s">
        <v>314</v>
      </c>
      <c r="E858" s="20" t="s">
        <v>1098</v>
      </c>
      <c r="F858" s="20"/>
      <c r="G858" s="415">
        <f>'Пр.6 ведом.20'!G862</f>
        <v>3258</v>
      </c>
      <c r="H858" s="415">
        <f t="shared" si="35"/>
        <v>3258</v>
      </c>
      <c r="I858" s="230"/>
    </row>
    <row r="859" spans="1:9" ht="31.5" x14ac:dyDescent="0.25">
      <c r="A859" s="25" t="s">
        <v>146</v>
      </c>
      <c r="B859" s="16">
        <v>908</v>
      </c>
      <c r="C859" s="20" t="s">
        <v>165</v>
      </c>
      <c r="D859" s="20" t="s">
        <v>314</v>
      </c>
      <c r="E859" s="20" t="s">
        <v>1098</v>
      </c>
      <c r="F859" s="20" t="s">
        <v>147</v>
      </c>
      <c r="G859" s="415">
        <f>'Пр.6 ведом.20'!G863</f>
        <v>3258</v>
      </c>
      <c r="H859" s="415">
        <f t="shared" si="35"/>
        <v>3258</v>
      </c>
      <c r="I859" s="230"/>
    </row>
    <row r="860" spans="1:9" ht="31.5" x14ac:dyDescent="0.25">
      <c r="A860" s="25" t="s">
        <v>148</v>
      </c>
      <c r="B860" s="16">
        <v>908</v>
      </c>
      <c r="C860" s="20" t="s">
        <v>165</v>
      </c>
      <c r="D860" s="20" t="s">
        <v>314</v>
      </c>
      <c r="E860" s="20" t="s">
        <v>1098</v>
      </c>
      <c r="F860" s="20" t="s">
        <v>149</v>
      </c>
      <c r="G860" s="415">
        <f>'Пр.6 ведом.20'!G864</f>
        <v>3258</v>
      </c>
      <c r="H860" s="415">
        <f t="shared" si="35"/>
        <v>3258</v>
      </c>
      <c r="I860" s="230"/>
    </row>
    <row r="861" spans="1:9" ht="15.75" x14ac:dyDescent="0.25">
      <c r="A861" s="23" t="s">
        <v>523</v>
      </c>
      <c r="B861" s="19">
        <v>908</v>
      </c>
      <c r="C861" s="24" t="s">
        <v>165</v>
      </c>
      <c r="D861" s="24" t="s">
        <v>234</v>
      </c>
      <c r="E861" s="20"/>
      <c r="F861" s="24"/>
      <c r="G861" s="416">
        <f>G862</f>
        <v>3189</v>
      </c>
      <c r="H861" s="416">
        <f>H862</f>
        <v>3278</v>
      </c>
      <c r="I861" s="230"/>
    </row>
    <row r="862" spans="1:9" ht="47.25" x14ac:dyDescent="0.25">
      <c r="A862" s="34" t="s">
        <v>1462</v>
      </c>
      <c r="B862" s="19">
        <v>908</v>
      </c>
      <c r="C862" s="24" t="s">
        <v>165</v>
      </c>
      <c r="D862" s="24" t="s">
        <v>234</v>
      </c>
      <c r="E862" s="24" t="s">
        <v>525</v>
      </c>
      <c r="F862" s="24"/>
      <c r="G862" s="416">
        <f>G868+G863</f>
        <v>3189</v>
      </c>
      <c r="H862" s="416">
        <f>H868+H863</f>
        <v>3278</v>
      </c>
      <c r="I862" s="230"/>
    </row>
    <row r="863" spans="1:9" ht="31.5" hidden="1" x14ac:dyDescent="0.25">
      <c r="A863" s="34" t="s">
        <v>1156</v>
      </c>
      <c r="B863" s="19">
        <v>908</v>
      </c>
      <c r="C863" s="24" t="s">
        <v>165</v>
      </c>
      <c r="D863" s="24" t="s">
        <v>234</v>
      </c>
      <c r="E863" s="7" t="s">
        <v>1099</v>
      </c>
      <c r="F863" s="24"/>
      <c r="G863" s="416">
        <f>G864</f>
        <v>0</v>
      </c>
      <c r="H863" s="416">
        <f>H864</f>
        <v>0</v>
      </c>
      <c r="I863" s="230"/>
    </row>
    <row r="864" spans="1:9" ht="15.75" hidden="1" x14ac:dyDescent="0.25">
      <c r="A864" s="29" t="s">
        <v>1158</v>
      </c>
      <c r="B864" s="16">
        <v>908</v>
      </c>
      <c r="C864" s="20" t="s">
        <v>165</v>
      </c>
      <c r="D864" s="20" t="s">
        <v>234</v>
      </c>
      <c r="E864" s="40" t="s">
        <v>1157</v>
      </c>
      <c r="F864" s="20"/>
      <c r="G864" s="415">
        <f>'Пр.6 ведом.20'!G868</f>
        <v>0</v>
      </c>
      <c r="H864" s="415">
        <f t="shared" si="35"/>
        <v>0</v>
      </c>
      <c r="I864" s="230"/>
    </row>
    <row r="865" spans="1:9" ht="31.5" hidden="1" x14ac:dyDescent="0.25">
      <c r="A865" s="25" t="s">
        <v>146</v>
      </c>
      <c r="B865" s="16">
        <v>908</v>
      </c>
      <c r="C865" s="20" t="s">
        <v>165</v>
      </c>
      <c r="D865" s="20" t="s">
        <v>234</v>
      </c>
      <c r="E865" s="40" t="s">
        <v>1157</v>
      </c>
      <c r="F865" s="20" t="s">
        <v>147</v>
      </c>
      <c r="G865" s="415">
        <f>'Пр.6 ведом.20'!G869</f>
        <v>0</v>
      </c>
      <c r="H865" s="415">
        <f t="shared" si="35"/>
        <v>0</v>
      </c>
      <c r="I865" s="230"/>
    </row>
    <row r="866" spans="1:9" ht="31.5" hidden="1" x14ac:dyDescent="0.25">
      <c r="A866" s="25" t="s">
        <v>148</v>
      </c>
      <c r="B866" s="16">
        <v>908</v>
      </c>
      <c r="C866" s="20" t="s">
        <v>165</v>
      </c>
      <c r="D866" s="20" t="s">
        <v>234</v>
      </c>
      <c r="E866" s="40" t="s">
        <v>1157</v>
      </c>
      <c r="F866" s="20" t="s">
        <v>149</v>
      </c>
      <c r="G866" s="415">
        <f>'Пр.6 ведом.20'!G870</f>
        <v>0</v>
      </c>
      <c r="H866" s="415">
        <f t="shared" si="35"/>
        <v>0</v>
      </c>
      <c r="I866" s="230"/>
    </row>
    <row r="867" spans="1:9" ht="31.5" x14ac:dyDescent="0.25">
      <c r="A867" s="34" t="s">
        <v>1248</v>
      </c>
      <c r="B867" s="19">
        <v>908</v>
      </c>
      <c r="C867" s="24" t="s">
        <v>165</v>
      </c>
      <c r="D867" s="24" t="s">
        <v>234</v>
      </c>
      <c r="E867" s="24" t="s">
        <v>1100</v>
      </c>
      <c r="F867" s="24"/>
      <c r="G867" s="416">
        <f>G868</f>
        <v>3189</v>
      </c>
      <c r="H867" s="416">
        <f>H868</f>
        <v>3278</v>
      </c>
      <c r="I867" s="230"/>
    </row>
    <row r="868" spans="1:9" ht="15.75" x14ac:dyDescent="0.25">
      <c r="A868" s="29" t="s">
        <v>526</v>
      </c>
      <c r="B868" s="16">
        <v>908</v>
      </c>
      <c r="C868" s="20" t="s">
        <v>165</v>
      </c>
      <c r="D868" s="20" t="s">
        <v>234</v>
      </c>
      <c r="E868" s="40" t="s">
        <v>1159</v>
      </c>
      <c r="F868" s="20"/>
      <c r="G868" s="415">
        <f>G869+G871</f>
        <v>3189</v>
      </c>
      <c r="H868" s="415">
        <f>H869+H871</f>
        <v>3278</v>
      </c>
      <c r="I868" s="230"/>
    </row>
    <row r="869" spans="1:9" ht="31.5" x14ac:dyDescent="0.25">
      <c r="A869" s="25" t="s">
        <v>146</v>
      </c>
      <c r="B869" s="16">
        <v>908</v>
      </c>
      <c r="C869" s="20" t="s">
        <v>165</v>
      </c>
      <c r="D869" s="20" t="s">
        <v>234</v>
      </c>
      <c r="E869" s="40" t="s">
        <v>1159</v>
      </c>
      <c r="F869" s="20" t="s">
        <v>147</v>
      </c>
      <c r="G869" s="415">
        <f>G870</f>
        <v>3189</v>
      </c>
      <c r="H869" s="415">
        <f>H870</f>
        <v>3278</v>
      </c>
      <c r="I869" s="230"/>
    </row>
    <row r="870" spans="1:9" ht="31.5" x14ac:dyDescent="0.25">
      <c r="A870" s="25" t="s">
        <v>148</v>
      </c>
      <c r="B870" s="16">
        <v>908</v>
      </c>
      <c r="C870" s="20" t="s">
        <v>165</v>
      </c>
      <c r="D870" s="20" t="s">
        <v>234</v>
      </c>
      <c r="E870" s="40" t="s">
        <v>1159</v>
      </c>
      <c r="F870" s="20" t="s">
        <v>149</v>
      </c>
      <c r="G870" s="415">
        <v>3189</v>
      </c>
      <c r="H870" s="415">
        <v>3278</v>
      </c>
      <c r="I870" s="230"/>
    </row>
    <row r="871" spans="1:9" ht="15.75" hidden="1" x14ac:dyDescent="0.25">
      <c r="A871" s="25" t="s">
        <v>150</v>
      </c>
      <c r="B871" s="16">
        <v>908</v>
      </c>
      <c r="C871" s="20" t="s">
        <v>165</v>
      </c>
      <c r="D871" s="20" t="s">
        <v>234</v>
      </c>
      <c r="E871" s="40" t="s">
        <v>1159</v>
      </c>
      <c r="F871" s="20" t="s">
        <v>160</v>
      </c>
      <c r="G871" s="415">
        <f>'Пр.6 ведом.20'!G875</f>
        <v>0</v>
      </c>
      <c r="H871" s="415">
        <f t="shared" si="35"/>
        <v>0</v>
      </c>
      <c r="I871" s="230"/>
    </row>
    <row r="872" spans="1:9" ht="15.75" hidden="1" x14ac:dyDescent="0.25">
      <c r="A872" s="25" t="s">
        <v>583</v>
      </c>
      <c r="B872" s="16">
        <v>908</v>
      </c>
      <c r="C872" s="20" t="s">
        <v>165</v>
      </c>
      <c r="D872" s="20" t="s">
        <v>234</v>
      </c>
      <c r="E872" s="40" t="s">
        <v>1159</v>
      </c>
      <c r="F872" s="20" t="s">
        <v>153</v>
      </c>
      <c r="G872" s="415">
        <f>'Пр.6 ведом.20'!G876</f>
        <v>0</v>
      </c>
      <c r="H872" s="415">
        <f t="shared" si="35"/>
        <v>0</v>
      </c>
      <c r="I872" s="230"/>
    </row>
    <row r="873" spans="1:9" ht="15.75" x14ac:dyDescent="0.25">
      <c r="A873" s="23" t="s">
        <v>405</v>
      </c>
      <c r="B873" s="19">
        <v>908</v>
      </c>
      <c r="C873" s="24" t="s">
        <v>249</v>
      </c>
      <c r="D873" s="24"/>
      <c r="E873" s="24"/>
      <c r="F873" s="24"/>
      <c r="G873" s="416">
        <f>G874+G888+G952+G1001</f>
        <v>37536.5</v>
      </c>
      <c r="H873" s="416">
        <f>H874+H888+H952+H1001</f>
        <v>36294.9</v>
      </c>
      <c r="I873" s="230"/>
    </row>
    <row r="874" spans="1:9" ht="15.75" x14ac:dyDescent="0.25">
      <c r="A874" s="23" t="s">
        <v>406</v>
      </c>
      <c r="B874" s="19">
        <v>908</v>
      </c>
      <c r="C874" s="24" t="s">
        <v>249</v>
      </c>
      <c r="D874" s="24" t="s">
        <v>133</v>
      </c>
      <c r="E874" s="24"/>
      <c r="F874" s="24"/>
      <c r="G874" s="416">
        <f>G875</f>
        <v>5160</v>
      </c>
      <c r="H874" s="416">
        <f>H875</f>
        <v>5160</v>
      </c>
      <c r="I874" s="230"/>
    </row>
    <row r="875" spans="1:9" ht="15.75" x14ac:dyDescent="0.25">
      <c r="A875" s="23" t="s">
        <v>156</v>
      </c>
      <c r="B875" s="19">
        <v>908</v>
      </c>
      <c r="C875" s="24" t="s">
        <v>249</v>
      </c>
      <c r="D875" s="24" t="s">
        <v>133</v>
      </c>
      <c r="E875" s="24" t="s">
        <v>914</v>
      </c>
      <c r="F875" s="24"/>
      <c r="G875" s="416">
        <f>G876</f>
        <v>5160</v>
      </c>
      <c r="H875" s="416">
        <f>H876</f>
        <v>5160</v>
      </c>
      <c r="I875" s="230"/>
    </row>
    <row r="876" spans="1:9" ht="31.5" x14ac:dyDescent="0.25">
      <c r="A876" s="23" t="s">
        <v>918</v>
      </c>
      <c r="B876" s="19">
        <v>908</v>
      </c>
      <c r="C876" s="24" t="s">
        <v>249</v>
      </c>
      <c r="D876" s="24" t="s">
        <v>133</v>
      </c>
      <c r="E876" s="24" t="s">
        <v>913</v>
      </c>
      <c r="F876" s="24"/>
      <c r="G876" s="416">
        <f>G885+G882+G877</f>
        <v>5160</v>
      </c>
      <c r="H876" s="416">
        <f>H885+H882+H877</f>
        <v>5160</v>
      </c>
      <c r="I876" s="230"/>
    </row>
    <row r="877" spans="1:9" ht="15.75" hidden="1" x14ac:dyDescent="0.25">
      <c r="A877" s="25" t="s">
        <v>530</v>
      </c>
      <c r="B877" s="16">
        <v>908</v>
      </c>
      <c r="C877" s="20" t="s">
        <v>796</v>
      </c>
      <c r="D877" s="20" t="s">
        <v>133</v>
      </c>
      <c r="E877" s="20" t="s">
        <v>1101</v>
      </c>
      <c r="F877" s="24"/>
      <c r="G877" s="415">
        <f>'Пр.6 ведом.20'!G881</f>
        <v>0</v>
      </c>
      <c r="H877" s="415">
        <f t="shared" si="35"/>
        <v>0</v>
      </c>
      <c r="I877" s="230"/>
    </row>
    <row r="878" spans="1:9" ht="31.5" hidden="1" x14ac:dyDescent="0.25">
      <c r="A878" s="25" t="s">
        <v>146</v>
      </c>
      <c r="B878" s="16">
        <v>908</v>
      </c>
      <c r="C878" s="20" t="s">
        <v>249</v>
      </c>
      <c r="D878" s="20" t="s">
        <v>133</v>
      </c>
      <c r="E878" s="20" t="s">
        <v>1101</v>
      </c>
      <c r="F878" s="20" t="s">
        <v>147</v>
      </c>
      <c r="G878" s="415">
        <f>'Пр.6 ведом.20'!G882</f>
        <v>0</v>
      </c>
      <c r="H878" s="415">
        <f t="shared" si="35"/>
        <v>0</v>
      </c>
      <c r="I878" s="230"/>
    </row>
    <row r="879" spans="1:9" ht="31.5" hidden="1" x14ac:dyDescent="0.25">
      <c r="A879" s="25" t="s">
        <v>148</v>
      </c>
      <c r="B879" s="16">
        <v>908</v>
      </c>
      <c r="C879" s="20" t="s">
        <v>249</v>
      </c>
      <c r="D879" s="20" t="s">
        <v>133</v>
      </c>
      <c r="E879" s="20" t="s">
        <v>1101</v>
      </c>
      <c r="F879" s="20" t="s">
        <v>149</v>
      </c>
      <c r="G879" s="415">
        <f>'Пр.6 ведом.20'!G883</f>
        <v>0</v>
      </c>
      <c r="H879" s="415">
        <f t="shared" si="35"/>
        <v>0</v>
      </c>
      <c r="I879" s="230"/>
    </row>
    <row r="880" spans="1:9" ht="15.75" hidden="1" x14ac:dyDescent="0.25">
      <c r="A880" s="25" t="s">
        <v>150</v>
      </c>
      <c r="B880" s="16">
        <v>908</v>
      </c>
      <c r="C880" s="20" t="s">
        <v>249</v>
      </c>
      <c r="D880" s="20" t="s">
        <v>133</v>
      </c>
      <c r="E880" s="20" t="s">
        <v>1101</v>
      </c>
      <c r="F880" s="20" t="s">
        <v>160</v>
      </c>
      <c r="G880" s="415">
        <f>'Пр.6 ведом.20'!G884</f>
        <v>0</v>
      </c>
      <c r="H880" s="415">
        <f t="shared" si="35"/>
        <v>0</v>
      </c>
      <c r="I880" s="230"/>
    </row>
    <row r="881" spans="1:9" ht="47.25" hidden="1" x14ac:dyDescent="0.25">
      <c r="A881" s="25" t="s">
        <v>199</v>
      </c>
      <c r="B881" s="16">
        <v>908</v>
      </c>
      <c r="C881" s="20" t="s">
        <v>249</v>
      </c>
      <c r="D881" s="20" t="s">
        <v>133</v>
      </c>
      <c r="E881" s="20" t="s">
        <v>1101</v>
      </c>
      <c r="F881" s="20" t="s">
        <v>175</v>
      </c>
      <c r="G881" s="415">
        <f>'Пр.6 ведом.20'!G885</f>
        <v>0</v>
      </c>
      <c r="H881" s="415">
        <f t="shared" si="35"/>
        <v>0</v>
      </c>
      <c r="I881" s="230"/>
    </row>
    <row r="882" spans="1:9" ht="31.5" x14ac:dyDescent="0.25">
      <c r="A882" s="29" t="s">
        <v>413</v>
      </c>
      <c r="B882" s="16">
        <v>908</v>
      </c>
      <c r="C882" s="20" t="s">
        <v>249</v>
      </c>
      <c r="D882" s="20" t="s">
        <v>133</v>
      </c>
      <c r="E882" s="20" t="s">
        <v>1102</v>
      </c>
      <c r="F882" s="24"/>
      <c r="G882" s="415">
        <f>'Пр.6 ведом.20'!G886</f>
        <v>4020</v>
      </c>
      <c r="H882" s="415">
        <f t="shared" si="35"/>
        <v>4020</v>
      </c>
      <c r="I882" s="230"/>
    </row>
    <row r="883" spans="1:9" ht="31.5" x14ac:dyDescent="0.25">
      <c r="A883" s="25" t="s">
        <v>146</v>
      </c>
      <c r="B883" s="16">
        <v>908</v>
      </c>
      <c r="C883" s="20" t="s">
        <v>249</v>
      </c>
      <c r="D883" s="20" t="s">
        <v>133</v>
      </c>
      <c r="E883" s="20" t="s">
        <v>1102</v>
      </c>
      <c r="F883" s="20" t="s">
        <v>147</v>
      </c>
      <c r="G883" s="415">
        <f>'Пр.6 ведом.20'!G887</f>
        <v>4020</v>
      </c>
      <c r="H883" s="415">
        <f t="shared" si="35"/>
        <v>4020</v>
      </c>
      <c r="I883" s="230"/>
    </row>
    <row r="884" spans="1:9" ht="31.5" x14ac:dyDescent="0.25">
      <c r="A884" s="25" t="s">
        <v>148</v>
      </c>
      <c r="B884" s="16">
        <v>908</v>
      </c>
      <c r="C884" s="20" t="s">
        <v>249</v>
      </c>
      <c r="D884" s="20" t="s">
        <v>133</v>
      </c>
      <c r="E884" s="20" t="s">
        <v>1102</v>
      </c>
      <c r="F884" s="20" t="s">
        <v>149</v>
      </c>
      <c r="G884" s="415">
        <f>'Пр.6 ведом.20'!G888</f>
        <v>4020</v>
      </c>
      <c r="H884" s="415">
        <f t="shared" si="35"/>
        <v>4020</v>
      </c>
      <c r="I884" s="230"/>
    </row>
    <row r="885" spans="1:9" ht="31.5" x14ac:dyDescent="0.25">
      <c r="A885" s="29" t="s">
        <v>1009</v>
      </c>
      <c r="B885" s="16">
        <v>908</v>
      </c>
      <c r="C885" s="20" t="s">
        <v>249</v>
      </c>
      <c r="D885" s="20" t="s">
        <v>133</v>
      </c>
      <c r="E885" s="20" t="s">
        <v>1103</v>
      </c>
      <c r="F885" s="24"/>
      <c r="G885" s="415">
        <f>'Пр.6 ведом.20'!G889</f>
        <v>1140</v>
      </c>
      <c r="H885" s="415">
        <f t="shared" si="35"/>
        <v>1140</v>
      </c>
      <c r="I885" s="230"/>
    </row>
    <row r="886" spans="1:9" ht="31.5" x14ac:dyDescent="0.25">
      <c r="A886" s="25" t="s">
        <v>146</v>
      </c>
      <c r="B886" s="16">
        <v>908</v>
      </c>
      <c r="C886" s="20" t="s">
        <v>249</v>
      </c>
      <c r="D886" s="20" t="s">
        <v>133</v>
      </c>
      <c r="E886" s="20" t="s">
        <v>1103</v>
      </c>
      <c r="F886" s="20" t="s">
        <v>147</v>
      </c>
      <c r="G886" s="415">
        <f>'Пр.6 ведом.20'!G890</f>
        <v>1140</v>
      </c>
      <c r="H886" s="415">
        <f t="shared" si="35"/>
        <v>1140</v>
      </c>
      <c r="I886" s="230"/>
    </row>
    <row r="887" spans="1:9" ht="31.5" x14ac:dyDescent="0.25">
      <c r="A887" s="25" t="s">
        <v>148</v>
      </c>
      <c r="B887" s="16">
        <v>908</v>
      </c>
      <c r="C887" s="20" t="s">
        <v>249</v>
      </c>
      <c r="D887" s="20" t="s">
        <v>133</v>
      </c>
      <c r="E887" s="20" t="s">
        <v>1103</v>
      </c>
      <c r="F887" s="20" t="s">
        <v>149</v>
      </c>
      <c r="G887" s="415">
        <f>'Пр.6 ведом.20'!G891</f>
        <v>1140</v>
      </c>
      <c r="H887" s="415">
        <f t="shared" si="35"/>
        <v>1140</v>
      </c>
      <c r="I887" s="230"/>
    </row>
    <row r="888" spans="1:9" ht="15.75" x14ac:dyDescent="0.25">
      <c r="A888" s="23" t="s">
        <v>532</v>
      </c>
      <c r="B888" s="19">
        <v>908</v>
      </c>
      <c r="C888" s="24" t="s">
        <v>249</v>
      </c>
      <c r="D888" s="24" t="s">
        <v>228</v>
      </c>
      <c r="E888" s="24"/>
      <c r="F888" s="24"/>
      <c r="G888" s="416">
        <f>G889+G918+G947</f>
        <v>5935</v>
      </c>
      <c r="H888" s="416">
        <f>H889+H918+H947</f>
        <v>4693.3999999999996</v>
      </c>
      <c r="I888" s="230"/>
    </row>
    <row r="889" spans="1:9" ht="15.75" x14ac:dyDescent="0.25">
      <c r="A889" s="23" t="s">
        <v>156</v>
      </c>
      <c r="B889" s="19">
        <v>908</v>
      </c>
      <c r="C889" s="24" t="s">
        <v>249</v>
      </c>
      <c r="D889" s="24" t="s">
        <v>228</v>
      </c>
      <c r="E889" s="24" t="s">
        <v>914</v>
      </c>
      <c r="F889" s="24"/>
      <c r="G889" s="416">
        <f>G890+G901</f>
        <v>5000</v>
      </c>
      <c r="H889" s="416">
        <f>H890+H901</f>
        <v>3789.4</v>
      </c>
      <c r="I889" s="230"/>
    </row>
    <row r="890" spans="1:9" ht="31.5" x14ac:dyDescent="0.25">
      <c r="A890" s="23" t="s">
        <v>918</v>
      </c>
      <c r="B890" s="19">
        <v>908</v>
      </c>
      <c r="C890" s="24" t="s">
        <v>249</v>
      </c>
      <c r="D890" s="24" t="s">
        <v>228</v>
      </c>
      <c r="E890" s="24" t="s">
        <v>913</v>
      </c>
      <c r="F890" s="24"/>
      <c r="G890" s="416">
        <f>G891+G896</f>
        <v>5000</v>
      </c>
      <c r="H890" s="416">
        <f>H891+H896</f>
        <v>3789.4</v>
      </c>
      <c r="I890" s="230"/>
    </row>
    <row r="891" spans="1:9" ht="15.75" hidden="1" x14ac:dyDescent="0.25">
      <c r="A891" s="35" t="s">
        <v>552</v>
      </c>
      <c r="B891" s="16">
        <v>908</v>
      </c>
      <c r="C891" s="20" t="s">
        <v>249</v>
      </c>
      <c r="D891" s="20" t="s">
        <v>228</v>
      </c>
      <c r="E891" s="20" t="s">
        <v>1120</v>
      </c>
      <c r="F891" s="20"/>
      <c r="G891" s="415">
        <f>'Пр.6 ведом.20'!G895</f>
        <v>0</v>
      </c>
      <c r="H891" s="415">
        <f t="shared" si="35"/>
        <v>0</v>
      </c>
      <c r="I891" s="230"/>
    </row>
    <row r="892" spans="1:9" ht="31.5" hidden="1" x14ac:dyDescent="0.25">
      <c r="A892" s="25" t="s">
        <v>146</v>
      </c>
      <c r="B892" s="16">
        <v>908</v>
      </c>
      <c r="C892" s="20" t="s">
        <v>249</v>
      </c>
      <c r="D892" s="20" t="s">
        <v>228</v>
      </c>
      <c r="E892" s="20" t="s">
        <v>1120</v>
      </c>
      <c r="F892" s="20" t="s">
        <v>147</v>
      </c>
      <c r="G892" s="415">
        <f>'Пр.6 ведом.20'!G896</f>
        <v>0</v>
      </c>
      <c r="H892" s="415">
        <f t="shared" si="35"/>
        <v>0</v>
      </c>
      <c r="I892" s="230"/>
    </row>
    <row r="893" spans="1:9" ht="31.5" hidden="1" x14ac:dyDescent="0.25">
      <c r="A893" s="25" t="s">
        <v>148</v>
      </c>
      <c r="B893" s="16">
        <v>908</v>
      </c>
      <c r="C893" s="20" t="s">
        <v>249</v>
      </c>
      <c r="D893" s="20" t="s">
        <v>228</v>
      </c>
      <c r="E893" s="20" t="s">
        <v>1120</v>
      </c>
      <c r="F893" s="20" t="s">
        <v>149</v>
      </c>
      <c r="G893" s="415">
        <f>'Пр.6 ведом.20'!G897</f>
        <v>0</v>
      </c>
      <c r="H893" s="415">
        <f t="shared" si="35"/>
        <v>0</v>
      </c>
      <c r="I893" s="230"/>
    </row>
    <row r="894" spans="1:9" ht="15.75" hidden="1" x14ac:dyDescent="0.25">
      <c r="A894" s="25" t="s">
        <v>150</v>
      </c>
      <c r="B894" s="16">
        <v>908</v>
      </c>
      <c r="C894" s="20" t="s">
        <v>249</v>
      </c>
      <c r="D894" s="20" t="s">
        <v>228</v>
      </c>
      <c r="E894" s="20" t="s">
        <v>1120</v>
      </c>
      <c r="F894" s="20" t="s">
        <v>160</v>
      </c>
      <c r="G894" s="415">
        <f>'Пр.6 ведом.20'!G898</f>
        <v>0</v>
      </c>
      <c r="H894" s="415">
        <f t="shared" si="35"/>
        <v>0</v>
      </c>
      <c r="I894" s="230"/>
    </row>
    <row r="895" spans="1:9" ht="47.25" hidden="1" x14ac:dyDescent="0.25">
      <c r="A895" s="25" t="s">
        <v>199</v>
      </c>
      <c r="B895" s="16">
        <v>908</v>
      </c>
      <c r="C895" s="20" t="s">
        <v>249</v>
      </c>
      <c r="D895" s="20" t="s">
        <v>228</v>
      </c>
      <c r="E895" s="20" t="s">
        <v>1120</v>
      </c>
      <c r="F895" s="20" t="s">
        <v>175</v>
      </c>
      <c r="G895" s="415">
        <f>'Пр.6 ведом.20'!G899</f>
        <v>0</v>
      </c>
      <c r="H895" s="415">
        <f t="shared" si="35"/>
        <v>0</v>
      </c>
      <c r="I895" s="230"/>
    </row>
    <row r="896" spans="1:9" ht="31.5" x14ac:dyDescent="0.25">
      <c r="A896" s="29" t="s">
        <v>1009</v>
      </c>
      <c r="B896" s="16">
        <v>908</v>
      </c>
      <c r="C896" s="20" t="s">
        <v>249</v>
      </c>
      <c r="D896" s="20" t="s">
        <v>228</v>
      </c>
      <c r="E896" s="20" t="s">
        <v>1103</v>
      </c>
      <c r="F896" s="20"/>
      <c r="G896" s="415">
        <f>'Пр.6 ведом.20'!G900</f>
        <v>5000</v>
      </c>
      <c r="H896" s="415">
        <f>H897</f>
        <v>3789.4</v>
      </c>
      <c r="I896" s="230"/>
    </row>
    <row r="897" spans="1:9" ht="31.5" x14ac:dyDescent="0.25">
      <c r="A897" s="25" t="s">
        <v>146</v>
      </c>
      <c r="B897" s="16">
        <v>908</v>
      </c>
      <c r="C897" s="20" t="s">
        <v>249</v>
      </c>
      <c r="D897" s="20" t="s">
        <v>228</v>
      </c>
      <c r="E897" s="20" t="s">
        <v>1103</v>
      </c>
      <c r="F897" s="20" t="s">
        <v>147</v>
      </c>
      <c r="G897" s="415">
        <f>'Пр.6 ведом.20'!G901</f>
        <v>5000</v>
      </c>
      <c r="H897" s="415">
        <f>H898</f>
        <v>3789.4</v>
      </c>
      <c r="I897" s="230"/>
    </row>
    <row r="898" spans="1:9" ht="31.5" x14ac:dyDescent="0.25">
      <c r="A898" s="25" t="s">
        <v>148</v>
      </c>
      <c r="B898" s="16">
        <v>908</v>
      </c>
      <c r="C898" s="20" t="s">
        <v>249</v>
      </c>
      <c r="D898" s="20" t="s">
        <v>228</v>
      </c>
      <c r="E898" s="20" t="s">
        <v>1103</v>
      </c>
      <c r="F898" s="20" t="s">
        <v>149</v>
      </c>
      <c r="G898" s="415">
        <f>'Пр.6 ведом.20'!G902</f>
        <v>5000</v>
      </c>
      <c r="H898" s="415">
        <f>G898-1210.6</f>
        <v>3789.4</v>
      </c>
      <c r="I898" s="230"/>
    </row>
    <row r="899" spans="1:9" ht="15.75" hidden="1" x14ac:dyDescent="0.25">
      <c r="A899" s="25" t="s">
        <v>150</v>
      </c>
      <c r="B899" s="16">
        <v>908</v>
      </c>
      <c r="C899" s="20" t="s">
        <v>249</v>
      </c>
      <c r="D899" s="20" t="s">
        <v>228</v>
      </c>
      <c r="E899" s="20" t="s">
        <v>1103</v>
      </c>
      <c r="F899" s="20" t="s">
        <v>160</v>
      </c>
      <c r="G899" s="415">
        <f>'Пр.6 ведом.20'!G903</f>
        <v>0</v>
      </c>
      <c r="H899" s="415">
        <f t="shared" si="35"/>
        <v>0</v>
      </c>
      <c r="I899" s="230"/>
    </row>
    <row r="900" spans="1:9" ht="15.75" hidden="1" x14ac:dyDescent="0.25">
      <c r="A900" s="25" t="s">
        <v>161</v>
      </c>
      <c r="B900" s="16">
        <v>908</v>
      </c>
      <c r="C900" s="20" t="s">
        <v>249</v>
      </c>
      <c r="D900" s="20" t="s">
        <v>228</v>
      </c>
      <c r="E900" s="20" t="s">
        <v>1103</v>
      </c>
      <c r="F900" s="20" t="s">
        <v>162</v>
      </c>
      <c r="G900" s="415">
        <f>'Пр.6 ведом.20'!G904</f>
        <v>0</v>
      </c>
      <c r="H900" s="415">
        <f t="shared" si="35"/>
        <v>0</v>
      </c>
      <c r="I900" s="230"/>
    </row>
    <row r="901" spans="1:9" ht="47.25" hidden="1" x14ac:dyDescent="0.25">
      <c r="A901" s="23" t="s">
        <v>1177</v>
      </c>
      <c r="B901" s="19">
        <v>908</v>
      </c>
      <c r="C901" s="24" t="s">
        <v>249</v>
      </c>
      <c r="D901" s="24" t="s">
        <v>228</v>
      </c>
      <c r="E901" s="24" t="s">
        <v>1121</v>
      </c>
      <c r="F901" s="24"/>
      <c r="G901" s="416">
        <f>G902+G910+G907+G915</f>
        <v>0</v>
      </c>
      <c r="H901" s="416">
        <f>H902+H910+H907+H915</f>
        <v>0</v>
      </c>
      <c r="I901" s="230"/>
    </row>
    <row r="902" spans="1:9" ht="47.25" hidden="1" x14ac:dyDescent="0.25">
      <c r="A902" s="25" t="s">
        <v>874</v>
      </c>
      <c r="B902" s="16">
        <v>908</v>
      </c>
      <c r="C902" s="20" t="s">
        <v>249</v>
      </c>
      <c r="D902" s="20" t="s">
        <v>228</v>
      </c>
      <c r="E902" s="20" t="s">
        <v>1122</v>
      </c>
      <c r="F902" s="20"/>
      <c r="G902" s="415">
        <f>'Пр.6 ведом.20'!G906</f>
        <v>0</v>
      </c>
      <c r="H902" s="415">
        <f t="shared" ref="H902:H969" si="38">G902</f>
        <v>0</v>
      </c>
      <c r="I902" s="230"/>
    </row>
    <row r="903" spans="1:9" ht="31.5" hidden="1" x14ac:dyDescent="0.25">
      <c r="A903" s="25" t="s">
        <v>146</v>
      </c>
      <c r="B903" s="16">
        <v>908</v>
      </c>
      <c r="C903" s="20" t="s">
        <v>249</v>
      </c>
      <c r="D903" s="20" t="s">
        <v>228</v>
      </c>
      <c r="E903" s="20" t="s">
        <v>1122</v>
      </c>
      <c r="F903" s="20" t="s">
        <v>147</v>
      </c>
      <c r="G903" s="415">
        <f>'Пр.6 ведом.20'!G907</f>
        <v>0</v>
      </c>
      <c r="H903" s="415">
        <f t="shared" si="38"/>
        <v>0</v>
      </c>
      <c r="I903" s="230"/>
    </row>
    <row r="904" spans="1:9" ht="31.5" hidden="1" x14ac:dyDescent="0.25">
      <c r="A904" s="25" t="s">
        <v>148</v>
      </c>
      <c r="B904" s="16">
        <v>908</v>
      </c>
      <c r="C904" s="20" t="s">
        <v>249</v>
      </c>
      <c r="D904" s="20" t="s">
        <v>228</v>
      </c>
      <c r="E904" s="20" t="s">
        <v>1122</v>
      </c>
      <c r="F904" s="20" t="s">
        <v>149</v>
      </c>
      <c r="G904" s="415">
        <f>'Пр.6 ведом.20'!G908</f>
        <v>0</v>
      </c>
      <c r="H904" s="415">
        <f t="shared" si="38"/>
        <v>0</v>
      </c>
      <c r="I904" s="230"/>
    </row>
    <row r="905" spans="1:9" ht="15.75" hidden="1" x14ac:dyDescent="0.25">
      <c r="A905" s="25" t="s">
        <v>150</v>
      </c>
      <c r="B905" s="16">
        <v>908</v>
      </c>
      <c r="C905" s="20" t="s">
        <v>249</v>
      </c>
      <c r="D905" s="20" t="s">
        <v>228</v>
      </c>
      <c r="E905" s="20" t="s">
        <v>1122</v>
      </c>
      <c r="F905" s="20" t="s">
        <v>884</v>
      </c>
      <c r="G905" s="415">
        <f>'Пр.6 ведом.20'!G909</f>
        <v>0</v>
      </c>
      <c r="H905" s="415">
        <f t="shared" si="38"/>
        <v>0</v>
      </c>
      <c r="I905" s="230"/>
    </row>
    <row r="906" spans="1:9" ht="15.75" hidden="1" x14ac:dyDescent="0.25">
      <c r="A906" s="25" t="s">
        <v>583</v>
      </c>
      <c r="B906" s="16">
        <v>908</v>
      </c>
      <c r="C906" s="20" t="s">
        <v>249</v>
      </c>
      <c r="D906" s="20" t="s">
        <v>228</v>
      </c>
      <c r="E906" s="20" t="s">
        <v>1122</v>
      </c>
      <c r="F906" s="20" t="s">
        <v>1257</v>
      </c>
      <c r="G906" s="415">
        <f>'Пр.6 ведом.20'!G910</f>
        <v>0</v>
      </c>
      <c r="H906" s="415">
        <f t="shared" si="38"/>
        <v>0</v>
      </c>
      <c r="I906" s="230"/>
    </row>
    <row r="907" spans="1:9" ht="63" hidden="1" x14ac:dyDescent="0.25">
      <c r="A907" s="25" t="s">
        <v>823</v>
      </c>
      <c r="B907" s="16">
        <v>908</v>
      </c>
      <c r="C907" s="20" t="s">
        <v>249</v>
      </c>
      <c r="D907" s="20" t="s">
        <v>228</v>
      </c>
      <c r="E907" s="20" t="s">
        <v>1123</v>
      </c>
      <c r="F907" s="20"/>
      <c r="G907" s="415">
        <f>'Пр.6 ведом.20'!G911</f>
        <v>0</v>
      </c>
      <c r="H907" s="415">
        <f t="shared" si="38"/>
        <v>0</v>
      </c>
      <c r="I907" s="230"/>
    </row>
    <row r="908" spans="1:9" ht="31.5" hidden="1" x14ac:dyDescent="0.25">
      <c r="A908" s="25" t="s">
        <v>146</v>
      </c>
      <c r="B908" s="16">
        <v>908</v>
      </c>
      <c r="C908" s="20" t="s">
        <v>249</v>
      </c>
      <c r="D908" s="20" t="s">
        <v>228</v>
      </c>
      <c r="E908" s="20" t="s">
        <v>1123</v>
      </c>
      <c r="F908" s="20" t="s">
        <v>147</v>
      </c>
      <c r="G908" s="415">
        <f>'Пр.6 ведом.20'!G912</f>
        <v>0</v>
      </c>
      <c r="H908" s="415">
        <f t="shared" si="38"/>
        <v>0</v>
      </c>
      <c r="I908" s="230"/>
    </row>
    <row r="909" spans="1:9" ht="31.5" hidden="1" x14ac:dyDescent="0.25">
      <c r="A909" s="25" t="s">
        <v>148</v>
      </c>
      <c r="B909" s="16">
        <v>908</v>
      </c>
      <c r="C909" s="20" t="s">
        <v>249</v>
      </c>
      <c r="D909" s="20" t="s">
        <v>228</v>
      </c>
      <c r="E909" s="20" t="s">
        <v>1123</v>
      </c>
      <c r="F909" s="20" t="s">
        <v>149</v>
      </c>
      <c r="G909" s="415">
        <f>'Пр.6 ведом.20'!G913</f>
        <v>0</v>
      </c>
      <c r="H909" s="415">
        <f t="shared" si="38"/>
        <v>0</v>
      </c>
      <c r="I909" s="230"/>
    </row>
    <row r="910" spans="1:9" ht="47.25" hidden="1" x14ac:dyDescent="0.25">
      <c r="A910" s="100" t="s">
        <v>880</v>
      </c>
      <c r="B910" s="16">
        <v>908</v>
      </c>
      <c r="C910" s="20" t="s">
        <v>249</v>
      </c>
      <c r="D910" s="20" t="s">
        <v>228</v>
      </c>
      <c r="E910" s="20" t="s">
        <v>1124</v>
      </c>
      <c r="F910" s="20"/>
      <c r="G910" s="415">
        <f>'Пр.6 ведом.20'!G914</f>
        <v>0</v>
      </c>
      <c r="H910" s="415">
        <f t="shared" si="38"/>
        <v>0</v>
      </c>
      <c r="I910" s="230"/>
    </row>
    <row r="911" spans="1:9" ht="31.5" hidden="1" x14ac:dyDescent="0.25">
      <c r="A911" s="25" t="s">
        <v>885</v>
      </c>
      <c r="B911" s="16">
        <v>908</v>
      </c>
      <c r="C911" s="20" t="s">
        <v>249</v>
      </c>
      <c r="D911" s="20" t="s">
        <v>228</v>
      </c>
      <c r="E911" s="20" t="s">
        <v>1124</v>
      </c>
      <c r="F911" s="20" t="s">
        <v>884</v>
      </c>
      <c r="G911" s="415">
        <f>'Пр.6 ведом.20'!G915</f>
        <v>0</v>
      </c>
      <c r="H911" s="415">
        <f t="shared" si="38"/>
        <v>0</v>
      </c>
      <c r="I911" s="230"/>
    </row>
    <row r="912" spans="1:9" ht="63" hidden="1" x14ac:dyDescent="0.25">
      <c r="A912" s="25" t="s">
        <v>1235</v>
      </c>
      <c r="B912" s="16">
        <v>908</v>
      </c>
      <c r="C912" s="20" t="s">
        <v>249</v>
      </c>
      <c r="D912" s="20" t="s">
        <v>228</v>
      </c>
      <c r="E912" s="20" t="s">
        <v>1124</v>
      </c>
      <c r="F912" s="20" t="s">
        <v>1257</v>
      </c>
      <c r="G912" s="415">
        <f>'Пр.6 ведом.20'!G916</f>
        <v>0</v>
      </c>
      <c r="H912" s="415">
        <f t="shared" si="38"/>
        <v>0</v>
      </c>
      <c r="I912" s="230"/>
    </row>
    <row r="913" spans="1:9" ht="15.75" hidden="1" x14ac:dyDescent="0.25">
      <c r="A913" s="25" t="s">
        <v>150</v>
      </c>
      <c r="B913" s="16">
        <v>908</v>
      </c>
      <c r="C913" s="20" t="s">
        <v>249</v>
      </c>
      <c r="D913" s="20" t="s">
        <v>228</v>
      </c>
      <c r="E913" s="20" t="s">
        <v>1124</v>
      </c>
      <c r="F913" s="20" t="s">
        <v>160</v>
      </c>
      <c r="G913" s="415">
        <f>'Пр.6 ведом.20'!G917</f>
        <v>0</v>
      </c>
      <c r="H913" s="415">
        <f t="shared" si="38"/>
        <v>0</v>
      </c>
      <c r="I913" s="230"/>
    </row>
    <row r="914" spans="1:9" ht="15.75" hidden="1" x14ac:dyDescent="0.25">
      <c r="A914" s="25" t="s">
        <v>726</v>
      </c>
      <c r="B914" s="16">
        <v>908</v>
      </c>
      <c r="C914" s="20" t="s">
        <v>249</v>
      </c>
      <c r="D914" s="20" t="s">
        <v>228</v>
      </c>
      <c r="E914" s="20" t="s">
        <v>1124</v>
      </c>
      <c r="F914" s="20" t="s">
        <v>153</v>
      </c>
      <c r="G914" s="415">
        <f>'Пр.6 ведом.20'!G918</f>
        <v>0</v>
      </c>
      <c r="H914" s="415">
        <f t="shared" si="38"/>
        <v>0</v>
      </c>
      <c r="I914" s="230"/>
    </row>
    <row r="915" spans="1:9" ht="31.5" hidden="1" x14ac:dyDescent="0.25">
      <c r="A915" s="25" t="s">
        <v>1258</v>
      </c>
      <c r="B915" s="16">
        <v>908</v>
      </c>
      <c r="C915" s="20" t="s">
        <v>249</v>
      </c>
      <c r="D915" s="20" t="s">
        <v>228</v>
      </c>
      <c r="E915" s="20" t="s">
        <v>1259</v>
      </c>
      <c r="F915" s="20"/>
      <c r="G915" s="415">
        <f>'Пр.6 ведом.20'!G919</f>
        <v>0</v>
      </c>
      <c r="H915" s="415">
        <f t="shared" si="38"/>
        <v>0</v>
      </c>
      <c r="I915" s="230"/>
    </row>
    <row r="916" spans="1:9" ht="31.5" hidden="1" x14ac:dyDescent="0.25">
      <c r="A916" s="25" t="s">
        <v>146</v>
      </c>
      <c r="B916" s="16">
        <v>908</v>
      </c>
      <c r="C916" s="20" t="s">
        <v>249</v>
      </c>
      <c r="D916" s="20" t="s">
        <v>228</v>
      </c>
      <c r="E916" s="20" t="s">
        <v>1259</v>
      </c>
      <c r="F916" s="20" t="s">
        <v>147</v>
      </c>
      <c r="G916" s="415">
        <f>'Пр.6 ведом.20'!G920</f>
        <v>0</v>
      </c>
      <c r="H916" s="415">
        <f t="shared" si="38"/>
        <v>0</v>
      </c>
      <c r="I916" s="230"/>
    </row>
    <row r="917" spans="1:9" ht="31.5" hidden="1" x14ac:dyDescent="0.25">
      <c r="A917" s="25" t="s">
        <v>148</v>
      </c>
      <c r="B917" s="16">
        <v>908</v>
      </c>
      <c r="C917" s="20" t="s">
        <v>249</v>
      </c>
      <c r="D917" s="20" t="s">
        <v>228</v>
      </c>
      <c r="E917" s="20" t="s">
        <v>1259</v>
      </c>
      <c r="F917" s="20" t="s">
        <v>149</v>
      </c>
      <c r="G917" s="415">
        <f>'Пр.6 ведом.20'!G921</f>
        <v>0</v>
      </c>
      <c r="H917" s="415">
        <f t="shared" si="38"/>
        <v>0</v>
      </c>
      <c r="I917" s="230"/>
    </row>
    <row r="918" spans="1:9" ht="63" x14ac:dyDescent="0.25">
      <c r="A918" s="23" t="s">
        <v>1377</v>
      </c>
      <c r="B918" s="19">
        <v>908</v>
      </c>
      <c r="C918" s="24" t="s">
        <v>249</v>
      </c>
      <c r="D918" s="24" t="s">
        <v>228</v>
      </c>
      <c r="E918" s="24" t="s">
        <v>533</v>
      </c>
      <c r="F918" s="24"/>
      <c r="G918" s="416">
        <f>G919+G923+G927+G931+G943+G939</f>
        <v>700</v>
      </c>
      <c r="H918" s="416">
        <f>H919+H923+H927+H931+H943+H939</f>
        <v>700</v>
      </c>
      <c r="I918" s="230"/>
    </row>
    <row r="919" spans="1:9" ht="31.5" x14ac:dyDescent="0.25">
      <c r="A919" s="23" t="s">
        <v>1104</v>
      </c>
      <c r="B919" s="19">
        <v>908</v>
      </c>
      <c r="C919" s="24" t="s">
        <v>249</v>
      </c>
      <c r="D919" s="24" t="s">
        <v>228</v>
      </c>
      <c r="E919" s="24" t="s">
        <v>1106</v>
      </c>
      <c r="F919" s="24"/>
      <c r="G919" s="416">
        <f>G920</f>
        <v>700</v>
      </c>
      <c r="H919" s="416">
        <f>H920</f>
        <v>700</v>
      </c>
      <c r="I919" s="230"/>
    </row>
    <row r="920" spans="1:9" ht="15.75" x14ac:dyDescent="0.25">
      <c r="A920" s="45" t="s">
        <v>1105</v>
      </c>
      <c r="B920" s="16">
        <v>908</v>
      </c>
      <c r="C920" s="40" t="s">
        <v>249</v>
      </c>
      <c r="D920" s="40" t="s">
        <v>228</v>
      </c>
      <c r="E920" s="20" t="s">
        <v>1107</v>
      </c>
      <c r="F920" s="40"/>
      <c r="G920" s="415">
        <f>G921</f>
        <v>700</v>
      </c>
      <c r="H920" s="415">
        <f t="shared" si="38"/>
        <v>700</v>
      </c>
      <c r="I920" s="230"/>
    </row>
    <row r="921" spans="1:9" ht="31.5" x14ac:dyDescent="0.25">
      <c r="A921" s="31" t="s">
        <v>146</v>
      </c>
      <c r="B921" s="16">
        <v>908</v>
      </c>
      <c r="C921" s="40" t="s">
        <v>249</v>
      </c>
      <c r="D921" s="40" t="s">
        <v>228</v>
      </c>
      <c r="E921" s="20" t="s">
        <v>1107</v>
      </c>
      <c r="F921" s="40" t="s">
        <v>147</v>
      </c>
      <c r="G921" s="415">
        <f>G922</f>
        <v>700</v>
      </c>
      <c r="H921" s="415">
        <f t="shared" si="38"/>
        <v>700</v>
      </c>
      <c r="I921" s="230"/>
    </row>
    <row r="922" spans="1:9" ht="31.5" x14ac:dyDescent="0.25">
      <c r="A922" s="31" t="s">
        <v>148</v>
      </c>
      <c r="B922" s="16">
        <v>908</v>
      </c>
      <c r="C922" s="40" t="s">
        <v>249</v>
      </c>
      <c r="D922" s="40" t="s">
        <v>228</v>
      </c>
      <c r="E922" s="20" t="s">
        <v>1107</v>
      </c>
      <c r="F922" s="40" t="s">
        <v>149</v>
      </c>
      <c r="G922" s="415">
        <v>700</v>
      </c>
      <c r="H922" s="415">
        <v>700</v>
      </c>
      <c r="I922" s="230"/>
    </row>
    <row r="923" spans="1:9" ht="31.5" hidden="1" x14ac:dyDescent="0.25">
      <c r="A923" s="34" t="s">
        <v>1108</v>
      </c>
      <c r="B923" s="19">
        <v>908</v>
      </c>
      <c r="C923" s="7" t="s">
        <v>249</v>
      </c>
      <c r="D923" s="7" t="s">
        <v>228</v>
      </c>
      <c r="E923" s="24" t="s">
        <v>1109</v>
      </c>
      <c r="F923" s="7"/>
      <c r="G923" s="416">
        <f>G924</f>
        <v>0</v>
      </c>
      <c r="H923" s="416">
        <f>H924</f>
        <v>0</v>
      </c>
      <c r="I923" s="230"/>
    </row>
    <row r="924" spans="1:9" ht="15.75" hidden="1" x14ac:dyDescent="0.25">
      <c r="A924" s="45" t="s">
        <v>538</v>
      </c>
      <c r="B924" s="16">
        <v>908</v>
      </c>
      <c r="C924" s="40" t="s">
        <v>249</v>
      </c>
      <c r="D924" s="40" t="s">
        <v>228</v>
      </c>
      <c r="E924" s="20" t="s">
        <v>1112</v>
      </c>
      <c r="F924" s="40"/>
      <c r="G924" s="415">
        <f>'Пр.6 ведом.20'!G928</f>
        <v>0</v>
      </c>
      <c r="H924" s="415">
        <f t="shared" si="38"/>
        <v>0</v>
      </c>
      <c r="I924" s="230"/>
    </row>
    <row r="925" spans="1:9" ht="31.5" hidden="1" x14ac:dyDescent="0.25">
      <c r="A925" s="31" t="s">
        <v>146</v>
      </c>
      <c r="B925" s="16">
        <v>908</v>
      </c>
      <c r="C925" s="40" t="s">
        <v>249</v>
      </c>
      <c r="D925" s="40" t="s">
        <v>228</v>
      </c>
      <c r="E925" s="20" t="s">
        <v>1112</v>
      </c>
      <c r="F925" s="40" t="s">
        <v>147</v>
      </c>
      <c r="G925" s="415">
        <f>'Пр.6 ведом.20'!G929</f>
        <v>0</v>
      </c>
      <c r="H925" s="415">
        <f t="shared" si="38"/>
        <v>0</v>
      </c>
      <c r="I925" s="230"/>
    </row>
    <row r="926" spans="1:9" ht="31.5" hidden="1" x14ac:dyDescent="0.25">
      <c r="A926" s="31" t="s">
        <v>148</v>
      </c>
      <c r="B926" s="16">
        <v>908</v>
      </c>
      <c r="C926" s="40" t="s">
        <v>249</v>
      </c>
      <c r="D926" s="40" t="s">
        <v>228</v>
      </c>
      <c r="E926" s="20" t="s">
        <v>1112</v>
      </c>
      <c r="F926" s="40" t="s">
        <v>149</v>
      </c>
      <c r="G926" s="415">
        <f>'Пр.6 ведом.20'!G930</f>
        <v>0</v>
      </c>
      <c r="H926" s="415">
        <f t="shared" si="38"/>
        <v>0</v>
      </c>
      <c r="I926" s="230"/>
    </row>
    <row r="927" spans="1:9" ht="31.5" hidden="1" x14ac:dyDescent="0.25">
      <c r="A927" s="58" t="s">
        <v>1110</v>
      </c>
      <c r="B927" s="19">
        <v>908</v>
      </c>
      <c r="C927" s="7" t="s">
        <v>249</v>
      </c>
      <c r="D927" s="7" t="s">
        <v>228</v>
      </c>
      <c r="E927" s="24" t="s">
        <v>1111</v>
      </c>
      <c r="F927" s="7"/>
      <c r="G927" s="305">
        <f>G928</f>
        <v>0</v>
      </c>
      <c r="H927" s="305">
        <f>H928</f>
        <v>0</v>
      </c>
      <c r="I927" s="230"/>
    </row>
    <row r="928" spans="1:9" ht="15.75" hidden="1" x14ac:dyDescent="0.25">
      <c r="A928" s="45" t="s">
        <v>540</v>
      </c>
      <c r="B928" s="16">
        <v>908</v>
      </c>
      <c r="C928" s="40" t="s">
        <v>249</v>
      </c>
      <c r="D928" s="40" t="s">
        <v>228</v>
      </c>
      <c r="E928" s="20" t="s">
        <v>1113</v>
      </c>
      <c r="F928" s="40"/>
      <c r="G928" s="415">
        <f>'Пр.6 ведом.20'!G932</f>
        <v>0</v>
      </c>
      <c r="H928" s="415">
        <f t="shared" si="38"/>
        <v>0</v>
      </c>
      <c r="I928" s="230"/>
    </row>
    <row r="929" spans="1:9" ht="31.5" hidden="1" x14ac:dyDescent="0.25">
      <c r="A929" s="31" t="s">
        <v>146</v>
      </c>
      <c r="B929" s="16">
        <v>908</v>
      </c>
      <c r="C929" s="40" t="s">
        <v>249</v>
      </c>
      <c r="D929" s="40" t="s">
        <v>228</v>
      </c>
      <c r="E929" s="20" t="s">
        <v>1113</v>
      </c>
      <c r="F929" s="40" t="s">
        <v>147</v>
      </c>
      <c r="G929" s="415">
        <f>'Пр.6 ведом.20'!G933</f>
        <v>0</v>
      </c>
      <c r="H929" s="415">
        <f t="shared" si="38"/>
        <v>0</v>
      </c>
      <c r="I929" s="230"/>
    </row>
    <row r="930" spans="1:9" ht="31.5" hidden="1" x14ac:dyDescent="0.25">
      <c r="A930" s="31" t="s">
        <v>148</v>
      </c>
      <c r="B930" s="16">
        <v>908</v>
      </c>
      <c r="C930" s="40" t="s">
        <v>249</v>
      </c>
      <c r="D930" s="40" t="s">
        <v>228</v>
      </c>
      <c r="E930" s="20" t="s">
        <v>1113</v>
      </c>
      <c r="F930" s="40" t="s">
        <v>149</v>
      </c>
      <c r="G930" s="415">
        <f>'Пр.6 ведом.20'!G934</f>
        <v>0</v>
      </c>
      <c r="H930" s="415">
        <f t="shared" si="38"/>
        <v>0</v>
      </c>
      <c r="I930" s="230"/>
    </row>
    <row r="931" spans="1:9" ht="31.5" hidden="1" x14ac:dyDescent="0.25">
      <c r="A931" s="58" t="s">
        <v>1114</v>
      </c>
      <c r="B931" s="19">
        <v>908</v>
      </c>
      <c r="C931" s="7" t="s">
        <v>249</v>
      </c>
      <c r="D931" s="7" t="s">
        <v>228</v>
      </c>
      <c r="E931" s="24" t="s">
        <v>1115</v>
      </c>
      <c r="F931" s="7"/>
      <c r="G931" s="305">
        <f>G932</f>
        <v>0</v>
      </c>
      <c r="H931" s="305">
        <f>H932</f>
        <v>0</v>
      </c>
      <c r="I931" s="230"/>
    </row>
    <row r="932" spans="1:9" ht="15.75" hidden="1" x14ac:dyDescent="0.25">
      <c r="A932" s="45" t="s">
        <v>542</v>
      </c>
      <c r="B932" s="16">
        <v>908</v>
      </c>
      <c r="C932" s="40" t="s">
        <v>249</v>
      </c>
      <c r="D932" s="40" t="s">
        <v>228</v>
      </c>
      <c r="E932" s="20" t="s">
        <v>1116</v>
      </c>
      <c r="F932" s="40"/>
      <c r="G932" s="415">
        <f>'Пр.6 ведом.20'!G936</f>
        <v>0</v>
      </c>
      <c r="H932" s="415">
        <f t="shared" si="38"/>
        <v>0</v>
      </c>
      <c r="I932" s="230"/>
    </row>
    <row r="933" spans="1:9" ht="31.5" hidden="1" x14ac:dyDescent="0.25">
      <c r="A933" s="31" t="s">
        <v>146</v>
      </c>
      <c r="B933" s="16">
        <v>908</v>
      </c>
      <c r="C933" s="40" t="s">
        <v>249</v>
      </c>
      <c r="D933" s="40" t="s">
        <v>228</v>
      </c>
      <c r="E933" s="20" t="s">
        <v>1116</v>
      </c>
      <c r="F933" s="40" t="s">
        <v>147</v>
      </c>
      <c r="G933" s="415">
        <f>'Пр.6 ведом.20'!G937</f>
        <v>0</v>
      </c>
      <c r="H933" s="415">
        <f t="shared" si="38"/>
        <v>0</v>
      </c>
      <c r="I933" s="230"/>
    </row>
    <row r="934" spans="1:9" ht="31.5" hidden="1" x14ac:dyDescent="0.25">
      <c r="A934" s="31" t="s">
        <v>148</v>
      </c>
      <c r="B934" s="16">
        <v>908</v>
      </c>
      <c r="C934" s="40" t="s">
        <v>249</v>
      </c>
      <c r="D934" s="40" t="s">
        <v>228</v>
      </c>
      <c r="E934" s="20" t="s">
        <v>1116</v>
      </c>
      <c r="F934" s="40" t="s">
        <v>149</v>
      </c>
      <c r="G934" s="415">
        <f>'Пр.6 ведом.20'!G938</f>
        <v>0</v>
      </c>
      <c r="H934" s="415">
        <f t="shared" si="38"/>
        <v>0</v>
      </c>
      <c r="I934" s="230"/>
    </row>
    <row r="935" spans="1:9" ht="31.5" hidden="1" x14ac:dyDescent="0.25">
      <c r="A935" s="34" t="s">
        <v>1178</v>
      </c>
      <c r="B935" s="19">
        <v>908</v>
      </c>
      <c r="C935" s="7" t="s">
        <v>249</v>
      </c>
      <c r="D935" s="7" t="s">
        <v>228</v>
      </c>
      <c r="E935" s="24" t="s">
        <v>1179</v>
      </c>
      <c r="F935" s="7"/>
      <c r="G935" s="305">
        <f>G936</f>
        <v>0</v>
      </c>
      <c r="H935" s="305">
        <f>H936</f>
        <v>0</v>
      </c>
      <c r="I935" s="230"/>
    </row>
    <row r="936" spans="1:9" ht="15.75" hidden="1" x14ac:dyDescent="0.25">
      <c r="A936" s="45" t="s">
        <v>544</v>
      </c>
      <c r="B936" s="16">
        <v>908</v>
      </c>
      <c r="C936" s="40" t="s">
        <v>249</v>
      </c>
      <c r="D936" s="40" t="s">
        <v>228</v>
      </c>
      <c r="E936" s="20" t="s">
        <v>1182</v>
      </c>
      <c r="F936" s="40"/>
      <c r="G936" s="415">
        <f>'Пр.6 ведом.20'!G940</f>
        <v>0</v>
      </c>
      <c r="H936" s="415">
        <f t="shared" si="38"/>
        <v>0</v>
      </c>
      <c r="I936" s="230"/>
    </row>
    <row r="937" spans="1:9" ht="31.5" hidden="1" x14ac:dyDescent="0.25">
      <c r="A937" s="31" t="s">
        <v>146</v>
      </c>
      <c r="B937" s="16">
        <v>908</v>
      </c>
      <c r="C937" s="40" t="s">
        <v>249</v>
      </c>
      <c r="D937" s="40" t="s">
        <v>228</v>
      </c>
      <c r="E937" s="20" t="s">
        <v>1182</v>
      </c>
      <c r="F937" s="40" t="s">
        <v>147</v>
      </c>
      <c r="G937" s="415">
        <f>'Пр.6 ведом.20'!G941</f>
        <v>0</v>
      </c>
      <c r="H937" s="415">
        <f t="shared" si="38"/>
        <v>0</v>
      </c>
      <c r="I937" s="230"/>
    </row>
    <row r="938" spans="1:9" ht="31.5" hidden="1" x14ac:dyDescent="0.25">
      <c r="A938" s="31" t="s">
        <v>148</v>
      </c>
      <c r="B938" s="16">
        <v>908</v>
      </c>
      <c r="C938" s="40" t="s">
        <v>249</v>
      </c>
      <c r="D938" s="40" t="s">
        <v>228</v>
      </c>
      <c r="E938" s="20" t="s">
        <v>1182</v>
      </c>
      <c r="F938" s="40" t="s">
        <v>149</v>
      </c>
      <c r="G938" s="415">
        <f>'Пр.6 ведом.20'!G942</f>
        <v>0</v>
      </c>
      <c r="H938" s="415">
        <f t="shared" si="38"/>
        <v>0</v>
      </c>
      <c r="I938" s="230"/>
    </row>
    <row r="939" spans="1:9" ht="31.5" hidden="1" x14ac:dyDescent="0.25">
      <c r="A939" s="282" t="s">
        <v>1180</v>
      </c>
      <c r="B939" s="19">
        <v>908</v>
      </c>
      <c r="C939" s="7" t="s">
        <v>249</v>
      </c>
      <c r="D939" s="7" t="s">
        <v>228</v>
      </c>
      <c r="E939" s="24" t="s">
        <v>1181</v>
      </c>
      <c r="F939" s="7"/>
      <c r="G939" s="416">
        <f>G940</f>
        <v>0</v>
      </c>
      <c r="H939" s="416">
        <f>H940</f>
        <v>0</v>
      </c>
      <c r="I939" s="230"/>
    </row>
    <row r="940" spans="1:9" ht="31.5" hidden="1" x14ac:dyDescent="0.25">
      <c r="A940" s="180" t="s">
        <v>546</v>
      </c>
      <c r="B940" s="16">
        <v>908</v>
      </c>
      <c r="C940" s="40" t="s">
        <v>249</v>
      </c>
      <c r="D940" s="40" t="s">
        <v>228</v>
      </c>
      <c r="E940" s="20" t="s">
        <v>1183</v>
      </c>
      <c r="F940" s="40"/>
      <c r="G940" s="415">
        <f>'Пр.6 ведом.20'!G944</f>
        <v>0</v>
      </c>
      <c r="H940" s="415">
        <f t="shared" si="38"/>
        <v>0</v>
      </c>
      <c r="I940" s="230"/>
    </row>
    <row r="941" spans="1:9" ht="31.5" hidden="1" x14ac:dyDescent="0.25">
      <c r="A941" s="31" t="s">
        <v>146</v>
      </c>
      <c r="B941" s="16">
        <v>908</v>
      </c>
      <c r="C941" s="40" t="s">
        <v>249</v>
      </c>
      <c r="D941" s="40" t="s">
        <v>228</v>
      </c>
      <c r="E941" s="20" t="s">
        <v>1183</v>
      </c>
      <c r="F941" s="40" t="s">
        <v>147</v>
      </c>
      <c r="G941" s="415">
        <f>'Пр.6 ведом.20'!G945</f>
        <v>0</v>
      </c>
      <c r="H941" s="415">
        <f t="shared" si="38"/>
        <v>0</v>
      </c>
      <c r="I941" s="230"/>
    </row>
    <row r="942" spans="1:9" ht="31.5" hidden="1" x14ac:dyDescent="0.25">
      <c r="A942" s="31" t="s">
        <v>148</v>
      </c>
      <c r="B942" s="16">
        <v>908</v>
      </c>
      <c r="C942" s="40" t="s">
        <v>249</v>
      </c>
      <c r="D942" s="40" t="s">
        <v>228</v>
      </c>
      <c r="E942" s="20" t="s">
        <v>1183</v>
      </c>
      <c r="F942" s="40" t="s">
        <v>149</v>
      </c>
      <c r="G942" s="415">
        <f>'Пр.6 ведом.20'!G946</f>
        <v>0</v>
      </c>
      <c r="H942" s="415">
        <f t="shared" si="38"/>
        <v>0</v>
      </c>
      <c r="I942" s="230"/>
    </row>
    <row r="943" spans="1:9" ht="31.5" hidden="1" x14ac:dyDescent="0.25">
      <c r="A943" s="282" t="s">
        <v>1118</v>
      </c>
      <c r="B943" s="19">
        <v>908</v>
      </c>
      <c r="C943" s="7" t="s">
        <v>249</v>
      </c>
      <c r="D943" s="7" t="s">
        <v>228</v>
      </c>
      <c r="E943" s="24" t="s">
        <v>1119</v>
      </c>
      <c r="F943" s="7"/>
      <c r="G943" s="416">
        <f>G944</f>
        <v>0</v>
      </c>
      <c r="H943" s="416">
        <f>H944</f>
        <v>0</v>
      </c>
      <c r="I943" s="230"/>
    </row>
    <row r="944" spans="1:9" ht="15.75" hidden="1" x14ac:dyDescent="0.25">
      <c r="A944" s="180" t="s">
        <v>548</v>
      </c>
      <c r="B944" s="16">
        <v>908</v>
      </c>
      <c r="C944" s="40" t="s">
        <v>249</v>
      </c>
      <c r="D944" s="40" t="s">
        <v>228</v>
      </c>
      <c r="E944" s="20" t="s">
        <v>1117</v>
      </c>
      <c r="F944" s="40"/>
      <c r="G944" s="415">
        <f>'Пр.6 ведом.20'!G948</f>
        <v>0</v>
      </c>
      <c r="H944" s="415">
        <f t="shared" si="38"/>
        <v>0</v>
      </c>
      <c r="I944" s="230"/>
    </row>
    <row r="945" spans="1:9" ht="31.5" hidden="1" x14ac:dyDescent="0.25">
      <c r="A945" s="25" t="s">
        <v>146</v>
      </c>
      <c r="B945" s="16">
        <v>908</v>
      </c>
      <c r="C945" s="40" t="s">
        <v>249</v>
      </c>
      <c r="D945" s="40" t="s">
        <v>228</v>
      </c>
      <c r="E945" s="20" t="s">
        <v>1117</v>
      </c>
      <c r="F945" s="40" t="s">
        <v>147</v>
      </c>
      <c r="G945" s="415">
        <f>'Пр.6 ведом.20'!G949</f>
        <v>0</v>
      </c>
      <c r="H945" s="415">
        <f t="shared" si="38"/>
        <v>0</v>
      </c>
      <c r="I945" s="230"/>
    </row>
    <row r="946" spans="1:9" ht="31.5" hidden="1" x14ac:dyDescent="0.25">
      <c r="A946" s="25" t="s">
        <v>148</v>
      </c>
      <c r="B946" s="16">
        <v>908</v>
      </c>
      <c r="C946" s="40" t="s">
        <v>249</v>
      </c>
      <c r="D946" s="40" t="s">
        <v>228</v>
      </c>
      <c r="E946" s="20" t="s">
        <v>1117</v>
      </c>
      <c r="F946" s="40" t="s">
        <v>149</v>
      </c>
      <c r="G946" s="415">
        <f>'Пр.6 ведом.20'!G950</f>
        <v>0</v>
      </c>
      <c r="H946" s="415">
        <f t="shared" si="38"/>
        <v>0</v>
      </c>
      <c r="I946" s="230"/>
    </row>
    <row r="947" spans="1:9" s="229" customFormat="1" ht="47.25" x14ac:dyDescent="0.25">
      <c r="A947" s="23" t="s">
        <v>1384</v>
      </c>
      <c r="B947" s="19">
        <v>908</v>
      </c>
      <c r="C947" s="7" t="s">
        <v>249</v>
      </c>
      <c r="D947" s="7" t="s">
        <v>228</v>
      </c>
      <c r="E947" s="24" t="s">
        <v>1383</v>
      </c>
      <c r="F947" s="7"/>
      <c r="G947" s="416">
        <f t="shared" ref="G947:H950" si="39">G948</f>
        <v>235</v>
      </c>
      <c r="H947" s="416">
        <f t="shared" si="39"/>
        <v>204</v>
      </c>
      <c r="I947" s="230"/>
    </row>
    <row r="948" spans="1:9" s="229" customFormat="1" ht="31.5" x14ac:dyDescent="0.25">
      <c r="A948" s="23" t="s">
        <v>1385</v>
      </c>
      <c r="B948" s="19">
        <v>908</v>
      </c>
      <c r="C948" s="7" t="s">
        <v>249</v>
      </c>
      <c r="D948" s="7" t="s">
        <v>228</v>
      </c>
      <c r="E948" s="24" t="s">
        <v>1386</v>
      </c>
      <c r="F948" s="7"/>
      <c r="G948" s="416">
        <f t="shared" si="39"/>
        <v>235</v>
      </c>
      <c r="H948" s="416">
        <f t="shared" si="39"/>
        <v>204</v>
      </c>
      <c r="I948" s="230"/>
    </row>
    <row r="949" spans="1:9" s="229" customFormat="1" ht="15.75" x14ac:dyDescent="0.25">
      <c r="A949" s="25" t="s">
        <v>552</v>
      </c>
      <c r="B949" s="16">
        <v>908</v>
      </c>
      <c r="C949" s="40" t="s">
        <v>249</v>
      </c>
      <c r="D949" s="40" t="s">
        <v>228</v>
      </c>
      <c r="E949" s="20" t="s">
        <v>1387</v>
      </c>
      <c r="F949" s="40"/>
      <c r="G949" s="415">
        <f t="shared" si="39"/>
        <v>235</v>
      </c>
      <c r="H949" s="415">
        <f t="shared" si="39"/>
        <v>204</v>
      </c>
      <c r="I949" s="230"/>
    </row>
    <row r="950" spans="1:9" s="229" customFormat="1" ht="31.5" x14ac:dyDescent="0.25">
      <c r="A950" s="25" t="s">
        <v>146</v>
      </c>
      <c r="B950" s="16">
        <v>908</v>
      </c>
      <c r="C950" s="40" t="s">
        <v>249</v>
      </c>
      <c r="D950" s="40" t="s">
        <v>228</v>
      </c>
      <c r="E950" s="20" t="s">
        <v>1387</v>
      </c>
      <c r="F950" s="40" t="s">
        <v>147</v>
      </c>
      <c r="G950" s="415">
        <f t="shared" si="39"/>
        <v>235</v>
      </c>
      <c r="H950" s="415">
        <f t="shared" si="39"/>
        <v>204</v>
      </c>
      <c r="I950" s="230"/>
    </row>
    <row r="951" spans="1:9" s="229" customFormat="1" ht="31.5" x14ac:dyDescent="0.25">
      <c r="A951" s="25" t="s">
        <v>148</v>
      </c>
      <c r="B951" s="16">
        <v>908</v>
      </c>
      <c r="C951" s="40" t="s">
        <v>249</v>
      </c>
      <c r="D951" s="40" t="s">
        <v>228</v>
      </c>
      <c r="E951" s="20" t="s">
        <v>1387</v>
      </c>
      <c r="F951" s="40" t="s">
        <v>149</v>
      </c>
      <c r="G951" s="415">
        <v>235</v>
      </c>
      <c r="H951" s="415">
        <v>204</v>
      </c>
      <c r="I951" s="230"/>
    </row>
    <row r="952" spans="1:9" ht="15.75" x14ac:dyDescent="0.25">
      <c r="A952" s="23" t="s">
        <v>556</v>
      </c>
      <c r="B952" s="19">
        <v>908</v>
      </c>
      <c r="C952" s="24" t="s">
        <v>249</v>
      </c>
      <c r="D952" s="24" t="s">
        <v>230</v>
      </c>
      <c r="E952" s="24"/>
      <c r="F952" s="24"/>
      <c r="G952" s="416">
        <f>G953+G958+G996</f>
        <v>4134.5</v>
      </c>
      <c r="H952" s="416">
        <f>H953+H958+H996</f>
        <v>4134.5</v>
      </c>
      <c r="I952" s="230"/>
    </row>
    <row r="953" spans="1:9" ht="15.75" x14ac:dyDescent="0.25">
      <c r="A953" s="23" t="s">
        <v>156</v>
      </c>
      <c r="B953" s="19">
        <v>908</v>
      </c>
      <c r="C953" s="24" t="s">
        <v>249</v>
      </c>
      <c r="D953" s="24" t="s">
        <v>230</v>
      </c>
      <c r="E953" s="24" t="s">
        <v>914</v>
      </c>
      <c r="F953" s="24"/>
      <c r="G953" s="416">
        <f>G954</f>
        <v>390</v>
      </c>
      <c r="H953" s="416">
        <f>H954</f>
        <v>390</v>
      </c>
      <c r="I953" s="230"/>
    </row>
    <row r="954" spans="1:9" ht="31.5" x14ac:dyDescent="0.25">
      <c r="A954" s="23" t="s">
        <v>918</v>
      </c>
      <c r="B954" s="19">
        <v>908</v>
      </c>
      <c r="C954" s="24" t="s">
        <v>249</v>
      </c>
      <c r="D954" s="24" t="s">
        <v>230</v>
      </c>
      <c r="E954" s="24" t="s">
        <v>913</v>
      </c>
      <c r="F954" s="24"/>
      <c r="G954" s="416">
        <f>G955</f>
        <v>390</v>
      </c>
      <c r="H954" s="416">
        <f>H955</f>
        <v>390</v>
      </c>
      <c r="I954" s="230"/>
    </row>
    <row r="955" spans="1:9" ht="15.75" x14ac:dyDescent="0.25">
      <c r="A955" s="25" t="s">
        <v>579</v>
      </c>
      <c r="B955" s="16">
        <v>908</v>
      </c>
      <c r="C955" s="20" t="s">
        <v>249</v>
      </c>
      <c r="D955" s="20" t="s">
        <v>230</v>
      </c>
      <c r="E955" s="20" t="s">
        <v>1272</v>
      </c>
      <c r="F955" s="20"/>
      <c r="G955" s="415">
        <f>'Пр.6 ведом.20'!G959</f>
        <v>390</v>
      </c>
      <c r="H955" s="415">
        <f t="shared" si="38"/>
        <v>390</v>
      </c>
      <c r="I955" s="230"/>
    </row>
    <row r="956" spans="1:9" ht="31.5" x14ac:dyDescent="0.25">
      <c r="A956" s="25" t="s">
        <v>146</v>
      </c>
      <c r="B956" s="16">
        <v>908</v>
      </c>
      <c r="C956" s="20" t="s">
        <v>249</v>
      </c>
      <c r="D956" s="20" t="s">
        <v>230</v>
      </c>
      <c r="E956" s="20" t="s">
        <v>1272</v>
      </c>
      <c r="F956" s="20" t="s">
        <v>147</v>
      </c>
      <c r="G956" s="415">
        <f>'Пр.6 ведом.20'!G960</f>
        <v>390</v>
      </c>
      <c r="H956" s="415">
        <f t="shared" si="38"/>
        <v>390</v>
      </c>
      <c r="I956" s="230"/>
    </row>
    <row r="957" spans="1:9" ht="31.5" x14ac:dyDescent="0.25">
      <c r="A957" s="25" t="s">
        <v>148</v>
      </c>
      <c r="B957" s="16">
        <v>908</v>
      </c>
      <c r="C957" s="20" t="s">
        <v>249</v>
      </c>
      <c r="D957" s="20" t="s">
        <v>230</v>
      </c>
      <c r="E957" s="20" t="s">
        <v>1272</v>
      </c>
      <c r="F957" s="20" t="s">
        <v>149</v>
      </c>
      <c r="G957" s="415">
        <f>'Пр.6 ведом.20'!G961</f>
        <v>390</v>
      </c>
      <c r="H957" s="415">
        <f t="shared" si="38"/>
        <v>390</v>
      </c>
      <c r="I957" s="230"/>
    </row>
    <row r="958" spans="1:9" ht="47.25" x14ac:dyDescent="0.25">
      <c r="A958" s="23" t="s">
        <v>1463</v>
      </c>
      <c r="B958" s="19">
        <v>908</v>
      </c>
      <c r="C958" s="24" t="s">
        <v>249</v>
      </c>
      <c r="D958" s="24" t="s">
        <v>230</v>
      </c>
      <c r="E958" s="24" t="s">
        <v>558</v>
      </c>
      <c r="F958" s="24"/>
      <c r="G958" s="416">
        <f>G959+G973</f>
        <v>3244.5</v>
      </c>
      <c r="H958" s="416">
        <f>H959+H973</f>
        <v>3244.5</v>
      </c>
      <c r="I958" s="230"/>
    </row>
    <row r="959" spans="1:9" ht="47.25" x14ac:dyDescent="0.25">
      <c r="A959" s="23" t="s">
        <v>559</v>
      </c>
      <c r="B959" s="19">
        <v>908</v>
      </c>
      <c r="C959" s="24" t="s">
        <v>249</v>
      </c>
      <c r="D959" s="24" t="s">
        <v>230</v>
      </c>
      <c r="E959" s="24" t="s">
        <v>560</v>
      </c>
      <c r="F959" s="24"/>
      <c r="G959" s="416">
        <f>G960</f>
        <v>940</v>
      </c>
      <c r="H959" s="416">
        <f>H960</f>
        <v>940</v>
      </c>
      <c r="I959" s="230"/>
    </row>
    <row r="960" spans="1:9" ht="31.5" x14ac:dyDescent="0.25">
      <c r="A960" s="23" t="s">
        <v>1127</v>
      </c>
      <c r="B960" s="19">
        <v>908</v>
      </c>
      <c r="C960" s="24" t="s">
        <v>249</v>
      </c>
      <c r="D960" s="24" t="s">
        <v>230</v>
      </c>
      <c r="E960" s="24" t="s">
        <v>1125</v>
      </c>
      <c r="F960" s="24"/>
      <c r="G960" s="416">
        <f>G961+G964+G970</f>
        <v>940</v>
      </c>
      <c r="H960" s="416">
        <f>H961+H964+H970</f>
        <v>940</v>
      </c>
      <c r="I960" s="230"/>
    </row>
    <row r="961" spans="1:9" ht="15.75" x14ac:dyDescent="0.25">
      <c r="A961" s="25" t="s">
        <v>561</v>
      </c>
      <c r="B961" s="16">
        <v>908</v>
      </c>
      <c r="C961" s="20" t="s">
        <v>249</v>
      </c>
      <c r="D961" s="20" t="s">
        <v>230</v>
      </c>
      <c r="E961" s="20" t="s">
        <v>1126</v>
      </c>
      <c r="F961" s="20"/>
      <c r="G961" s="415">
        <f>'Пр.6 ведом.20'!G965</f>
        <v>90</v>
      </c>
      <c r="H961" s="415">
        <f t="shared" si="38"/>
        <v>90</v>
      </c>
      <c r="I961" s="230"/>
    </row>
    <row r="962" spans="1:9" ht="31.5" x14ac:dyDescent="0.25">
      <c r="A962" s="25" t="s">
        <v>146</v>
      </c>
      <c r="B962" s="16">
        <v>908</v>
      </c>
      <c r="C962" s="20" t="s">
        <v>249</v>
      </c>
      <c r="D962" s="20" t="s">
        <v>230</v>
      </c>
      <c r="E962" s="20" t="s">
        <v>1126</v>
      </c>
      <c r="F962" s="20" t="s">
        <v>147</v>
      </c>
      <c r="G962" s="415">
        <f>'Пр.6 ведом.20'!G966</f>
        <v>90</v>
      </c>
      <c r="H962" s="415">
        <f t="shared" si="38"/>
        <v>90</v>
      </c>
      <c r="I962" s="230"/>
    </row>
    <row r="963" spans="1:9" ht="31.5" x14ac:dyDescent="0.25">
      <c r="A963" s="25" t="s">
        <v>148</v>
      </c>
      <c r="B963" s="16">
        <v>908</v>
      </c>
      <c r="C963" s="20" t="s">
        <v>249</v>
      </c>
      <c r="D963" s="20" t="s">
        <v>230</v>
      </c>
      <c r="E963" s="20" t="s">
        <v>1126</v>
      </c>
      <c r="F963" s="20" t="s">
        <v>149</v>
      </c>
      <c r="G963" s="415">
        <f>'Пр.6 ведом.20'!G967</f>
        <v>90</v>
      </c>
      <c r="H963" s="415">
        <f t="shared" si="38"/>
        <v>90</v>
      </c>
      <c r="I963" s="230"/>
    </row>
    <row r="964" spans="1:9" ht="15.75" x14ac:dyDescent="0.25">
      <c r="A964" s="25" t="s">
        <v>1299</v>
      </c>
      <c r="B964" s="16">
        <v>908</v>
      </c>
      <c r="C964" s="20" t="s">
        <v>249</v>
      </c>
      <c r="D964" s="20" t="s">
        <v>230</v>
      </c>
      <c r="E964" s="20" t="s">
        <v>1128</v>
      </c>
      <c r="F964" s="20"/>
      <c r="G964" s="415">
        <f>'Пр.6 ведом.20'!G968</f>
        <v>650</v>
      </c>
      <c r="H964" s="415">
        <f t="shared" si="38"/>
        <v>650</v>
      </c>
      <c r="I964" s="230"/>
    </row>
    <row r="965" spans="1:9" ht="31.5" x14ac:dyDescent="0.25">
      <c r="A965" s="25" t="s">
        <v>146</v>
      </c>
      <c r="B965" s="16">
        <v>908</v>
      </c>
      <c r="C965" s="20" t="s">
        <v>249</v>
      </c>
      <c r="D965" s="20" t="s">
        <v>230</v>
      </c>
      <c r="E965" s="20" t="s">
        <v>1128</v>
      </c>
      <c r="F965" s="20" t="s">
        <v>147</v>
      </c>
      <c r="G965" s="415">
        <f>'Пр.6 ведом.20'!G969</f>
        <v>650</v>
      </c>
      <c r="H965" s="415">
        <f t="shared" si="38"/>
        <v>650</v>
      </c>
      <c r="I965" s="230"/>
    </row>
    <row r="966" spans="1:9" ht="31.5" x14ac:dyDescent="0.25">
      <c r="A966" s="25" t="s">
        <v>148</v>
      </c>
      <c r="B966" s="16">
        <v>908</v>
      </c>
      <c r="C966" s="20" t="s">
        <v>249</v>
      </c>
      <c r="D966" s="20" t="s">
        <v>230</v>
      </c>
      <c r="E966" s="20" t="s">
        <v>1128</v>
      </c>
      <c r="F966" s="20" t="s">
        <v>149</v>
      </c>
      <c r="G966" s="415">
        <f>'Пр.6 ведом.20'!G970</f>
        <v>650</v>
      </c>
      <c r="H966" s="415">
        <f t="shared" si="38"/>
        <v>650</v>
      </c>
      <c r="I966" s="230"/>
    </row>
    <row r="967" spans="1:9" ht="15.75" hidden="1" x14ac:dyDescent="0.25">
      <c r="A967" s="25" t="s">
        <v>150</v>
      </c>
      <c r="B967" s="16">
        <v>908</v>
      </c>
      <c r="C967" s="20" t="s">
        <v>249</v>
      </c>
      <c r="D967" s="20" t="s">
        <v>230</v>
      </c>
      <c r="E967" s="20" t="s">
        <v>1128</v>
      </c>
      <c r="F967" s="20" t="s">
        <v>160</v>
      </c>
      <c r="G967" s="415">
        <f>'Пр.6 ведом.20'!G971</f>
        <v>0</v>
      </c>
      <c r="H967" s="415">
        <f t="shared" si="38"/>
        <v>0</v>
      </c>
      <c r="I967" s="230"/>
    </row>
    <row r="968" spans="1:9" ht="47.25" hidden="1" x14ac:dyDescent="0.25">
      <c r="A968" s="25" t="s">
        <v>883</v>
      </c>
      <c r="B968" s="16">
        <v>908</v>
      </c>
      <c r="C968" s="20" t="s">
        <v>249</v>
      </c>
      <c r="D968" s="20" t="s">
        <v>230</v>
      </c>
      <c r="E968" s="20" t="s">
        <v>1128</v>
      </c>
      <c r="F968" s="20" t="s">
        <v>162</v>
      </c>
      <c r="G968" s="415">
        <f>'Пр.6 ведом.20'!G972</f>
        <v>0</v>
      </c>
      <c r="H968" s="415">
        <f t="shared" si="38"/>
        <v>0</v>
      </c>
      <c r="I968" s="230"/>
    </row>
    <row r="969" spans="1:9" ht="15.75" hidden="1" x14ac:dyDescent="0.25">
      <c r="A969" s="25" t="s">
        <v>726</v>
      </c>
      <c r="B969" s="16">
        <v>908</v>
      </c>
      <c r="C969" s="20" t="s">
        <v>249</v>
      </c>
      <c r="D969" s="20" t="s">
        <v>230</v>
      </c>
      <c r="E969" s="20" t="s">
        <v>1128</v>
      </c>
      <c r="F969" s="20" t="s">
        <v>153</v>
      </c>
      <c r="G969" s="415">
        <f>'Пр.6 ведом.20'!G973</f>
        <v>0</v>
      </c>
      <c r="H969" s="415">
        <f t="shared" si="38"/>
        <v>0</v>
      </c>
      <c r="I969" s="230"/>
    </row>
    <row r="970" spans="1:9" ht="15.75" x14ac:dyDescent="0.25">
      <c r="A970" s="25" t="s">
        <v>565</v>
      </c>
      <c r="B970" s="16">
        <v>908</v>
      </c>
      <c r="C970" s="20" t="s">
        <v>249</v>
      </c>
      <c r="D970" s="20" t="s">
        <v>230</v>
      </c>
      <c r="E970" s="20" t="s">
        <v>1129</v>
      </c>
      <c r="F970" s="20"/>
      <c r="G970" s="415">
        <f>'Пр.6 ведом.20'!G974</f>
        <v>200</v>
      </c>
      <c r="H970" s="415">
        <f t="shared" ref="H970:H1030" si="40">G970</f>
        <v>200</v>
      </c>
      <c r="I970" s="230"/>
    </row>
    <row r="971" spans="1:9" ht="31.5" x14ac:dyDescent="0.25">
      <c r="A971" s="25" t="s">
        <v>146</v>
      </c>
      <c r="B971" s="16">
        <v>908</v>
      </c>
      <c r="C971" s="20" t="s">
        <v>249</v>
      </c>
      <c r="D971" s="20" t="s">
        <v>230</v>
      </c>
      <c r="E971" s="20" t="s">
        <v>1129</v>
      </c>
      <c r="F971" s="20" t="s">
        <v>147</v>
      </c>
      <c r="G971" s="415">
        <f>'Пр.6 ведом.20'!G975</f>
        <v>200</v>
      </c>
      <c r="H971" s="415">
        <f t="shared" si="40"/>
        <v>200</v>
      </c>
      <c r="I971" s="230"/>
    </row>
    <row r="972" spans="1:9" ht="31.5" x14ac:dyDescent="0.25">
      <c r="A972" s="25" t="s">
        <v>148</v>
      </c>
      <c r="B972" s="16">
        <v>908</v>
      </c>
      <c r="C972" s="20" t="s">
        <v>249</v>
      </c>
      <c r="D972" s="20" t="s">
        <v>230</v>
      </c>
      <c r="E972" s="20" t="s">
        <v>1129</v>
      </c>
      <c r="F972" s="20" t="s">
        <v>149</v>
      </c>
      <c r="G972" s="415">
        <f>'Пр.6 ведом.20'!G976</f>
        <v>200</v>
      </c>
      <c r="H972" s="415">
        <f t="shared" si="40"/>
        <v>200</v>
      </c>
      <c r="I972" s="230"/>
    </row>
    <row r="973" spans="1:9" ht="47.25" x14ac:dyDescent="0.25">
      <c r="A973" s="23" t="s">
        <v>1464</v>
      </c>
      <c r="B973" s="19">
        <v>908</v>
      </c>
      <c r="C973" s="24" t="s">
        <v>249</v>
      </c>
      <c r="D973" s="24" t="s">
        <v>230</v>
      </c>
      <c r="E973" s="24" t="s">
        <v>568</v>
      </c>
      <c r="F973" s="24"/>
      <c r="G973" s="416">
        <f>G974+G989</f>
        <v>2304.5</v>
      </c>
      <c r="H973" s="416">
        <f>H974+H989</f>
        <v>2304.5</v>
      </c>
      <c r="I973" s="230"/>
    </row>
    <row r="974" spans="1:9" ht="31.5" x14ac:dyDescent="0.25">
      <c r="A974" s="23" t="s">
        <v>1145</v>
      </c>
      <c r="B974" s="19">
        <v>908</v>
      </c>
      <c r="C974" s="24" t="s">
        <v>249</v>
      </c>
      <c r="D974" s="24" t="s">
        <v>230</v>
      </c>
      <c r="E974" s="24" t="s">
        <v>1130</v>
      </c>
      <c r="F974" s="24"/>
      <c r="G974" s="416">
        <f>G986+G975+G978+G983</f>
        <v>390</v>
      </c>
      <c r="H974" s="416">
        <f>H986+H975+H978+H983</f>
        <v>390</v>
      </c>
      <c r="I974" s="230"/>
    </row>
    <row r="975" spans="1:9" ht="15.75" x14ac:dyDescent="0.25">
      <c r="A975" s="25" t="s">
        <v>570</v>
      </c>
      <c r="B975" s="16">
        <v>908</v>
      </c>
      <c r="C975" s="20" t="s">
        <v>249</v>
      </c>
      <c r="D975" s="20" t="s">
        <v>230</v>
      </c>
      <c r="E975" s="20" t="s">
        <v>1132</v>
      </c>
      <c r="F975" s="20"/>
      <c r="G975" s="415">
        <f>'Пр.6 ведом.20'!G979</f>
        <v>4</v>
      </c>
      <c r="H975" s="415">
        <f t="shared" si="40"/>
        <v>4</v>
      </c>
      <c r="I975" s="230"/>
    </row>
    <row r="976" spans="1:9" ht="31.5" x14ac:dyDescent="0.25">
      <c r="A976" s="25" t="s">
        <v>146</v>
      </c>
      <c r="B976" s="16">
        <v>908</v>
      </c>
      <c r="C976" s="20" t="s">
        <v>249</v>
      </c>
      <c r="D976" s="20" t="s">
        <v>230</v>
      </c>
      <c r="E976" s="20" t="s">
        <v>1132</v>
      </c>
      <c r="F976" s="20" t="s">
        <v>147</v>
      </c>
      <c r="G976" s="415">
        <f>'Пр.6 ведом.20'!G980</f>
        <v>4</v>
      </c>
      <c r="H976" s="415">
        <f t="shared" si="40"/>
        <v>4</v>
      </c>
      <c r="I976" s="230"/>
    </row>
    <row r="977" spans="1:9" ht="31.5" x14ac:dyDescent="0.25">
      <c r="A977" s="25" t="s">
        <v>148</v>
      </c>
      <c r="B977" s="16">
        <v>908</v>
      </c>
      <c r="C977" s="20" t="s">
        <v>249</v>
      </c>
      <c r="D977" s="20" t="s">
        <v>230</v>
      </c>
      <c r="E977" s="20" t="s">
        <v>1132</v>
      </c>
      <c r="F977" s="20" t="s">
        <v>149</v>
      </c>
      <c r="G977" s="415">
        <f>'Пр.6 ведом.20'!G981</f>
        <v>4</v>
      </c>
      <c r="H977" s="415">
        <f t="shared" si="40"/>
        <v>4</v>
      </c>
      <c r="I977" s="230"/>
    </row>
    <row r="978" spans="1:9" ht="47.25" x14ac:dyDescent="0.25">
      <c r="A978" s="45" t="s">
        <v>572</v>
      </c>
      <c r="B978" s="16">
        <v>908</v>
      </c>
      <c r="C978" s="20" t="s">
        <v>249</v>
      </c>
      <c r="D978" s="20" t="s">
        <v>230</v>
      </c>
      <c r="E978" s="20" t="s">
        <v>1133</v>
      </c>
      <c r="F978" s="20"/>
      <c r="G978" s="415">
        <f>'Пр.6 ведом.20'!G982</f>
        <v>375</v>
      </c>
      <c r="H978" s="415">
        <f t="shared" si="40"/>
        <v>375</v>
      </c>
      <c r="I978" s="230"/>
    </row>
    <row r="979" spans="1:9" ht="31.5" x14ac:dyDescent="0.25">
      <c r="A979" s="25" t="s">
        <v>146</v>
      </c>
      <c r="B979" s="16">
        <v>908</v>
      </c>
      <c r="C979" s="20" t="s">
        <v>249</v>
      </c>
      <c r="D979" s="20" t="s">
        <v>230</v>
      </c>
      <c r="E979" s="20" t="s">
        <v>1133</v>
      </c>
      <c r="F979" s="20" t="s">
        <v>147</v>
      </c>
      <c r="G979" s="415">
        <f>'Пр.6 ведом.20'!G983</f>
        <v>300</v>
      </c>
      <c r="H979" s="415">
        <f t="shared" si="40"/>
        <v>300</v>
      </c>
      <c r="I979" s="230"/>
    </row>
    <row r="980" spans="1:9" ht="31.5" x14ac:dyDescent="0.25">
      <c r="A980" s="25" t="s">
        <v>148</v>
      </c>
      <c r="B980" s="16">
        <v>908</v>
      </c>
      <c r="C980" s="20" t="s">
        <v>249</v>
      </c>
      <c r="D980" s="20" t="s">
        <v>230</v>
      </c>
      <c r="E980" s="20" t="s">
        <v>1133</v>
      </c>
      <c r="F980" s="20" t="s">
        <v>149</v>
      </c>
      <c r="G980" s="415">
        <f>'Пр.6 ведом.20'!G984</f>
        <v>300</v>
      </c>
      <c r="H980" s="415">
        <f t="shared" si="40"/>
        <v>300</v>
      </c>
      <c r="I980" s="230"/>
    </row>
    <row r="981" spans="1:9" ht="15.75" x14ac:dyDescent="0.25">
      <c r="A981" s="25" t="s">
        <v>150</v>
      </c>
      <c r="B981" s="16">
        <v>908</v>
      </c>
      <c r="C981" s="20" t="s">
        <v>249</v>
      </c>
      <c r="D981" s="20" t="s">
        <v>230</v>
      </c>
      <c r="E981" s="20" t="s">
        <v>1133</v>
      </c>
      <c r="F981" s="20" t="s">
        <v>160</v>
      </c>
      <c r="G981" s="415">
        <f>'Пр.6 ведом.20'!G985</f>
        <v>75</v>
      </c>
      <c r="H981" s="415">
        <f t="shared" si="40"/>
        <v>75</v>
      </c>
      <c r="I981" s="230"/>
    </row>
    <row r="982" spans="1:9" ht="15.75" x14ac:dyDescent="0.25">
      <c r="A982" s="25" t="s">
        <v>726</v>
      </c>
      <c r="B982" s="16">
        <v>908</v>
      </c>
      <c r="C982" s="20" t="s">
        <v>249</v>
      </c>
      <c r="D982" s="20" t="s">
        <v>230</v>
      </c>
      <c r="E982" s="20" t="s">
        <v>1133</v>
      </c>
      <c r="F982" s="20" t="s">
        <v>153</v>
      </c>
      <c r="G982" s="415">
        <f>'Пр.6 ведом.20'!G986</f>
        <v>75</v>
      </c>
      <c r="H982" s="415">
        <f t="shared" si="40"/>
        <v>75</v>
      </c>
      <c r="I982" s="230"/>
    </row>
    <row r="983" spans="1:9" ht="25.5" hidden="1" customHeight="1" x14ac:dyDescent="0.25">
      <c r="A983" s="45" t="s">
        <v>574</v>
      </c>
      <c r="B983" s="16">
        <v>908</v>
      </c>
      <c r="C983" s="20" t="s">
        <v>249</v>
      </c>
      <c r="D983" s="20" t="s">
        <v>230</v>
      </c>
      <c r="E983" s="20" t="s">
        <v>1134</v>
      </c>
      <c r="F983" s="20"/>
      <c r="G983" s="415">
        <f>'Пр.6 ведом.20'!G987</f>
        <v>0</v>
      </c>
      <c r="H983" s="415">
        <f t="shared" si="40"/>
        <v>0</v>
      </c>
      <c r="I983" s="230"/>
    </row>
    <row r="984" spans="1:9" ht="31.5" hidden="1" x14ac:dyDescent="0.25">
      <c r="A984" s="25" t="s">
        <v>146</v>
      </c>
      <c r="B984" s="16">
        <v>908</v>
      </c>
      <c r="C984" s="20" t="s">
        <v>249</v>
      </c>
      <c r="D984" s="20" t="s">
        <v>230</v>
      </c>
      <c r="E984" s="20" t="s">
        <v>1134</v>
      </c>
      <c r="F984" s="20" t="s">
        <v>147</v>
      </c>
      <c r="G984" s="415">
        <f>'Пр.6 ведом.20'!G988</f>
        <v>0</v>
      </c>
      <c r="H984" s="415">
        <f t="shared" si="40"/>
        <v>0</v>
      </c>
      <c r="I984" s="230"/>
    </row>
    <row r="985" spans="1:9" ht="31.5" hidden="1" x14ac:dyDescent="0.25">
      <c r="A985" s="25" t="s">
        <v>148</v>
      </c>
      <c r="B985" s="16">
        <v>908</v>
      </c>
      <c r="C985" s="20" t="s">
        <v>249</v>
      </c>
      <c r="D985" s="20" t="s">
        <v>230</v>
      </c>
      <c r="E985" s="20" t="s">
        <v>1134</v>
      </c>
      <c r="F985" s="20" t="s">
        <v>149</v>
      </c>
      <c r="G985" s="415">
        <f>'Пр.6 ведом.20'!G989</f>
        <v>0</v>
      </c>
      <c r="H985" s="415">
        <f t="shared" si="40"/>
        <v>0</v>
      </c>
      <c r="I985" s="230"/>
    </row>
    <row r="986" spans="1:9" s="229" customFormat="1" ht="31.5" x14ac:dyDescent="0.25">
      <c r="A986" s="296" t="s">
        <v>1301</v>
      </c>
      <c r="B986" s="16">
        <v>908</v>
      </c>
      <c r="C986" s="20" t="s">
        <v>249</v>
      </c>
      <c r="D986" s="20" t="s">
        <v>230</v>
      </c>
      <c r="E986" s="20" t="s">
        <v>1302</v>
      </c>
      <c r="F986" s="20"/>
      <c r="G986" s="415">
        <f>'Пр.6 ведом.20'!G990</f>
        <v>11</v>
      </c>
      <c r="H986" s="415">
        <f>G986</f>
        <v>11</v>
      </c>
      <c r="I986" s="230"/>
    </row>
    <row r="987" spans="1:9" s="229" customFormat="1" ht="31.5" x14ac:dyDescent="0.25">
      <c r="A987" s="25" t="s">
        <v>146</v>
      </c>
      <c r="B987" s="16">
        <v>908</v>
      </c>
      <c r="C987" s="20" t="s">
        <v>249</v>
      </c>
      <c r="D987" s="20" t="s">
        <v>230</v>
      </c>
      <c r="E987" s="20" t="s">
        <v>1302</v>
      </c>
      <c r="F987" s="20" t="s">
        <v>147</v>
      </c>
      <c r="G987" s="415">
        <f>'Пр.6 ведом.20'!G991</f>
        <v>11</v>
      </c>
      <c r="H987" s="415">
        <f>G987</f>
        <v>11</v>
      </c>
      <c r="I987" s="230"/>
    </row>
    <row r="988" spans="1:9" s="229" customFormat="1" ht="31.5" x14ac:dyDescent="0.25">
      <c r="A988" s="25" t="s">
        <v>148</v>
      </c>
      <c r="B988" s="16">
        <v>908</v>
      </c>
      <c r="C988" s="20" t="s">
        <v>249</v>
      </c>
      <c r="D988" s="20" t="s">
        <v>230</v>
      </c>
      <c r="E988" s="20" t="s">
        <v>1302</v>
      </c>
      <c r="F988" s="20" t="s">
        <v>149</v>
      </c>
      <c r="G988" s="415">
        <f>'Пр.6 ведом.20'!G992</f>
        <v>11</v>
      </c>
      <c r="H988" s="415">
        <f>G988</f>
        <v>11</v>
      </c>
      <c r="I988" s="230"/>
    </row>
    <row r="989" spans="1:9" ht="31.5" x14ac:dyDescent="0.25">
      <c r="A989" s="23" t="s">
        <v>952</v>
      </c>
      <c r="B989" s="19">
        <v>908</v>
      </c>
      <c r="C989" s="24" t="s">
        <v>249</v>
      </c>
      <c r="D989" s="24" t="s">
        <v>230</v>
      </c>
      <c r="E989" s="24" t="s">
        <v>1135</v>
      </c>
      <c r="F989" s="24"/>
      <c r="G989" s="416">
        <f>G990+G993</f>
        <v>1914.5</v>
      </c>
      <c r="H989" s="416">
        <f>H990+H993</f>
        <v>1914.5</v>
      </c>
      <c r="I989" s="230"/>
    </row>
    <row r="990" spans="1:9" ht="31.5" hidden="1" x14ac:dyDescent="0.25">
      <c r="A990" s="25" t="s">
        <v>706</v>
      </c>
      <c r="B990" s="16">
        <v>908</v>
      </c>
      <c r="C990" s="20" t="s">
        <v>249</v>
      </c>
      <c r="D990" s="20" t="s">
        <v>230</v>
      </c>
      <c r="E990" s="20" t="s">
        <v>1136</v>
      </c>
      <c r="F990" s="20"/>
      <c r="G990" s="415">
        <f>'Пр.6 ведом.20'!G994</f>
        <v>0</v>
      </c>
      <c r="H990" s="415">
        <f t="shared" si="40"/>
        <v>0</v>
      </c>
      <c r="I990" s="230"/>
    </row>
    <row r="991" spans="1:9" ht="31.5" hidden="1" x14ac:dyDescent="0.25">
      <c r="A991" s="25" t="s">
        <v>146</v>
      </c>
      <c r="B991" s="16">
        <v>908</v>
      </c>
      <c r="C991" s="20" t="s">
        <v>249</v>
      </c>
      <c r="D991" s="20" t="s">
        <v>230</v>
      </c>
      <c r="E991" s="20" t="s">
        <v>1136</v>
      </c>
      <c r="F991" s="20" t="s">
        <v>147</v>
      </c>
      <c r="G991" s="415">
        <f>'Пр.6 ведом.20'!G995</f>
        <v>0</v>
      </c>
      <c r="H991" s="415">
        <f t="shared" si="40"/>
        <v>0</v>
      </c>
      <c r="I991" s="230"/>
    </row>
    <row r="992" spans="1:9" ht="31.5" hidden="1" x14ac:dyDescent="0.25">
      <c r="A992" s="25" t="s">
        <v>148</v>
      </c>
      <c r="B992" s="16">
        <v>908</v>
      </c>
      <c r="C992" s="20" t="s">
        <v>249</v>
      </c>
      <c r="D992" s="20" t="s">
        <v>230</v>
      </c>
      <c r="E992" s="20" t="s">
        <v>1136</v>
      </c>
      <c r="F992" s="20" t="s">
        <v>149</v>
      </c>
      <c r="G992" s="415">
        <f>'Пр.6 ведом.20'!G996</f>
        <v>0</v>
      </c>
      <c r="H992" s="415">
        <f t="shared" si="40"/>
        <v>0</v>
      </c>
      <c r="I992" s="230"/>
    </row>
    <row r="993" spans="1:9" ht="63" x14ac:dyDescent="0.25">
      <c r="A993" s="25" t="s">
        <v>1260</v>
      </c>
      <c r="B993" s="16">
        <v>908</v>
      </c>
      <c r="C993" s="20" t="s">
        <v>249</v>
      </c>
      <c r="D993" s="20" t="s">
        <v>230</v>
      </c>
      <c r="E993" s="20" t="s">
        <v>1261</v>
      </c>
      <c r="F993" s="20"/>
      <c r="G993" s="415">
        <f>'Пр.6 ведом.20'!G997</f>
        <v>1914.5</v>
      </c>
      <c r="H993" s="415">
        <f t="shared" si="40"/>
        <v>1914.5</v>
      </c>
      <c r="I993" s="230"/>
    </row>
    <row r="994" spans="1:9" ht="31.5" x14ac:dyDescent="0.25">
      <c r="A994" s="25" t="s">
        <v>146</v>
      </c>
      <c r="B994" s="16">
        <v>908</v>
      </c>
      <c r="C994" s="20" t="s">
        <v>249</v>
      </c>
      <c r="D994" s="20" t="s">
        <v>230</v>
      </c>
      <c r="E994" s="20" t="s">
        <v>1261</v>
      </c>
      <c r="F994" s="20" t="s">
        <v>147</v>
      </c>
      <c r="G994" s="415">
        <f>'Пр.6 ведом.20'!G998</f>
        <v>1914.5</v>
      </c>
      <c r="H994" s="415">
        <f t="shared" si="40"/>
        <v>1914.5</v>
      </c>
      <c r="I994" s="230"/>
    </row>
    <row r="995" spans="1:9" ht="31.5" x14ac:dyDescent="0.25">
      <c r="A995" s="25" t="s">
        <v>148</v>
      </c>
      <c r="B995" s="16">
        <v>908</v>
      </c>
      <c r="C995" s="20" t="s">
        <v>249</v>
      </c>
      <c r="D995" s="20" t="s">
        <v>230</v>
      </c>
      <c r="E995" s="20" t="s">
        <v>1261</v>
      </c>
      <c r="F995" s="20" t="s">
        <v>149</v>
      </c>
      <c r="G995" s="415">
        <f>'Пр.6 ведом.20'!G999</f>
        <v>1914.5</v>
      </c>
      <c r="H995" s="415">
        <f t="shared" si="40"/>
        <v>1914.5</v>
      </c>
      <c r="I995" s="230"/>
    </row>
    <row r="996" spans="1:9" ht="63" x14ac:dyDescent="0.25">
      <c r="A996" s="23" t="s">
        <v>822</v>
      </c>
      <c r="B996" s="19">
        <v>908</v>
      </c>
      <c r="C996" s="24" t="s">
        <v>249</v>
      </c>
      <c r="D996" s="24" t="s">
        <v>230</v>
      </c>
      <c r="E996" s="24" t="s">
        <v>733</v>
      </c>
      <c r="F996" s="24"/>
      <c r="G996" s="416">
        <f>G997</f>
        <v>500</v>
      </c>
      <c r="H996" s="416">
        <f>H997</f>
        <v>500</v>
      </c>
      <c r="I996" s="230"/>
    </row>
    <row r="997" spans="1:9" ht="31.5" x14ac:dyDescent="0.25">
      <c r="A997" s="23" t="s">
        <v>1256</v>
      </c>
      <c r="B997" s="19">
        <v>908</v>
      </c>
      <c r="C997" s="24" t="s">
        <v>249</v>
      </c>
      <c r="D997" s="24" t="s">
        <v>230</v>
      </c>
      <c r="E997" s="24" t="s">
        <v>1300</v>
      </c>
      <c r="F997" s="24"/>
      <c r="G997" s="416">
        <f>G998</f>
        <v>500</v>
      </c>
      <c r="H997" s="416">
        <f>H998</f>
        <v>500</v>
      </c>
      <c r="I997" s="230"/>
    </row>
    <row r="998" spans="1:9" ht="47.25" x14ac:dyDescent="0.25">
      <c r="A998" s="81" t="s">
        <v>709</v>
      </c>
      <c r="B998" s="16">
        <v>908</v>
      </c>
      <c r="C998" s="20" t="s">
        <v>249</v>
      </c>
      <c r="D998" s="20" t="s">
        <v>230</v>
      </c>
      <c r="E998" s="20" t="s">
        <v>882</v>
      </c>
      <c r="F998" s="20"/>
      <c r="G998" s="415">
        <f>'Пр.6 ведом.20'!G1002</f>
        <v>500</v>
      </c>
      <c r="H998" s="415">
        <f t="shared" si="40"/>
        <v>500</v>
      </c>
      <c r="I998" s="230"/>
    </row>
    <row r="999" spans="1:9" ht="31.5" x14ac:dyDescent="0.25">
      <c r="A999" s="25" t="s">
        <v>146</v>
      </c>
      <c r="B999" s="16">
        <v>908</v>
      </c>
      <c r="C999" s="20" t="s">
        <v>249</v>
      </c>
      <c r="D999" s="20" t="s">
        <v>230</v>
      </c>
      <c r="E999" s="20" t="s">
        <v>882</v>
      </c>
      <c r="F999" s="20" t="s">
        <v>147</v>
      </c>
      <c r="G999" s="415">
        <f>'Пр.6 ведом.20'!G1003</f>
        <v>500</v>
      </c>
      <c r="H999" s="415">
        <f t="shared" si="40"/>
        <v>500</v>
      </c>
      <c r="I999" s="230"/>
    </row>
    <row r="1000" spans="1:9" ht="31.5" x14ac:dyDescent="0.25">
      <c r="A1000" s="25" t="s">
        <v>148</v>
      </c>
      <c r="B1000" s="16">
        <v>908</v>
      </c>
      <c r="C1000" s="20" t="s">
        <v>249</v>
      </c>
      <c r="D1000" s="20" t="s">
        <v>230</v>
      </c>
      <c r="E1000" s="20" t="s">
        <v>882</v>
      </c>
      <c r="F1000" s="20" t="s">
        <v>149</v>
      </c>
      <c r="G1000" s="415">
        <f>'Пр.6 ведом.20'!G1004</f>
        <v>500</v>
      </c>
      <c r="H1000" s="415">
        <f t="shared" si="40"/>
        <v>500</v>
      </c>
      <c r="I1000" s="230"/>
    </row>
    <row r="1001" spans="1:9" ht="31.5" x14ac:dyDescent="0.25">
      <c r="A1001" s="23" t="s">
        <v>584</v>
      </c>
      <c r="B1001" s="19">
        <v>908</v>
      </c>
      <c r="C1001" s="24" t="s">
        <v>249</v>
      </c>
      <c r="D1001" s="24" t="s">
        <v>249</v>
      </c>
      <c r="E1001" s="24"/>
      <c r="F1001" s="24"/>
      <c r="G1001" s="416">
        <f>G1002+G1014+G1031</f>
        <v>22307</v>
      </c>
      <c r="H1001" s="416">
        <f>H1002+H1014+H1031</f>
        <v>22307</v>
      </c>
      <c r="I1001" s="230"/>
    </row>
    <row r="1002" spans="1:9" ht="31.5" x14ac:dyDescent="0.25">
      <c r="A1002" s="23" t="s">
        <v>992</v>
      </c>
      <c r="B1002" s="19">
        <v>908</v>
      </c>
      <c r="C1002" s="24" t="s">
        <v>249</v>
      </c>
      <c r="D1002" s="24" t="s">
        <v>249</v>
      </c>
      <c r="E1002" s="24" t="s">
        <v>906</v>
      </c>
      <c r="F1002" s="24"/>
      <c r="G1002" s="416">
        <f>G1003</f>
        <v>11546</v>
      </c>
      <c r="H1002" s="416">
        <f>H1003</f>
        <v>11546</v>
      </c>
      <c r="I1002" s="230"/>
    </row>
    <row r="1003" spans="1:9" ht="15.75" x14ac:dyDescent="0.25">
      <c r="A1003" s="23" t="s">
        <v>993</v>
      </c>
      <c r="B1003" s="19">
        <v>908</v>
      </c>
      <c r="C1003" s="24" t="s">
        <v>249</v>
      </c>
      <c r="D1003" s="24" t="s">
        <v>249</v>
      </c>
      <c r="E1003" s="24" t="s">
        <v>907</v>
      </c>
      <c r="F1003" s="24"/>
      <c r="G1003" s="416">
        <f>G1004+G1011</f>
        <v>11546</v>
      </c>
      <c r="H1003" s="416">
        <f>H1004+H1011</f>
        <v>11546</v>
      </c>
      <c r="I1003" s="230"/>
    </row>
    <row r="1004" spans="1:9" ht="31.5" x14ac:dyDescent="0.25">
      <c r="A1004" s="25" t="s">
        <v>969</v>
      </c>
      <c r="B1004" s="16">
        <v>908</v>
      </c>
      <c r="C1004" s="20" t="s">
        <v>249</v>
      </c>
      <c r="D1004" s="20" t="s">
        <v>249</v>
      </c>
      <c r="E1004" s="20" t="s">
        <v>908</v>
      </c>
      <c r="F1004" s="20"/>
      <c r="G1004" s="415">
        <f>'Пр.6 ведом.20'!G1008</f>
        <v>11210</v>
      </c>
      <c r="H1004" s="415">
        <f t="shared" si="40"/>
        <v>11210</v>
      </c>
      <c r="I1004" s="230"/>
    </row>
    <row r="1005" spans="1:9" ht="78.75" x14ac:dyDescent="0.25">
      <c r="A1005" s="25" t="s">
        <v>142</v>
      </c>
      <c r="B1005" s="16">
        <v>908</v>
      </c>
      <c r="C1005" s="20" t="s">
        <v>249</v>
      </c>
      <c r="D1005" s="20" t="s">
        <v>249</v>
      </c>
      <c r="E1005" s="20" t="s">
        <v>908</v>
      </c>
      <c r="F1005" s="20" t="s">
        <v>143</v>
      </c>
      <c r="G1005" s="415">
        <f>'Пр.6 ведом.20'!G1009</f>
        <v>11138</v>
      </c>
      <c r="H1005" s="415">
        <f t="shared" si="40"/>
        <v>11138</v>
      </c>
      <c r="I1005" s="230"/>
    </row>
    <row r="1006" spans="1:9" ht="31.5" x14ac:dyDescent="0.25">
      <c r="A1006" s="25" t="s">
        <v>144</v>
      </c>
      <c r="B1006" s="16">
        <v>908</v>
      </c>
      <c r="C1006" s="20" t="s">
        <v>249</v>
      </c>
      <c r="D1006" s="20" t="s">
        <v>249</v>
      </c>
      <c r="E1006" s="20" t="s">
        <v>908</v>
      </c>
      <c r="F1006" s="20" t="s">
        <v>145</v>
      </c>
      <c r="G1006" s="415">
        <f>'Пр.6 ведом.20'!G1010</f>
        <v>11138</v>
      </c>
      <c r="H1006" s="415">
        <f t="shared" si="40"/>
        <v>11138</v>
      </c>
      <c r="I1006" s="230"/>
    </row>
    <row r="1007" spans="1:9" ht="31.5" x14ac:dyDescent="0.25">
      <c r="A1007" s="25" t="s">
        <v>146</v>
      </c>
      <c r="B1007" s="16">
        <v>908</v>
      </c>
      <c r="C1007" s="20" t="s">
        <v>249</v>
      </c>
      <c r="D1007" s="20" t="s">
        <v>249</v>
      </c>
      <c r="E1007" s="20" t="s">
        <v>908</v>
      </c>
      <c r="F1007" s="20" t="s">
        <v>147</v>
      </c>
      <c r="G1007" s="415">
        <f>'Пр.6 ведом.20'!G1011</f>
        <v>25</v>
      </c>
      <c r="H1007" s="415">
        <f t="shared" si="40"/>
        <v>25</v>
      </c>
      <c r="I1007" s="230"/>
    </row>
    <row r="1008" spans="1:9" ht="31.5" x14ac:dyDescent="0.25">
      <c r="A1008" s="25" t="s">
        <v>148</v>
      </c>
      <c r="B1008" s="16">
        <v>908</v>
      </c>
      <c r="C1008" s="20" t="s">
        <v>249</v>
      </c>
      <c r="D1008" s="20" t="s">
        <v>249</v>
      </c>
      <c r="E1008" s="20" t="s">
        <v>908</v>
      </c>
      <c r="F1008" s="20" t="s">
        <v>149</v>
      </c>
      <c r="G1008" s="415">
        <f>'Пр.6 ведом.20'!G1012</f>
        <v>25</v>
      </c>
      <c r="H1008" s="415">
        <f t="shared" si="40"/>
        <v>25</v>
      </c>
      <c r="I1008" s="230"/>
    </row>
    <row r="1009" spans="1:9" ht="15.75" x14ac:dyDescent="0.25">
      <c r="A1009" s="25" t="s">
        <v>150</v>
      </c>
      <c r="B1009" s="16">
        <v>908</v>
      </c>
      <c r="C1009" s="20" t="s">
        <v>249</v>
      </c>
      <c r="D1009" s="20" t="s">
        <v>249</v>
      </c>
      <c r="E1009" s="20" t="s">
        <v>908</v>
      </c>
      <c r="F1009" s="20" t="s">
        <v>160</v>
      </c>
      <c r="G1009" s="415">
        <f>'Пр.6 ведом.20'!G1013</f>
        <v>47</v>
      </c>
      <c r="H1009" s="415">
        <f t="shared" si="40"/>
        <v>47</v>
      </c>
      <c r="I1009" s="230"/>
    </row>
    <row r="1010" spans="1:9" ht="15.75" x14ac:dyDescent="0.25">
      <c r="A1010" s="25" t="s">
        <v>583</v>
      </c>
      <c r="B1010" s="16">
        <v>908</v>
      </c>
      <c r="C1010" s="20" t="s">
        <v>249</v>
      </c>
      <c r="D1010" s="20" t="s">
        <v>249</v>
      </c>
      <c r="E1010" s="20" t="s">
        <v>908</v>
      </c>
      <c r="F1010" s="20" t="s">
        <v>153</v>
      </c>
      <c r="G1010" s="415">
        <f>'Пр.6 ведом.20'!G1014</f>
        <v>47</v>
      </c>
      <c r="H1010" s="415">
        <f t="shared" si="40"/>
        <v>47</v>
      </c>
      <c r="I1010" s="230"/>
    </row>
    <row r="1011" spans="1:9" ht="47.25" x14ac:dyDescent="0.25">
      <c r="A1011" s="25" t="s">
        <v>886</v>
      </c>
      <c r="B1011" s="16">
        <v>908</v>
      </c>
      <c r="C1011" s="20" t="s">
        <v>249</v>
      </c>
      <c r="D1011" s="20" t="s">
        <v>249</v>
      </c>
      <c r="E1011" s="20" t="s">
        <v>910</v>
      </c>
      <c r="F1011" s="20"/>
      <c r="G1011" s="415">
        <f>'Пр.6 ведом.20'!G1015</f>
        <v>336</v>
      </c>
      <c r="H1011" s="415">
        <f t="shared" si="40"/>
        <v>336</v>
      </c>
      <c r="I1011" s="230"/>
    </row>
    <row r="1012" spans="1:9" ht="78.75" x14ac:dyDescent="0.25">
      <c r="A1012" s="25" t="s">
        <v>142</v>
      </c>
      <c r="B1012" s="16">
        <v>908</v>
      </c>
      <c r="C1012" s="20" t="s">
        <v>249</v>
      </c>
      <c r="D1012" s="20" t="s">
        <v>249</v>
      </c>
      <c r="E1012" s="20" t="s">
        <v>910</v>
      </c>
      <c r="F1012" s="20" t="s">
        <v>143</v>
      </c>
      <c r="G1012" s="415">
        <f>'Пр.6 ведом.20'!G1016</f>
        <v>336</v>
      </c>
      <c r="H1012" s="415">
        <f t="shared" si="40"/>
        <v>336</v>
      </c>
      <c r="I1012" s="230"/>
    </row>
    <row r="1013" spans="1:9" ht="31.5" x14ac:dyDescent="0.25">
      <c r="A1013" s="25" t="s">
        <v>144</v>
      </c>
      <c r="B1013" s="16">
        <v>908</v>
      </c>
      <c r="C1013" s="20" t="s">
        <v>249</v>
      </c>
      <c r="D1013" s="20" t="s">
        <v>249</v>
      </c>
      <c r="E1013" s="20" t="s">
        <v>910</v>
      </c>
      <c r="F1013" s="20" t="s">
        <v>145</v>
      </c>
      <c r="G1013" s="415">
        <f>'Пр.6 ведом.20'!G1017</f>
        <v>336</v>
      </c>
      <c r="H1013" s="415">
        <f t="shared" si="40"/>
        <v>336</v>
      </c>
      <c r="I1013" s="230"/>
    </row>
    <row r="1014" spans="1:9" ht="15.75" x14ac:dyDescent="0.25">
      <c r="A1014" s="23" t="s">
        <v>156</v>
      </c>
      <c r="B1014" s="19">
        <v>908</v>
      </c>
      <c r="C1014" s="24" t="s">
        <v>249</v>
      </c>
      <c r="D1014" s="24" t="s">
        <v>249</v>
      </c>
      <c r="E1014" s="24" t="s">
        <v>914</v>
      </c>
      <c r="F1014" s="24"/>
      <c r="G1014" s="416">
        <f>G1015+G1022</f>
        <v>10761</v>
      </c>
      <c r="H1014" s="416">
        <f>H1015+H1022</f>
        <v>10761</v>
      </c>
      <c r="I1014" s="230"/>
    </row>
    <row r="1015" spans="1:9" ht="31.5" x14ac:dyDescent="0.25">
      <c r="A1015" s="23" t="s">
        <v>918</v>
      </c>
      <c r="B1015" s="19">
        <v>908</v>
      </c>
      <c r="C1015" s="24" t="s">
        <v>249</v>
      </c>
      <c r="D1015" s="24" t="s">
        <v>249</v>
      </c>
      <c r="E1015" s="24" t="s">
        <v>913</v>
      </c>
      <c r="F1015" s="24"/>
      <c r="G1015" s="416">
        <f>G1016+G1019</f>
        <v>982</v>
      </c>
      <c r="H1015" s="416">
        <f>H1016+H1019</f>
        <v>982</v>
      </c>
      <c r="I1015" s="230"/>
    </row>
    <row r="1016" spans="1:9" ht="31.5" x14ac:dyDescent="0.25">
      <c r="A1016" s="25" t="s">
        <v>585</v>
      </c>
      <c r="B1016" s="16">
        <v>908</v>
      </c>
      <c r="C1016" s="20" t="s">
        <v>249</v>
      </c>
      <c r="D1016" s="20" t="s">
        <v>249</v>
      </c>
      <c r="E1016" s="20" t="s">
        <v>1137</v>
      </c>
      <c r="F1016" s="20"/>
      <c r="G1016" s="415">
        <f>'Пр.6 ведом.20'!G1020</f>
        <v>982</v>
      </c>
      <c r="H1016" s="415">
        <f t="shared" si="40"/>
        <v>982</v>
      </c>
      <c r="I1016" s="230"/>
    </row>
    <row r="1017" spans="1:9" ht="15.75" x14ac:dyDescent="0.25">
      <c r="A1017" s="25" t="s">
        <v>150</v>
      </c>
      <c r="B1017" s="16">
        <v>908</v>
      </c>
      <c r="C1017" s="20" t="s">
        <v>249</v>
      </c>
      <c r="D1017" s="20" t="s">
        <v>249</v>
      </c>
      <c r="E1017" s="20" t="s">
        <v>1137</v>
      </c>
      <c r="F1017" s="20" t="s">
        <v>160</v>
      </c>
      <c r="G1017" s="415">
        <f>'Пр.6 ведом.20'!G1021</f>
        <v>982</v>
      </c>
      <c r="H1017" s="415">
        <f t="shared" si="40"/>
        <v>982</v>
      </c>
      <c r="I1017" s="230"/>
    </row>
    <row r="1018" spans="1:9" ht="47.25" x14ac:dyDescent="0.25">
      <c r="A1018" s="25" t="s">
        <v>199</v>
      </c>
      <c r="B1018" s="16">
        <v>908</v>
      </c>
      <c r="C1018" s="20" t="s">
        <v>249</v>
      </c>
      <c r="D1018" s="20" t="s">
        <v>249</v>
      </c>
      <c r="E1018" s="20" t="s">
        <v>1137</v>
      </c>
      <c r="F1018" s="20" t="s">
        <v>175</v>
      </c>
      <c r="G1018" s="415">
        <f>'Пр.6 ведом.20'!G1022</f>
        <v>982</v>
      </c>
      <c r="H1018" s="415">
        <f t="shared" si="40"/>
        <v>982</v>
      </c>
      <c r="I1018" s="230"/>
    </row>
    <row r="1019" spans="1:9" ht="31.5" hidden="1" x14ac:dyDescent="0.25">
      <c r="A1019" s="25" t="s">
        <v>869</v>
      </c>
      <c r="B1019" s="16">
        <v>908</v>
      </c>
      <c r="C1019" s="20" t="s">
        <v>249</v>
      </c>
      <c r="D1019" s="20" t="s">
        <v>249</v>
      </c>
      <c r="E1019" s="20" t="s">
        <v>1262</v>
      </c>
      <c r="F1019" s="20"/>
      <c r="G1019" s="415">
        <f>'Пр.6 ведом.20'!G1023</f>
        <v>0</v>
      </c>
      <c r="H1019" s="415">
        <f t="shared" si="40"/>
        <v>0</v>
      </c>
      <c r="I1019" s="230"/>
    </row>
    <row r="1020" spans="1:9" ht="15.75" hidden="1" x14ac:dyDescent="0.25">
      <c r="A1020" s="25" t="s">
        <v>150</v>
      </c>
      <c r="B1020" s="16">
        <v>908</v>
      </c>
      <c r="C1020" s="20" t="s">
        <v>249</v>
      </c>
      <c r="D1020" s="20" t="s">
        <v>249</v>
      </c>
      <c r="E1020" s="20" t="s">
        <v>1262</v>
      </c>
      <c r="F1020" s="20" t="s">
        <v>160</v>
      </c>
      <c r="G1020" s="415">
        <f>'Пр.6 ведом.20'!G1024</f>
        <v>0</v>
      </c>
      <c r="H1020" s="415">
        <f t="shared" si="40"/>
        <v>0</v>
      </c>
      <c r="I1020" s="230"/>
    </row>
    <row r="1021" spans="1:9" ht="47.25" hidden="1" x14ac:dyDescent="0.25">
      <c r="A1021" s="25" t="s">
        <v>199</v>
      </c>
      <c r="B1021" s="16">
        <v>908</v>
      </c>
      <c r="C1021" s="20" t="s">
        <v>249</v>
      </c>
      <c r="D1021" s="20" t="s">
        <v>249</v>
      </c>
      <c r="E1021" s="20" t="s">
        <v>1262</v>
      </c>
      <c r="F1021" s="20" t="s">
        <v>175</v>
      </c>
      <c r="G1021" s="415">
        <f>'Пр.6 ведом.20'!G1025</f>
        <v>0</v>
      </c>
      <c r="H1021" s="415">
        <f t="shared" si="40"/>
        <v>0</v>
      </c>
      <c r="I1021" s="230"/>
    </row>
    <row r="1022" spans="1:9" ht="31.5" x14ac:dyDescent="0.25">
      <c r="A1022" s="23" t="s">
        <v>1006</v>
      </c>
      <c r="B1022" s="19">
        <v>908</v>
      </c>
      <c r="C1022" s="24" t="s">
        <v>249</v>
      </c>
      <c r="D1022" s="24" t="s">
        <v>249</v>
      </c>
      <c r="E1022" s="24" t="s">
        <v>989</v>
      </c>
      <c r="F1022" s="24"/>
      <c r="G1022" s="315">
        <f>G1023+G1028</f>
        <v>9779</v>
      </c>
      <c r="H1022" s="315">
        <f>H1023+H1028</f>
        <v>9779</v>
      </c>
      <c r="I1022" s="230"/>
    </row>
    <row r="1023" spans="1:9" ht="31.5" x14ac:dyDescent="0.25">
      <c r="A1023" s="25" t="s">
        <v>976</v>
      </c>
      <c r="B1023" s="16">
        <v>908</v>
      </c>
      <c r="C1023" s="20" t="s">
        <v>249</v>
      </c>
      <c r="D1023" s="20" t="s">
        <v>249</v>
      </c>
      <c r="E1023" s="20" t="s">
        <v>990</v>
      </c>
      <c r="F1023" s="20"/>
      <c r="G1023" s="415">
        <f>'Пр.6 ведом.20'!G1027</f>
        <v>9359</v>
      </c>
      <c r="H1023" s="415">
        <f t="shared" si="40"/>
        <v>9359</v>
      </c>
      <c r="I1023" s="230"/>
    </row>
    <row r="1024" spans="1:9" ht="78.75" x14ac:dyDescent="0.25">
      <c r="A1024" s="25" t="s">
        <v>142</v>
      </c>
      <c r="B1024" s="16">
        <v>908</v>
      </c>
      <c r="C1024" s="20" t="s">
        <v>249</v>
      </c>
      <c r="D1024" s="20" t="s">
        <v>249</v>
      </c>
      <c r="E1024" s="20" t="s">
        <v>990</v>
      </c>
      <c r="F1024" s="20" t="s">
        <v>143</v>
      </c>
      <c r="G1024" s="415">
        <f>'Пр.6 ведом.20'!G1028</f>
        <v>8047</v>
      </c>
      <c r="H1024" s="415">
        <f t="shared" si="40"/>
        <v>8047</v>
      </c>
      <c r="I1024" s="230"/>
    </row>
    <row r="1025" spans="1:9" ht="31.5" x14ac:dyDescent="0.25">
      <c r="A1025" s="25" t="s">
        <v>357</v>
      </c>
      <c r="B1025" s="16">
        <v>908</v>
      </c>
      <c r="C1025" s="20" t="s">
        <v>249</v>
      </c>
      <c r="D1025" s="20" t="s">
        <v>249</v>
      </c>
      <c r="E1025" s="20" t="s">
        <v>990</v>
      </c>
      <c r="F1025" s="20" t="s">
        <v>224</v>
      </c>
      <c r="G1025" s="415">
        <f>'Пр.6 ведом.20'!G1029</f>
        <v>8047</v>
      </c>
      <c r="H1025" s="415">
        <f t="shared" si="40"/>
        <v>8047</v>
      </c>
      <c r="I1025" s="230"/>
    </row>
    <row r="1026" spans="1:9" ht="31.5" x14ac:dyDescent="0.25">
      <c r="A1026" s="25" t="s">
        <v>146</v>
      </c>
      <c r="B1026" s="16">
        <v>908</v>
      </c>
      <c r="C1026" s="20" t="s">
        <v>249</v>
      </c>
      <c r="D1026" s="20" t="s">
        <v>249</v>
      </c>
      <c r="E1026" s="20" t="s">
        <v>990</v>
      </c>
      <c r="F1026" s="20" t="s">
        <v>147</v>
      </c>
      <c r="G1026" s="415">
        <f>'Пр.6 ведом.20'!G1030</f>
        <v>1312</v>
      </c>
      <c r="H1026" s="415">
        <f t="shared" si="40"/>
        <v>1312</v>
      </c>
      <c r="I1026" s="230"/>
    </row>
    <row r="1027" spans="1:9" ht="31.5" x14ac:dyDescent="0.25">
      <c r="A1027" s="25" t="s">
        <v>148</v>
      </c>
      <c r="B1027" s="16">
        <v>908</v>
      </c>
      <c r="C1027" s="20" t="s">
        <v>249</v>
      </c>
      <c r="D1027" s="20" t="s">
        <v>249</v>
      </c>
      <c r="E1027" s="20" t="s">
        <v>990</v>
      </c>
      <c r="F1027" s="20" t="s">
        <v>149</v>
      </c>
      <c r="G1027" s="415">
        <f>'Пр.6 ведом.20'!G1031</f>
        <v>1312</v>
      </c>
      <c r="H1027" s="415">
        <f t="shared" si="40"/>
        <v>1312</v>
      </c>
      <c r="I1027" s="230"/>
    </row>
    <row r="1028" spans="1:9" ht="47.25" x14ac:dyDescent="0.25">
      <c r="A1028" s="25" t="s">
        <v>886</v>
      </c>
      <c r="B1028" s="16">
        <v>908</v>
      </c>
      <c r="C1028" s="20" t="s">
        <v>249</v>
      </c>
      <c r="D1028" s="20" t="s">
        <v>249</v>
      </c>
      <c r="E1028" s="20" t="s">
        <v>991</v>
      </c>
      <c r="F1028" s="20"/>
      <c r="G1028" s="415">
        <f>'Пр.6 ведом.20'!G1032</f>
        <v>420</v>
      </c>
      <c r="H1028" s="415">
        <f t="shared" si="40"/>
        <v>420</v>
      </c>
      <c r="I1028" s="230"/>
    </row>
    <row r="1029" spans="1:9" ht="78.75" x14ac:dyDescent="0.25">
      <c r="A1029" s="25" t="s">
        <v>142</v>
      </c>
      <c r="B1029" s="16">
        <v>908</v>
      </c>
      <c r="C1029" s="20" t="s">
        <v>249</v>
      </c>
      <c r="D1029" s="20" t="s">
        <v>249</v>
      </c>
      <c r="E1029" s="20" t="s">
        <v>991</v>
      </c>
      <c r="F1029" s="20" t="s">
        <v>143</v>
      </c>
      <c r="G1029" s="415">
        <f>'Пр.6 ведом.20'!G1033</f>
        <v>420</v>
      </c>
      <c r="H1029" s="415">
        <f t="shared" si="40"/>
        <v>420</v>
      </c>
      <c r="I1029" s="230"/>
    </row>
    <row r="1030" spans="1:9" ht="23.25" customHeight="1" x14ac:dyDescent="0.25">
      <c r="A1030" s="25" t="s">
        <v>357</v>
      </c>
      <c r="B1030" s="16">
        <v>908</v>
      </c>
      <c r="C1030" s="20" t="s">
        <v>249</v>
      </c>
      <c r="D1030" s="20" t="s">
        <v>249</v>
      </c>
      <c r="E1030" s="20" t="s">
        <v>991</v>
      </c>
      <c r="F1030" s="20" t="s">
        <v>224</v>
      </c>
      <c r="G1030" s="415">
        <f>'Пр.6 ведом.20'!G1034</f>
        <v>420</v>
      </c>
      <c r="H1030" s="415">
        <f t="shared" si="40"/>
        <v>420</v>
      </c>
      <c r="I1030" s="230"/>
    </row>
    <row r="1031" spans="1:9" s="229" customFormat="1" ht="63" hidden="1" x14ac:dyDescent="0.25">
      <c r="A1031" s="34" t="s">
        <v>804</v>
      </c>
      <c r="B1031" s="19">
        <v>908</v>
      </c>
      <c r="C1031" s="24" t="s">
        <v>249</v>
      </c>
      <c r="D1031" s="24" t="s">
        <v>249</v>
      </c>
      <c r="E1031" s="24" t="s">
        <v>339</v>
      </c>
      <c r="F1031" s="24"/>
      <c r="G1031" s="416">
        <f t="shared" ref="G1031:H1034" si="41">G1032</f>
        <v>0</v>
      </c>
      <c r="H1031" s="416">
        <f t="shared" si="41"/>
        <v>0</v>
      </c>
      <c r="I1031" s="230"/>
    </row>
    <row r="1032" spans="1:9" s="229" customFormat="1" ht="63" hidden="1" x14ac:dyDescent="0.25">
      <c r="A1032" s="34" t="s">
        <v>1168</v>
      </c>
      <c r="B1032" s="19">
        <v>908</v>
      </c>
      <c r="C1032" s="24" t="s">
        <v>249</v>
      </c>
      <c r="D1032" s="24" t="s">
        <v>249</v>
      </c>
      <c r="E1032" s="24" t="s">
        <v>1030</v>
      </c>
      <c r="F1032" s="24"/>
      <c r="G1032" s="416">
        <f t="shared" si="41"/>
        <v>0</v>
      </c>
      <c r="H1032" s="416">
        <f t="shared" si="41"/>
        <v>0</v>
      </c>
      <c r="I1032" s="230"/>
    </row>
    <row r="1033" spans="1:9" s="229" customFormat="1" ht="47.25" hidden="1" x14ac:dyDescent="0.25">
      <c r="A1033" s="31" t="s">
        <v>1284</v>
      </c>
      <c r="B1033" s="16">
        <v>908</v>
      </c>
      <c r="C1033" s="20" t="s">
        <v>249</v>
      </c>
      <c r="D1033" s="20" t="s">
        <v>249</v>
      </c>
      <c r="E1033" s="20" t="s">
        <v>1200</v>
      </c>
      <c r="F1033" s="20"/>
      <c r="G1033" s="415">
        <f t="shared" si="41"/>
        <v>0</v>
      </c>
      <c r="H1033" s="415">
        <f t="shared" si="41"/>
        <v>0</v>
      </c>
      <c r="I1033" s="230"/>
    </row>
    <row r="1034" spans="1:9" s="229" customFormat="1" ht="31.5" hidden="1" x14ac:dyDescent="0.25">
      <c r="A1034" s="25" t="s">
        <v>146</v>
      </c>
      <c r="B1034" s="16">
        <v>908</v>
      </c>
      <c r="C1034" s="20" t="s">
        <v>249</v>
      </c>
      <c r="D1034" s="20" t="s">
        <v>249</v>
      </c>
      <c r="E1034" s="20" t="s">
        <v>1200</v>
      </c>
      <c r="F1034" s="20" t="s">
        <v>147</v>
      </c>
      <c r="G1034" s="415">
        <f t="shared" si="41"/>
        <v>0</v>
      </c>
      <c r="H1034" s="415">
        <f t="shared" si="41"/>
        <v>0</v>
      </c>
      <c r="I1034" s="230"/>
    </row>
    <row r="1035" spans="1:9" s="229" customFormat="1" ht="31.5" hidden="1" x14ac:dyDescent="0.25">
      <c r="A1035" s="25" t="s">
        <v>148</v>
      </c>
      <c r="B1035" s="16">
        <v>908</v>
      </c>
      <c r="C1035" s="20" t="s">
        <v>249</v>
      </c>
      <c r="D1035" s="20" t="s">
        <v>249</v>
      </c>
      <c r="E1035" s="20" t="s">
        <v>1200</v>
      </c>
      <c r="F1035" s="20" t="s">
        <v>149</v>
      </c>
      <c r="G1035" s="415">
        <v>0</v>
      </c>
      <c r="H1035" s="415">
        <v>0</v>
      </c>
      <c r="I1035" s="230"/>
    </row>
    <row r="1036" spans="1:9" ht="15.75" x14ac:dyDescent="0.25">
      <c r="A1036" s="23" t="s">
        <v>258</v>
      </c>
      <c r="B1036" s="19">
        <v>908</v>
      </c>
      <c r="C1036" s="24" t="s">
        <v>259</v>
      </c>
      <c r="D1036" s="24"/>
      <c r="E1036" s="24"/>
      <c r="F1036" s="24"/>
      <c r="G1036" s="416">
        <f t="shared" ref="G1036:H1037" si="42">G1037</f>
        <v>87</v>
      </c>
      <c r="H1036" s="416">
        <f t="shared" si="42"/>
        <v>87</v>
      </c>
      <c r="I1036" s="230"/>
    </row>
    <row r="1037" spans="1:9" ht="15.75" x14ac:dyDescent="0.25">
      <c r="A1037" s="23" t="s">
        <v>273</v>
      </c>
      <c r="B1037" s="19">
        <v>908</v>
      </c>
      <c r="C1037" s="24" t="s">
        <v>259</v>
      </c>
      <c r="D1037" s="24" t="s">
        <v>135</v>
      </c>
      <c r="E1037" s="24"/>
      <c r="F1037" s="24"/>
      <c r="G1037" s="416">
        <f t="shared" si="42"/>
        <v>87</v>
      </c>
      <c r="H1037" s="416">
        <f t="shared" si="42"/>
        <v>87</v>
      </c>
      <c r="I1037" s="230"/>
    </row>
    <row r="1038" spans="1:9" ht="15.75" x14ac:dyDescent="0.25">
      <c r="A1038" s="23" t="s">
        <v>156</v>
      </c>
      <c r="B1038" s="19">
        <v>908</v>
      </c>
      <c r="C1038" s="24" t="s">
        <v>259</v>
      </c>
      <c r="D1038" s="24" t="s">
        <v>135</v>
      </c>
      <c r="E1038" s="24" t="s">
        <v>914</v>
      </c>
      <c r="F1038" s="24"/>
      <c r="G1038" s="416">
        <f t="shared" ref="G1038:H1040" si="43">G1039</f>
        <v>87</v>
      </c>
      <c r="H1038" s="416">
        <f t="shared" si="43"/>
        <v>87</v>
      </c>
      <c r="I1038" s="230"/>
    </row>
    <row r="1039" spans="1:9" ht="15.75" x14ac:dyDescent="0.25">
      <c r="A1039" s="23" t="s">
        <v>156</v>
      </c>
      <c r="B1039" s="19">
        <v>908</v>
      </c>
      <c r="C1039" s="24" t="s">
        <v>259</v>
      </c>
      <c r="D1039" s="24" t="s">
        <v>135</v>
      </c>
      <c r="E1039" s="24" t="s">
        <v>913</v>
      </c>
      <c r="F1039" s="24"/>
      <c r="G1039" s="416">
        <f t="shared" si="43"/>
        <v>87</v>
      </c>
      <c r="H1039" s="416">
        <f t="shared" si="43"/>
        <v>87</v>
      </c>
      <c r="I1039" s="230"/>
    </row>
    <row r="1040" spans="1:9" ht="31.5" x14ac:dyDescent="0.25">
      <c r="A1040" s="23" t="s">
        <v>918</v>
      </c>
      <c r="B1040" s="19">
        <v>908</v>
      </c>
      <c r="C1040" s="24" t="s">
        <v>259</v>
      </c>
      <c r="D1040" s="24" t="s">
        <v>135</v>
      </c>
      <c r="E1040" s="24" t="s">
        <v>913</v>
      </c>
      <c r="F1040" s="24"/>
      <c r="G1040" s="416">
        <f t="shared" si="43"/>
        <v>87</v>
      </c>
      <c r="H1040" s="416">
        <f t="shared" si="43"/>
        <v>87</v>
      </c>
      <c r="I1040" s="230"/>
    </row>
    <row r="1041" spans="1:9" ht="15.75" x14ac:dyDescent="0.25">
      <c r="A1041" s="25" t="s">
        <v>587</v>
      </c>
      <c r="B1041" s="16">
        <v>908</v>
      </c>
      <c r="C1041" s="20" t="s">
        <v>259</v>
      </c>
      <c r="D1041" s="20" t="s">
        <v>135</v>
      </c>
      <c r="E1041" s="20" t="s">
        <v>1138</v>
      </c>
      <c r="F1041" s="20"/>
      <c r="G1041" s="415">
        <f>'Пр.6 ведом.20'!G1045</f>
        <v>87</v>
      </c>
      <c r="H1041" s="415">
        <f t="shared" ref="H1041:H1086" si="44">G1041</f>
        <v>87</v>
      </c>
      <c r="I1041" s="230"/>
    </row>
    <row r="1042" spans="1:9" ht="31.5" x14ac:dyDescent="0.25">
      <c r="A1042" s="25" t="s">
        <v>146</v>
      </c>
      <c r="B1042" s="16">
        <v>908</v>
      </c>
      <c r="C1042" s="20" t="s">
        <v>259</v>
      </c>
      <c r="D1042" s="20" t="s">
        <v>135</v>
      </c>
      <c r="E1042" s="20" t="s">
        <v>1138</v>
      </c>
      <c r="F1042" s="20" t="s">
        <v>147</v>
      </c>
      <c r="G1042" s="415">
        <f>'Пр.6 ведом.20'!G1046</f>
        <v>87</v>
      </c>
      <c r="H1042" s="415">
        <f t="shared" si="44"/>
        <v>87</v>
      </c>
      <c r="I1042" s="230"/>
    </row>
    <row r="1043" spans="1:9" ht="31.5" x14ac:dyDescent="0.25">
      <c r="A1043" s="25" t="s">
        <v>148</v>
      </c>
      <c r="B1043" s="16">
        <v>908</v>
      </c>
      <c r="C1043" s="20" t="s">
        <v>259</v>
      </c>
      <c r="D1043" s="20" t="s">
        <v>135</v>
      </c>
      <c r="E1043" s="20" t="s">
        <v>1138</v>
      </c>
      <c r="F1043" s="20" t="s">
        <v>149</v>
      </c>
      <c r="G1043" s="415">
        <f>'Пр.6 ведом.20'!G1047</f>
        <v>87</v>
      </c>
      <c r="H1043" s="415">
        <f t="shared" si="44"/>
        <v>87</v>
      </c>
      <c r="I1043" s="230"/>
    </row>
    <row r="1044" spans="1:9" ht="31.5" x14ac:dyDescent="0.25">
      <c r="A1044" s="19" t="s">
        <v>589</v>
      </c>
      <c r="B1044" s="19">
        <v>910</v>
      </c>
      <c r="C1044" s="47"/>
      <c r="D1044" s="47"/>
      <c r="E1044" s="47"/>
      <c r="F1044" s="47"/>
      <c r="G1044" s="416">
        <f>G1045</f>
        <v>7005.5</v>
      </c>
      <c r="H1044" s="416">
        <f>H1045</f>
        <v>7005.5</v>
      </c>
      <c r="I1044" s="230"/>
    </row>
    <row r="1045" spans="1:9" ht="15.75" x14ac:dyDescent="0.25">
      <c r="A1045" s="23" t="s">
        <v>132</v>
      </c>
      <c r="B1045" s="19">
        <v>910</v>
      </c>
      <c r="C1045" s="24" t="s">
        <v>133</v>
      </c>
      <c r="D1045" s="24"/>
      <c r="E1045" s="24"/>
      <c r="F1045" s="24"/>
      <c r="G1045" s="416">
        <f>G1046+G1065+G1076</f>
        <v>7005.5</v>
      </c>
      <c r="H1045" s="416">
        <f>H1046+H1065+H1076</f>
        <v>7005.5</v>
      </c>
      <c r="I1045" s="230"/>
    </row>
    <row r="1046" spans="1:9" ht="47.25" x14ac:dyDescent="0.25">
      <c r="A1046" s="23" t="s">
        <v>590</v>
      </c>
      <c r="B1046" s="19">
        <v>910</v>
      </c>
      <c r="C1046" s="24" t="s">
        <v>133</v>
      </c>
      <c r="D1046" s="24" t="s">
        <v>228</v>
      </c>
      <c r="E1046" s="24"/>
      <c r="F1046" s="24"/>
      <c r="G1046" s="416">
        <f>G1047+G1057</f>
        <v>4268.5</v>
      </c>
      <c r="H1046" s="416">
        <f>H1047+H1057</f>
        <v>4268.5</v>
      </c>
      <c r="I1046" s="230"/>
    </row>
    <row r="1047" spans="1:9" ht="31.5" x14ac:dyDescent="0.25">
      <c r="A1047" s="23" t="s">
        <v>992</v>
      </c>
      <c r="B1047" s="19">
        <v>910</v>
      </c>
      <c r="C1047" s="24" t="s">
        <v>133</v>
      </c>
      <c r="D1047" s="24" t="s">
        <v>228</v>
      </c>
      <c r="E1047" s="24" t="s">
        <v>906</v>
      </c>
      <c r="F1047" s="24"/>
      <c r="G1047" s="416">
        <f>G1048</f>
        <v>4243</v>
      </c>
      <c r="H1047" s="416">
        <f>H1048</f>
        <v>4243</v>
      </c>
      <c r="I1047" s="230"/>
    </row>
    <row r="1048" spans="1:9" ht="31.5" x14ac:dyDescent="0.25">
      <c r="A1048" s="23" t="s">
        <v>1139</v>
      </c>
      <c r="B1048" s="19">
        <v>910</v>
      </c>
      <c r="C1048" s="24" t="s">
        <v>133</v>
      </c>
      <c r="D1048" s="24" t="s">
        <v>228</v>
      </c>
      <c r="E1048" s="24" t="s">
        <v>1140</v>
      </c>
      <c r="F1048" s="24"/>
      <c r="G1048" s="416">
        <f>G1049+G1054</f>
        <v>4243</v>
      </c>
      <c r="H1048" s="416">
        <f>H1049+H1054</f>
        <v>4243</v>
      </c>
      <c r="I1048" s="230"/>
    </row>
    <row r="1049" spans="1:9" ht="31.5" x14ac:dyDescent="0.25">
      <c r="A1049" s="25" t="s">
        <v>591</v>
      </c>
      <c r="B1049" s="16">
        <v>910</v>
      </c>
      <c r="C1049" s="20" t="s">
        <v>133</v>
      </c>
      <c r="D1049" s="20" t="s">
        <v>228</v>
      </c>
      <c r="E1049" s="20" t="s">
        <v>1141</v>
      </c>
      <c r="F1049" s="20"/>
      <c r="G1049" s="415">
        <f>'Пр.6 ведом.20'!G1053</f>
        <v>4201</v>
      </c>
      <c r="H1049" s="415">
        <f t="shared" si="44"/>
        <v>4201</v>
      </c>
      <c r="I1049" s="230"/>
    </row>
    <row r="1050" spans="1:9" ht="78.75" x14ac:dyDescent="0.25">
      <c r="A1050" s="25" t="s">
        <v>142</v>
      </c>
      <c r="B1050" s="16">
        <v>910</v>
      </c>
      <c r="C1050" s="20" t="s">
        <v>133</v>
      </c>
      <c r="D1050" s="20" t="s">
        <v>228</v>
      </c>
      <c r="E1050" s="20" t="s">
        <v>1141</v>
      </c>
      <c r="F1050" s="20" t="s">
        <v>143</v>
      </c>
      <c r="G1050" s="415">
        <f>'Пр.6 ведом.20'!G1054</f>
        <v>4111</v>
      </c>
      <c r="H1050" s="415">
        <f t="shared" si="44"/>
        <v>4111</v>
      </c>
      <c r="I1050" s="230"/>
    </row>
    <row r="1051" spans="1:9" ht="31.5" x14ac:dyDescent="0.25">
      <c r="A1051" s="25" t="s">
        <v>144</v>
      </c>
      <c r="B1051" s="16">
        <v>910</v>
      </c>
      <c r="C1051" s="20" t="s">
        <v>133</v>
      </c>
      <c r="D1051" s="20" t="s">
        <v>228</v>
      </c>
      <c r="E1051" s="20" t="s">
        <v>1141</v>
      </c>
      <c r="F1051" s="20" t="s">
        <v>145</v>
      </c>
      <c r="G1051" s="415">
        <f>'Пр.6 ведом.20'!G1055</f>
        <v>4111</v>
      </c>
      <c r="H1051" s="415">
        <f t="shared" si="44"/>
        <v>4111</v>
      </c>
      <c r="I1051" s="230"/>
    </row>
    <row r="1052" spans="1:9" ht="31.5" x14ac:dyDescent="0.25">
      <c r="A1052" s="25" t="s">
        <v>213</v>
      </c>
      <c r="B1052" s="16">
        <v>910</v>
      </c>
      <c r="C1052" s="20" t="s">
        <v>133</v>
      </c>
      <c r="D1052" s="20" t="s">
        <v>228</v>
      </c>
      <c r="E1052" s="20" t="s">
        <v>1141</v>
      </c>
      <c r="F1052" s="20" t="s">
        <v>147</v>
      </c>
      <c r="G1052" s="415">
        <f>'Пр.6 ведом.20'!G1056</f>
        <v>90</v>
      </c>
      <c r="H1052" s="415">
        <f t="shared" si="44"/>
        <v>90</v>
      </c>
      <c r="I1052" s="230"/>
    </row>
    <row r="1053" spans="1:9" ht="31.5" x14ac:dyDescent="0.25">
      <c r="A1053" s="25" t="s">
        <v>148</v>
      </c>
      <c r="B1053" s="16">
        <v>910</v>
      </c>
      <c r="C1053" s="20" t="s">
        <v>133</v>
      </c>
      <c r="D1053" s="20" t="s">
        <v>228</v>
      </c>
      <c r="E1053" s="20" t="s">
        <v>1141</v>
      </c>
      <c r="F1053" s="20" t="s">
        <v>149</v>
      </c>
      <c r="G1053" s="415">
        <f>'Пр.6 ведом.20'!G1057</f>
        <v>90</v>
      </c>
      <c r="H1053" s="415">
        <f t="shared" si="44"/>
        <v>90</v>
      </c>
      <c r="I1053" s="230"/>
    </row>
    <row r="1054" spans="1:9" ht="47.25" x14ac:dyDescent="0.25">
      <c r="A1054" s="25" t="s">
        <v>886</v>
      </c>
      <c r="B1054" s="16">
        <v>910</v>
      </c>
      <c r="C1054" s="20" t="s">
        <v>133</v>
      </c>
      <c r="D1054" s="20" t="s">
        <v>228</v>
      </c>
      <c r="E1054" s="20" t="s">
        <v>1142</v>
      </c>
      <c r="F1054" s="20"/>
      <c r="G1054" s="415">
        <f>'Пр.6 ведом.20'!G1058</f>
        <v>42</v>
      </c>
      <c r="H1054" s="415">
        <f t="shared" si="44"/>
        <v>42</v>
      </c>
      <c r="I1054" s="230"/>
    </row>
    <row r="1055" spans="1:9" ht="78.75" x14ac:dyDescent="0.25">
      <c r="A1055" s="25" t="s">
        <v>142</v>
      </c>
      <c r="B1055" s="16">
        <v>910</v>
      </c>
      <c r="C1055" s="20" t="s">
        <v>133</v>
      </c>
      <c r="D1055" s="20" t="s">
        <v>228</v>
      </c>
      <c r="E1055" s="20" t="s">
        <v>1142</v>
      </c>
      <c r="F1055" s="20" t="s">
        <v>143</v>
      </c>
      <c r="G1055" s="415">
        <f>'Пр.6 ведом.20'!G1059</f>
        <v>42</v>
      </c>
      <c r="H1055" s="415">
        <f t="shared" si="44"/>
        <v>42</v>
      </c>
      <c r="I1055" s="230"/>
    </row>
    <row r="1056" spans="1:9" ht="31.5" x14ac:dyDescent="0.25">
      <c r="A1056" s="25" t="s">
        <v>144</v>
      </c>
      <c r="B1056" s="16">
        <v>910</v>
      </c>
      <c r="C1056" s="20" t="s">
        <v>133</v>
      </c>
      <c r="D1056" s="20" t="s">
        <v>228</v>
      </c>
      <c r="E1056" s="20" t="s">
        <v>1142</v>
      </c>
      <c r="F1056" s="20" t="s">
        <v>145</v>
      </c>
      <c r="G1056" s="415">
        <f>'Пр.6 ведом.20'!G1060</f>
        <v>42</v>
      </c>
      <c r="H1056" s="415">
        <f t="shared" si="44"/>
        <v>42</v>
      </c>
      <c r="I1056" s="230"/>
    </row>
    <row r="1057" spans="1:9" ht="47.25" x14ac:dyDescent="0.25">
      <c r="A1057" s="23" t="s">
        <v>1465</v>
      </c>
      <c r="B1057" s="19">
        <v>910</v>
      </c>
      <c r="C1057" s="24" t="s">
        <v>133</v>
      </c>
      <c r="D1057" s="24" t="s">
        <v>228</v>
      </c>
      <c r="E1057" s="24" t="s">
        <v>177</v>
      </c>
      <c r="F1057" s="24"/>
      <c r="G1057" s="416">
        <f>G1058</f>
        <v>25.5</v>
      </c>
      <c r="H1057" s="416">
        <f>H1058</f>
        <v>25.5</v>
      </c>
      <c r="I1057" s="230"/>
    </row>
    <row r="1058" spans="1:9" ht="63" x14ac:dyDescent="0.25">
      <c r="A1058" s="282" t="s">
        <v>891</v>
      </c>
      <c r="B1058" s="19">
        <v>910</v>
      </c>
      <c r="C1058" s="24" t="s">
        <v>133</v>
      </c>
      <c r="D1058" s="24" t="s">
        <v>228</v>
      </c>
      <c r="E1058" s="24" t="s">
        <v>898</v>
      </c>
      <c r="F1058" s="24"/>
      <c r="G1058" s="416">
        <f>G1059+G1062</f>
        <v>25.5</v>
      </c>
      <c r="H1058" s="416">
        <f>H1059+H1062</f>
        <v>25.5</v>
      </c>
      <c r="I1058" s="230"/>
    </row>
    <row r="1059" spans="1:9" ht="47.25" x14ac:dyDescent="0.25">
      <c r="A1059" s="31" t="s">
        <v>711</v>
      </c>
      <c r="B1059" s="16">
        <v>910</v>
      </c>
      <c r="C1059" s="20" t="s">
        <v>133</v>
      </c>
      <c r="D1059" s="20" t="s">
        <v>228</v>
      </c>
      <c r="E1059" s="40" t="s">
        <v>1147</v>
      </c>
      <c r="F1059" s="20"/>
      <c r="G1059" s="415">
        <f>'Пр.6 ведом.20'!G1063</f>
        <v>0.5</v>
      </c>
      <c r="H1059" s="415">
        <f t="shared" si="44"/>
        <v>0.5</v>
      </c>
      <c r="I1059" s="230"/>
    </row>
    <row r="1060" spans="1:9" ht="31.5" x14ac:dyDescent="0.25">
      <c r="A1060" s="25" t="s">
        <v>146</v>
      </c>
      <c r="B1060" s="16">
        <v>910</v>
      </c>
      <c r="C1060" s="20" t="s">
        <v>133</v>
      </c>
      <c r="D1060" s="20" t="s">
        <v>228</v>
      </c>
      <c r="E1060" s="40" t="s">
        <v>1147</v>
      </c>
      <c r="F1060" s="20" t="s">
        <v>147</v>
      </c>
      <c r="G1060" s="415">
        <f>'Пр.6 ведом.20'!G1064</f>
        <v>0.5</v>
      </c>
      <c r="H1060" s="415">
        <f t="shared" si="44"/>
        <v>0.5</v>
      </c>
      <c r="I1060" s="230"/>
    </row>
    <row r="1061" spans="1:9" ht="31.5" x14ac:dyDescent="0.25">
      <c r="A1061" s="25" t="s">
        <v>148</v>
      </c>
      <c r="B1061" s="16">
        <v>910</v>
      </c>
      <c r="C1061" s="20" t="s">
        <v>133</v>
      </c>
      <c r="D1061" s="20" t="s">
        <v>228</v>
      </c>
      <c r="E1061" s="40" t="s">
        <v>712</v>
      </c>
      <c r="F1061" s="20" t="s">
        <v>149</v>
      </c>
      <c r="G1061" s="415">
        <f>'Пр.6 ведом.20'!G1065</f>
        <v>0.5</v>
      </c>
      <c r="H1061" s="415">
        <f t="shared" si="44"/>
        <v>0.5</v>
      </c>
      <c r="I1061" s="230"/>
    </row>
    <row r="1062" spans="1:9" ht="47.25" x14ac:dyDescent="0.25">
      <c r="A1062" s="31" t="s">
        <v>711</v>
      </c>
      <c r="B1062" s="16">
        <v>910</v>
      </c>
      <c r="C1062" s="20" t="s">
        <v>133</v>
      </c>
      <c r="D1062" s="20" t="s">
        <v>228</v>
      </c>
      <c r="E1062" s="20" t="s">
        <v>1146</v>
      </c>
      <c r="F1062" s="20"/>
      <c r="G1062" s="415">
        <f>'Пр.6 ведом.20'!G1066</f>
        <v>25</v>
      </c>
      <c r="H1062" s="415">
        <f t="shared" si="44"/>
        <v>25</v>
      </c>
      <c r="I1062" s="230"/>
    </row>
    <row r="1063" spans="1:9" ht="31.5" x14ac:dyDescent="0.25">
      <c r="A1063" s="25" t="s">
        <v>146</v>
      </c>
      <c r="B1063" s="16">
        <v>910</v>
      </c>
      <c r="C1063" s="20" t="s">
        <v>133</v>
      </c>
      <c r="D1063" s="20" t="s">
        <v>228</v>
      </c>
      <c r="E1063" s="20" t="s">
        <v>1146</v>
      </c>
      <c r="F1063" s="20" t="s">
        <v>147</v>
      </c>
      <c r="G1063" s="415">
        <f>'Пр.6 ведом.20'!G1067</f>
        <v>25</v>
      </c>
      <c r="H1063" s="415">
        <f t="shared" si="44"/>
        <v>25</v>
      </c>
      <c r="I1063" s="230"/>
    </row>
    <row r="1064" spans="1:9" ht="31.5" x14ac:dyDescent="0.25">
      <c r="A1064" s="25" t="s">
        <v>148</v>
      </c>
      <c r="B1064" s="16">
        <v>910</v>
      </c>
      <c r="C1064" s="20" t="s">
        <v>133</v>
      </c>
      <c r="D1064" s="20" t="s">
        <v>228</v>
      </c>
      <c r="E1064" s="20" t="s">
        <v>1146</v>
      </c>
      <c r="F1064" s="20" t="s">
        <v>149</v>
      </c>
      <c r="G1064" s="415">
        <f>'Пр.6 ведом.20'!G1068</f>
        <v>25</v>
      </c>
      <c r="H1064" s="415">
        <f t="shared" si="44"/>
        <v>25</v>
      </c>
      <c r="I1064" s="230"/>
    </row>
    <row r="1065" spans="1:9" ht="63" x14ac:dyDescent="0.25">
      <c r="A1065" s="23" t="s">
        <v>593</v>
      </c>
      <c r="B1065" s="19">
        <v>910</v>
      </c>
      <c r="C1065" s="24" t="s">
        <v>133</v>
      </c>
      <c r="D1065" s="24" t="s">
        <v>230</v>
      </c>
      <c r="E1065" s="24"/>
      <c r="F1065" s="24"/>
      <c r="G1065" s="416">
        <f>G1066</f>
        <v>1091</v>
      </c>
      <c r="H1065" s="416">
        <f>H1066</f>
        <v>1091</v>
      </c>
      <c r="I1065" s="230"/>
    </row>
    <row r="1066" spans="1:9" ht="31.5" x14ac:dyDescent="0.25">
      <c r="A1066" s="23" t="s">
        <v>992</v>
      </c>
      <c r="B1066" s="19">
        <v>910</v>
      </c>
      <c r="C1066" s="24" t="s">
        <v>133</v>
      </c>
      <c r="D1066" s="24" t="s">
        <v>230</v>
      </c>
      <c r="E1066" s="24" t="s">
        <v>906</v>
      </c>
      <c r="F1066" s="24"/>
      <c r="G1066" s="416">
        <f>G1067</f>
        <v>1091</v>
      </c>
      <c r="H1066" s="416">
        <f>H1067</f>
        <v>1091</v>
      </c>
      <c r="I1066" s="230"/>
    </row>
    <row r="1067" spans="1:9" ht="31.5" x14ac:dyDescent="0.25">
      <c r="A1067" s="23" t="s">
        <v>1139</v>
      </c>
      <c r="B1067" s="19">
        <v>910</v>
      </c>
      <c r="C1067" s="24" t="s">
        <v>133</v>
      </c>
      <c r="D1067" s="24" t="s">
        <v>230</v>
      </c>
      <c r="E1067" s="24" t="s">
        <v>1140</v>
      </c>
      <c r="F1067" s="24"/>
      <c r="G1067" s="416">
        <f>G1068+G1073</f>
        <v>1091</v>
      </c>
      <c r="H1067" s="416">
        <f>H1068+H1073</f>
        <v>1091</v>
      </c>
      <c r="I1067" s="230"/>
    </row>
    <row r="1068" spans="1:9" ht="31.5" x14ac:dyDescent="0.25">
      <c r="A1068" s="25" t="s">
        <v>1143</v>
      </c>
      <c r="B1068" s="16">
        <v>910</v>
      </c>
      <c r="C1068" s="20" t="s">
        <v>133</v>
      </c>
      <c r="D1068" s="20" t="s">
        <v>230</v>
      </c>
      <c r="E1068" s="20" t="s">
        <v>1144</v>
      </c>
      <c r="F1068" s="20"/>
      <c r="G1068" s="415">
        <f>'Пр.6 ведом.20'!G1072</f>
        <v>1091</v>
      </c>
      <c r="H1068" s="415">
        <f t="shared" si="44"/>
        <v>1091</v>
      </c>
      <c r="I1068" s="230"/>
    </row>
    <row r="1069" spans="1:9" ht="78.75" x14ac:dyDescent="0.25">
      <c r="A1069" s="25" t="s">
        <v>142</v>
      </c>
      <c r="B1069" s="16">
        <v>910</v>
      </c>
      <c r="C1069" s="20" t="s">
        <v>133</v>
      </c>
      <c r="D1069" s="20" t="s">
        <v>230</v>
      </c>
      <c r="E1069" s="20" t="s">
        <v>1144</v>
      </c>
      <c r="F1069" s="20" t="s">
        <v>143</v>
      </c>
      <c r="G1069" s="415">
        <f>'Пр.6 ведом.20'!G1073</f>
        <v>998</v>
      </c>
      <c r="H1069" s="415">
        <f t="shared" si="44"/>
        <v>998</v>
      </c>
      <c r="I1069" s="230"/>
    </row>
    <row r="1070" spans="1:9" ht="31.5" x14ac:dyDescent="0.25">
      <c r="A1070" s="25" t="s">
        <v>144</v>
      </c>
      <c r="B1070" s="16">
        <v>910</v>
      </c>
      <c r="C1070" s="20" t="s">
        <v>133</v>
      </c>
      <c r="D1070" s="20" t="s">
        <v>230</v>
      </c>
      <c r="E1070" s="20" t="s">
        <v>1144</v>
      </c>
      <c r="F1070" s="20" t="s">
        <v>145</v>
      </c>
      <c r="G1070" s="415">
        <f>'Пр.6 ведом.20'!G1074</f>
        <v>998</v>
      </c>
      <c r="H1070" s="415">
        <f t="shared" si="44"/>
        <v>998</v>
      </c>
      <c r="I1070" s="230"/>
    </row>
    <row r="1071" spans="1:9" ht="31.5" x14ac:dyDescent="0.25">
      <c r="A1071" s="25" t="s">
        <v>213</v>
      </c>
      <c r="B1071" s="16">
        <v>910</v>
      </c>
      <c r="C1071" s="20" t="s">
        <v>133</v>
      </c>
      <c r="D1071" s="20" t="s">
        <v>230</v>
      </c>
      <c r="E1071" s="20" t="s">
        <v>1144</v>
      </c>
      <c r="F1071" s="20" t="s">
        <v>147</v>
      </c>
      <c r="G1071" s="415">
        <f>'Пр.6 ведом.20'!G1075</f>
        <v>93</v>
      </c>
      <c r="H1071" s="415">
        <f t="shared" si="44"/>
        <v>93</v>
      </c>
      <c r="I1071" s="230"/>
    </row>
    <row r="1072" spans="1:9" ht="31.5" x14ac:dyDescent="0.25">
      <c r="A1072" s="25" t="s">
        <v>148</v>
      </c>
      <c r="B1072" s="16">
        <v>910</v>
      </c>
      <c r="C1072" s="20" t="s">
        <v>133</v>
      </c>
      <c r="D1072" s="20" t="s">
        <v>230</v>
      </c>
      <c r="E1072" s="20" t="s">
        <v>1144</v>
      </c>
      <c r="F1072" s="20" t="s">
        <v>149</v>
      </c>
      <c r="G1072" s="415">
        <f>'Пр.6 ведом.20'!G1076</f>
        <v>93</v>
      </c>
      <c r="H1072" s="415">
        <f t="shared" si="44"/>
        <v>93</v>
      </c>
      <c r="I1072" s="230"/>
    </row>
    <row r="1073" spans="1:9" ht="47.25" hidden="1" x14ac:dyDescent="0.25">
      <c r="A1073" s="25" t="s">
        <v>886</v>
      </c>
      <c r="B1073" s="16">
        <v>910</v>
      </c>
      <c r="C1073" s="20" t="s">
        <v>133</v>
      </c>
      <c r="D1073" s="20" t="s">
        <v>230</v>
      </c>
      <c r="E1073" s="20" t="s">
        <v>1142</v>
      </c>
      <c r="F1073" s="20"/>
      <c r="G1073" s="415">
        <f>'Пр.6 ведом.20'!G1077</f>
        <v>0</v>
      </c>
      <c r="H1073" s="415">
        <f t="shared" si="44"/>
        <v>0</v>
      </c>
      <c r="I1073" s="230"/>
    </row>
    <row r="1074" spans="1:9" ht="78.75" hidden="1" x14ac:dyDescent="0.25">
      <c r="A1074" s="25" t="s">
        <v>142</v>
      </c>
      <c r="B1074" s="16">
        <v>910</v>
      </c>
      <c r="C1074" s="20" t="s">
        <v>133</v>
      </c>
      <c r="D1074" s="20" t="s">
        <v>230</v>
      </c>
      <c r="E1074" s="20" t="s">
        <v>1142</v>
      </c>
      <c r="F1074" s="20" t="s">
        <v>143</v>
      </c>
      <c r="G1074" s="415">
        <f>'Пр.6 ведом.20'!G1078</f>
        <v>0</v>
      </c>
      <c r="H1074" s="415">
        <f t="shared" si="44"/>
        <v>0</v>
      </c>
      <c r="I1074" s="230"/>
    </row>
    <row r="1075" spans="1:9" ht="31.5" hidden="1" x14ac:dyDescent="0.25">
      <c r="A1075" s="25" t="s">
        <v>144</v>
      </c>
      <c r="B1075" s="16">
        <v>910</v>
      </c>
      <c r="C1075" s="20" t="s">
        <v>133</v>
      </c>
      <c r="D1075" s="20" t="s">
        <v>230</v>
      </c>
      <c r="E1075" s="20" t="s">
        <v>1142</v>
      </c>
      <c r="F1075" s="20" t="s">
        <v>145</v>
      </c>
      <c r="G1075" s="415">
        <f>'Пр.6 ведом.20'!G1079</f>
        <v>0</v>
      </c>
      <c r="H1075" s="415">
        <f t="shared" si="44"/>
        <v>0</v>
      </c>
      <c r="I1075" s="230"/>
    </row>
    <row r="1076" spans="1:9" ht="47.25" x14ac:dyDescent="0.25">
      <c r="A1076" s="23" t="s">
        <v>134</v>
      </c>
      <c r="B1076" s="19">
        <v>910</v>
      </c>
      <c r="C1076" s="24" t="s">
        <v>133</v>
      </c>
      <c r="D1076" s="24" t="s">
        <v>135</v>
      </c>
      <c r="E1076" s="24"/>
      <c r="F1076" s="24"/>
      <c r="G1076" s="416">
        <f>G1077</f>
        <v>1646</v>
      </c>
      <c r="H1076" s="416">
        <f>H1077</f>
        <v>1646</v>
      </c>
      <c r="I1076" s="230"/>
    </row>
    <row r="1077" spans="1:9" ht="31.5" x14ac:dyDescent="0.25">
      <c r="A1077" s="23" t="s">
        <v>992</v>
      </c>
      <c r="B1077" s="19">
        <v>910</v>
      </c>
      <c r="C1077" s="24" t="s">
        <v>133</v>
      </c>
      <c r="D1077" s="24" t="s">
        <v>135</v>
      </c>
      <c r="E1077" s="24" t="s">
        <v>906</v>
      </c>
      <c r="F1077" s="24"/>
      <c r="G1077" s="416">
        <f>G1078</f>
        <v>1646</v>
      </c>
      <c r="H1077" s="416">
        <f>H1078</f>
        <v>1646</v>
      </c>
      <c r="I1077" s="230"/>
    </row>
    <row r="1078" spans="1:9" ht="31.5" x14ac:dyDescent="0.25">
      <c r="A1078" s="23" t="s">
        <v>1139</v>
      </c>
      <c r="B1078" s="19">
        <v>910</v>
      </c>
      <c r="C1078" s="24" t="s">
        <v>133</v>
      </c>
      <c r="D1078" s="24" t="s">
        <v>135</v>
      </c>
      <c r="E1078" s="24" t="s">
        <v>1140</v>
      </c>
      <c r="F1078" s="24"/>
      <c r="G1078" s="416">
        <f>G1079+G1084</f>
        <v>1646</v>
      </c>
      <c r="H1078" s="416">
        <f>H1079+H1084</f>
        <v>1646</v>
      </c>
      <c r="I1078" s="230"/>
    </row>
    <row r="1079" spans="1:9" ht="31.5" x14ac:dyDescent="0.25">
      <c r="A1079" s="25" t="s">
        <v>969</v>
      </c>
      <c r="B1079" s="16">
        <v>910</v>
      </c>
      <c r="C1079" s="20" t="s">
        <v>133</v>
      </c>
      <c r="D1079" s="20" t="s">
        <v>135</v>
      </c>
      <c r="E1079" s="20" t="s">
        <v>1144</v>
      </c>
      <c r="F1079" s="20"/>
      <c r="G1079" s="415">
        <f>'Пр.6 ведом.20'!G1083</f>
        <v>1604</v>
      </c>
      <c r="H1079" s="415">
        <f t="shared" si="44"/>
        <v>1604</v>
      </c>
      <c r="I1079" s="230"/>
    </row>
    <row r="1080" spans="1:9" ht="78.75" x14ac:dyDescent="0.25">
      <c r="A1080" s="25" t="s">
        <v>142</v>
      </c>
      <c r="B1080" s="16">
        <v>910</v>
      </c>
      <c r="C1080" s="20" t="s">
        <v>133</v>
      </c>
      <c r="D1080" s="20" t="s">
        <v>135</v>
      </c>
      <c r="E1080" s="20" t="s">
        <v>1144</v>
      </c>
      <c r="F1080" s="20" t="s">
        <v>143</v>
      </c>
      <c r="G1080" s="415">
        <f>'Пр.6 ведом.20'!G1084</f>
        <v>1586</v>
      </c>
      <c r="H1080" s="415">
        <f t="shared" si="44"/>
        <v>1586</v>
      </c>
      <c r="I1080" s="230"/>
    </row>
    <row r="1081" spans="1:9" ht="31.5" x14ac:dyDescent="0.25">
      <c r="A1081" s="25" t="s">
        <v>144</v>
      </c>
      <c r="B1081" s="16">
        <v>910</v>
      </c>
      <c r="C1081" s="20" t="s">
        <v>133</v>
      </c>
      <c r="D1081" s="20" t="s">
        <v>135</v>
      </c>
      <c r="E1081" s="20" t="s">
        <v>1144</v>
      </c>
      <c r="F1081" s="20" t="s">
        <v>145</v>
      </c>
      <c r="G1081" s="415">
        <f>'Пр.6 ведом.20'!G1085</f>
        <v>1586</v>
      </c>
      <c r="H1081" s="415">
        <f t="shared" si="44"/>
        <v>1586</v>
      </c>
      <c r="I1081" s="230"/>
    </row>
    <row r="1082" spans="1:9" ht="31.5" x14ac:dyDescent="0.25">
      <c r="A1082" s="25" t="s">
        <v>213</v>
      </c>
      <c r="B1082" s="16">
        <v>910</v>
      </c>
      <c r="C1082" s="20" t="s">
        <v>133</v>
      </c>
      <c r="D1082" s="20" t="s">
        <v>135</v>
      </c>
      <c r="E1082" s="20" t="s">
        <v>1144</v>
      </c>
      <c r="F1082" s="20" t="s">
        <v>147</v>
      </c>
      <c r="G1082" s="415">
        <f>'Пр.6 ведом.20'!G1086</f>
        <v>18</v>
      </c>
      <c r="H1082" s="415">
        <f t="shared" si="44"/>
        <v>18</v>
      </c>
      <c r="I1082" s="230"/>
    </row>
    <row r="1083" spans="1:9" ht="31.5" x14ac:dyDescent="0.25">
      <c r="A1083" s="25" t="s">
        <v>148</v>
      </c>
      <c r="B1083" s="16">
        <v>910</v>
      </c>
      <c r="C1083" s="20" t="s">
        <v>133</v>
      </c>
      <c r="D1083" s="20" t="s">
        <v>135</v>
      </c>
      <c r="E1083" s="20" t="s">
        <v>1144</v>
      </c>
      <c r="F1083" s="20" t="s">
        <v>149</v>
      </c>
      <c r="G1083" s="415">
        <f>'Пр.6 ведом.20'!G1087</f>
        <v>18</v>
      </c>
      <c r="H1083" s="415">
        <f t="shared" si="44"/>
        <v>18</v>
      </c>
      <c r="I1083" s="230"/>
    </row>
    <row r="1084" spans="1:9" ht="47.25" x14ac:dyDescent="0.25">
      <c r="A1084" s="25" t="s">
        <v>886</v>
      </c>
      <c r="B1084" s="16">
        <v>910</v>
      </c>
      <c r="C1084" s="20" t="s">
        <v>133</v>
      </c>
      <c r="D1084" s="20" t="s">
        <v>135</v>
      </c>
      <c r="E1084" s="20" t="s">
        <v>1142</v>
      </c>
      <c r="F1084" s="20"/>
      <c r="G1084" s="415">
        <f>'Пр.6 ведом.20'!G1088</f>
        <v>42</v>
      </c>
      <c r="H1084" s="415">
        <f t="shared" si="44"/>
        <v>42</v>
      </c>
      <c r="I1084" s="230"/>
    </row>
    <row r="1085" spans="1:9" ht="78.75" x14ac:dyDescent="0.25">
      <c r="A1085" s="25" t="s">
        <v>142</v>
      </c>
      <c r="B1085" s="16">
        <v>910</v>
      </c>
      <c r="C1085" s="20" t="s">
        <v>133</v>
      </c>
      <c r="D1085" s="20" t="s">
        <v>135</v>
      </c>
      <c r="E1085" s="20" t="s">
        <v>1142</v>
      </c>
      <c r="F1085" s="20" t="s">
        <v>143</v>
      </c>
      <c r="G1085" s="415">
        <f>'Пр.6 ведом.20'!G1089</f>
        <v>42</v>
      </c>
      <c r="H1085" s="415">
        <f t="shared" si="44"/>
        <v>42</v>
      </c>
      <c r="I1085" s="230"/>
    </row>
    <row r="1086" spans="1:9" ht="31.5" x14ac:dyDescent="0.25">
      <c r="A1086" s="25" t="s">
        <v>144</v>
      </c>
      <c r="B1086" s="16">
        <v>910</v>
      </c>
      <c r="C1086" s="20" t="s">
        <v>133</v>
      </c>
      <c r="D1086" s="20" t="s">
        <v>135</v>
      </c>
      <c r="E1086" s="20" t="s">
        <v>1142</v>
      </c>
      <c r="F1086" s="20" t="s">
        <v>145</v>
      </c>
      <c r="G1086" s="415">
        <f>'Пр.6 ведом.20'!G1090</f>
        <v>42</v>
      </c>
      <c r="H1086" s="415">
        <f t="shared" si="44"/>
        <v>42</v>
      </c>
      <c r="I1086" s="230"/>
    </row>
    <row r="1087" spans="1:9" ht="15.75" x14ac:dyDescent="0.25">
      <c r="A1087" s="48" t="s">
        <v>602</v>
      </c>
      <c r="B1087" s="48"/>
      <c r="C1087" s="24"/>
      <c r="D1087" s="24"/>
      <c r="E1087" s="24"/>
      <c r="F1087" s="24"/>
      <c r="G1087" s="357">
        <f>G1044+G832+G755+G529+G486+G214+G30+G9</f>
        <v>726350.71999999986</v>
      </c>
      <c r="H1087" s="357">
        <f>H1044+H832+H755+H529+H486+H214+H30+H9</f>
        <v>725925.52</v>
      </c>
      <c r="I1087" s="230"/>
    </row>
    <row r="1088" spans="1:9" x14ac:dyDescent="0.25">
      <c r="A1088" s="253"/>
      <c r="B1088" s="253"/>
      <c r="C1088" s="253"/>
      <c r="D1088" s="253"/>
      <c r="E1088" s="253"/>
      <c r="F1088" s="253"/>
      <c r="G1088" s="253"/>
      <c r="H1088" s="272"/>
    </row>
    <row r="1089" spans="1:10" ht="18.75" hidden="1" x14ac:dyDescent="0.3">
      <c r="A1089" s="253"/>
      <c r="B1089" s="253"/>
      <c r="C1089" s="254"/>
      <c r="D1089" s="254"/>
      <c r="E1089" s="254"/>
      <c r="F1089" s="255" t="s">
        <v>603</v>
      </c>
      <c r="G1089" s="256">
        <f>G1087-G1090</f>
        <v>458904.31999999983</v>
      </c>
      <c r="H1089" s="256">
        <f>H1087-H1090</f>
        <v>465606.32000000007</v>
      </c>
    </row>
    <row r="1090" spans="1:10" ht="18.75" hidden="1" x14ac:dyDescent="0.3">
      <c r="A1090" s="253"/>
      <c r="B1090" s="253"/>
      <c r="C1090" s="254"/>
      <c r="D1090" s="254"/>
      <c r="E1090" s="254"/>
      <c r="F1090" s="255" t="s">
        <v>604</v>
      </c>
      <c r="G1090" s="256">
        <f>G50+G167+G176+G208+G223+G256+G263+G303+G360+G389+G392+G442+G515+G551+G589+G622+G656+G663+G694+G725+G794+G989+G996+G901+G270+G187+G84+G1062-44-500-239.82+G601+G501+G203+G364</f>
        <v>267446.40000000002</v>
      </c>
      <c r="H1090" s="256">
        <f>H50+H167+H176+H208+H223+H256+H263+H303+H360+H389+H392+H442+H515+H551+H589+H622+H656+H663+H694+H725+H794+H989+H996+H901+H270+H187+H84+H1062-54-500-239.82+H601+H501+H203+H364</f>
        <v>260319.19999999998</v>
      </c>
      <c r="I1090" s="256">
        <v>267446.40000000002</v>
      </c>
      <c r="J1090">
        <v>260319.2</v>
      </c>
    </row>
    <row r="1091" spans="1:10" ht="15.75" hidden="1" x14ac:dyDescent="0.25">
      <c r="A1091" s="253"/>
      <c r="B1091" s="253"/>
      <c r="C1091" s="254"/>
      <c r="D1091" s="258"/>
      <c r="E1091" s="258"/>
      <c r="F1091" s="258"/>
      <c r="G1091" s="259"/>
      <c r="H1091" s="259"/>
      <c r="I1091" s="306">
        <f>I1090-G1090</f>
        <v>0</v>
      </c>
      <c r="J1091" s="306">
        <f>J1090-H1090</f>
        <v>0</v>
      </c>
    </row>
    <row r="1092" spans="1:10" ht="15.75" hidden="1" x14ac:dyDescent="0.25">
      <c r="A1092" s="253"/>
      <c r="B1092" s="253"/>
      <c r="C1092" s="254"/>
      <c r="D1092" s="258"/>
      <c r="E1092" s="258"/>
      <c r="F1092" s="258"/>
      <c r="G1092" s="260"/>
      <c r="H1092" s="260"/>
    </row>
    <row r="1093" spans="1:10" ht="15.75" hidden="1" x14ac:dyDescent="0.25">
      <c r="A1093" s="253"/>
      <c r="B1093" s="253"/>
      <c r="C1093" s="254"/>
      <c r="D1093" s="258"/>
      <c r="E1093" s="258"/>
      <c r="F1093" s="258"/>
      <c r="G1093" s="254"/>
      <c r="H1093" s="254"/>
    </row>
    <row r="1094" spans="1:10" ht="15.75" hidden="1" x14ac:dyDescent="0.25">
      <c r="A1094" s="253"/>
      <c r="B1094" s="253"/>
      <c r="C1094" s="261">
        <v>1</v>
      </c>
      <c r="D1094" s="258"/>
      <c r="E1094" s="258"/>
      <c r="F1094" s="258"/>
      <c r="G1094" s="262">
        <f>G9+G31+G215+G487+G530+G833+G1045+G756</f>
        <v>139211.72</v>
      </c>
      <c r="H1094" s="262">
        <f>H9+H31+H215+H487+H530+H833+H1045+H756</f>
        <v>147123.01999999999</v>
      </c>
    </row>
    <row r="1095" spans="1:10" ht="15.75" hidden="1" x14ac:dyDescent="0.25">
      <c r="A1095" s="253"/>
      <c r="B1095" s="253"/>
      <c r="C1095" s="261" t="s">
        <v>603</v>
      </c>
      <c r="D1095" s="258"/>
      <c r="E1095" s="258"/>
      <c r="F1095" s="258"/>
      <c r="G1095" s="262">
        <f>G1094-G1096</f>
        <v>136041.82</v>
      </c>
      <c r="H1095" s="262">
        <f>H1094-H1096</f>
        <v>143886.41999999998</v>
      </c>
    </row>
    <row r="1096" spans="1:10" ht="15.75" hidden="1" x14ac:dyDescent="0.25">
      <c r="A1096" s="253"/>
      <c r="B1096" s="253"/>
      <c r="C1096" s="261" t="s">
        <v>604</v>
      </c>
      <c r="D1096" s="258"/>
      <c r="E1096" s="258"/>
      <c r="F1096" s="258"/>
      <c r="G1096" s="262">
        <f>G1062+G515+G223+G84+G50-239.82+G501</f>
        <v>3169.9</v>
      </c>
      <c r="H1096" s="262">
        <f>H1062+H515+H223+H84+H50-239.82+H501</f>
        <v>3236.6</v>
      </c>
    </row>
    <row r="1097" spans="1:10" ht="15.75" hidden="1" x14ac:dyDescent="0.25">
      <c r="A1097" s="253"/>
      <c r="B1097" s="253"/>
      <c r="C1097" s="261">
        <v>2</v>
      </c>
      <c r="D1097" s="258"/>
      <c r="E1097" s="258"/>
      <c r="F1097" s="258"/>
      <c r="G1097" s="262">
        <f>G134</f>
        <v>0</v>
      </c>
      <c r="H1097" s="262">
        <f>H134</f>
        <v>0</v>
      </c>
    </row>
    <row r="1098" spans="1:10" ht="15.75" hidden="1" x14ac:dyDescent="0.25">
      <c r="A1098" s="253"/>
      <c r="B1098" s="253"/>
      <c r="C1098" s="261">
        <v>3</v>
      </c>
      <c r="D1098" s="258"/>
      <c r="E1098" s="258"/>
      <c r="F1098" s="258"/>
      <c r="G1098" s="262">
        <f>G847+G141</f>
        <v>8029</v>
      </c>
      <c r="H1098" s="262">
        <f>H847+H141</f>
        <v>8029</v>
      </c>
    </row>
    <row r="1099" spans="1:10" ht="15.75" hidden="1" x14ac:dyDescent="0.25">
      <c r="A1099" s="253"/>
      <c r="B1099" s="253"/>
      <c r="C1099" s="261">
        <v>4</v>
      </c>
      <c r="D1099" s="258"/>
      <c r="E1099" s="258"/>
      <c r="F1099" s="258"/>
      <c r="G1099" s="262">
        <f>G160+G854+G248</f>
        <v>7611.8</v>
      </c>
      <c r="H1099" s="262">
        <f>H160+H854+H248</f>
        <v>7700.8</v>
      </c>
    </row>
    <row r="1100" spans="1:10" ht="15.75" hidden="1" x14ac:dyDescent="0.25">
      <c r="A1100" s="253"/>
      <c r="B1100" s="253"/>
      <c r="C1100" s="261" t="s">
        <v>603</v>
      </c>
      <c r="D1100" s="258"/>
      <c r="E1100" s="258"/>
      <c r="F1100" s="258"/>
      <c r="G1100" s="262">
        <f>G1099-G1101</f>
        <v>6568</v>
      </c>
      <c r="H1100" s="262">
        <f>H1099-H1101</f>
        <v>6657</v>
      </c>
    </row>
    <row r="1101" spans="1:10" ht="15.75" hidden="1" x14ac:dyDescent="0.25">
      <c r="A1101" s="253"/>
      <c r="B1101" s="253"/>
      <c r="C1101" s="261" t="s">
        <v>604</v>
      </c>
      <c r="D1101" s="258"/>
      <c r="E1101" s="258"/>
      <c r="F1101" s="258"/>
      <c r="G1101" s="262">
        <f>G176+G256+G263+G270+G187+G167</f>
        <v>1043.8</v>
      </c>
      <c r="H1101" s="262">
        <f>H176+H256+H263+H270+H187+H167</f>
        <v>1043.8</v>
      </c>
    </row>
    <row r="1102" spans="1:10" ht="15.75" hidden="1" x14ac:dyDescent="0.25">
      <c r="A1102" s="253"/>
      <c r="B1102" s="253"/>
      <c r="C1102" s="261">
        <v>5</v>
      </c>
      <c r="D1102" s="258"/>
      <c r="E1102" s="258"/>
      <c r="F1102" s="258"/>
      <c r="G1102" s="262">
        <f>G873+G519</f>
        <v>38717.5</v>
      </c>
      <c r="H1102" s="262">
        <f>H873+H519</f>
        <v>37475.9</v>
      </c>
    </row>
    <row r="1103" spans="1:10" ht="15.75" hidden="1" x14ac:dyDescent="0.25">
      <c r="A1103" s="253"/>
      <c r="B1103" s="253"/>
      <c r="C1103" s="261" t="s">
        <v>603</v>
      </c>
      <c r="D1103" s="258"/>
      <c r="E1103" s="258"/>
      <c r="F1103" s="258"/>
      <c r="G1103" s="262">
        <f>G1102-G1104</f>
        <v>36803</v>
      </c>
      <c r="H1103" s="262">
        <f>H1102-H1104</f>
        <v>35561.4</v>
      </c>
    </row>
    <row r="1104" spans="1:10" ht="15.75" hidden="1" x14ac:dyDescent="0.25">
      <c r="A1104" s="253"/>
      <c r="B1104" s="253"/>
      <c r="C1104" s="261" t="s">
        <v>604</v>
      </c>
      <c r="D1104" s="258"/>
      <c r="E1104" s="258"/>
      <c r="F1104" s="258"/>
      <c r="G1104" s="262">
        <f>G901+G989+G998+G879-500</f>
        <v>1914.5</v>
      </c>
      <c r="H1104" s="262">
        <f>H901+H989+H998+H879-500</f>
        <v>1914.5</v>
      </c>
    </row>
    <row r="1105" spans="1:8" ht="15.75" hidden="1" x14ac:dyDescent="0.25">
      <c r="A1105" s="253"/>
      <c r="B1105" s="253"/>
      <c r="C1105" s="261">
        <v>7</v>
      </c>
      <c r="D1105" s="258"/>
      <c r="E1105" s="258"/>
      <c r="F1105" s="258"/>
      <c r="G1105" s="262">
        <f>G540+G277</f>
        <v>378623.1</v>
      </c>
      <c r="H1105" s="262">
        <f>H540+H277</f>
        <v>378631.6</v>
      </c>
    </row>
    <row r="1106" spans="1:8" ht="15.75" hidden="1" x14ac:dyDescent="0.25">
      <c r="A1106" s="253"/>
      <c r="B1106" s="253"/>
      <c r="C1106" s="261" t="s">
        <v>603</v>
      </c>
      <c r="D1106" s="258"/>
      <c r="E1106" s="258"/>
      <c r="F1106" s="258"/>
      <c r="G1106" s="262">
        <f>G1105-G1107</f>
        <v>131427.69999999998</v>
      </c>
      <c r="H1106" s="262">
        <f>H1105-H1107</f>
        <v>131427.69999999998</v>
      </c>
    </row>
    <row r="1107" spans="1:8" ht="15.75" hidden="1" x14ac:dyDescent="0.25">
      <c r="A1107" s="253"/>
      <c r="B1107" s="253"/>
      <c r="C1107" s="261" t="s">
        <v>604</v>
      </c>
      <c r="D1107" s="258"/>
      <c r="E1107" s="258"/>
      <c r="F1107" s="258"/>
      <c r="G1107" s="262">
        <f>G725+G694+G663+G656+G622+G589+G551+G303+G601</f>
        <v>247195.4</v>
      </c>
      <c r="H1107" s="262">
        <f>H725+H694+H663+H656+H622+H589+H551+H303+H601</f>
        <v>247203.9</v>
      </c>
    </row>
    <row r="1108" spans="1:8" ht="15.75" hidden="1" x14ac:dyDescent="0.25">
      <c r="A1108" s="253"/>
      <c r="B1108" s="253"/>
      <c r="C1108" s="261">
        <v>8</v>
      </c>
      <c r="D1108" s="258"/>
      <c r="E1108" s="258"/>
      <c r="F1108" s="258"/>
      <c r="G1108" s="262">
        <f>G338</f>
        <v>70196.600000000006</v>
      </c>
      <c r="H1108" s="262">
        <f>H338</f>
        <v>67994.2</v>
      </c>
    </row>
    <row r="1109" spans="1:8" ht="15.75" hidden="1" x14ac:dyDescent="0.25">
      <c r="A1109" s="253"/>
      <c r="B1109" s="253"/>
      <c r="C1109" s="261" t="s">
        <v>603</v>
      </c>
      <c r="D1109" s="258"/>
      <c r="E1109" s="258"/>
      <c r="F1109" s="258"/>
      <c r="G1109" s="262">
        <f>G1108-G1110</f>
        <v>65508.700000000004</v>
      </c>
      <c r="H1109" s="262">
        <f>H1108-H1110</f>
        <v>65508.7</v>
      </c>
    </row>
    <row r="1110" spans="1:8" ht="15.75" hidden="1" x14ac:dyDescent="0.25">
      <c r="A1110" s="253"/>
      <c r="B1110" s="253"/>
      <c r="C1110" s="261" t="s">
        <v>604</v>
      </c>
      <c r="D1110" s="258"/>
      <c r="E1110" s="258"/>
      <c r="F1110" s="258"/>
      <c r="G1110" s="262">
        <f>G392+G389+G360+G364</f>
        <v>4687.8999999999996</v>
      </c>
      <c r="H1110" s="262">
        <f>H392+H389+H360+H364</f>
        <v>2485.5</v>
      </c>
    </row>
    <row r="1111" spans="1:8" ht="15.75" hidden="1" x14ac:dyDescent="0.25">
      <c r="A1111" s="253"/>
      <c r="B1111" s="253"/>
      <c r="C1111" s="261">
        <v>10</v>
      </c>
      <c r="D1111" s="258"/>
      <c r="E1111" s="258"/>
      <c r="F1111" s="258"/>
      <c r="G1111" s="262">
        <f>G1036+G438+G190</f>
        <v>19998.400000000001</v>
      </c>
      <c r="H1111" s="262">
        <f>H1036+H438+H190</f>
        <v>15008.4</v>
      </c>
    </row>
    <row r="1112" spans="1:8" ht="15.75" hidden="1" x14ac:dyDescent="0.25">
      <c r="A1112" s="253"/>
      <c r="B1112" s="253"/>
      <c r="C1112" s="261" t="s">
        <v>603</v>
      </c>
      <c r="D1112" s="258"/>
      <c r="E1112" s="258"/>
      <c r="F1112" s="258"/>
      <c r="G1112" s="262">
        <f>G1111-G1113</f>
        <v>11377.000000000002</v>
      </c>
      <c r="H1112" s="262">
        <f>H1111-H1113</f>
        <v>11387</v>
      </c>
    </row>
    <row r="1113" spans="1:8" ht="15.75" hidden="1" x14ac:dyDescent="0.25">
      <c r="A1113" s="253"/>
      <c r="B1113" s="253"/>
      <c r="C1113" s="261" t="s">
        <v>604</v>
      </c>
      <c r="D1113" s="258"/>
      <c r="E1113" s="258"/>
      <c r="F1113" s="258"/>
      <c r="G1113" s="262">
        <f>G208+G443-44+G203</f>
        <v>8621.4</v>
      </c>
      <c r="H1113" s="262">
        <f>H208+H443-54+H203</f>
        <v>3621.4</v>
      </c>
    </row>
    <row r="1114" spans="1:8" ht="15.75" hidden="1" x14ac:dyDescent="0.25">
      <c r="A1114" s="253"/>
      <c r="B1114" s="253"/>
      <c r="C1114" s="261">
        <v>11</v>
      </c>
      <c r="D1114" s="258"/>
      <c r="E1114" s="258"/>
      <c r="F1114" s="258"/>
      <c r="G1114" s="262">
        <f>G763</f>
        <v>58483.6</v>
      </c>
      <c r="H1114" s="262">
        <f>H763</f>
        <v>58483.6</v>
      </c>
    </row>
    <row r="1115" spans="1:8" ht="15.75" hidden="1" x14ac:dyDescent="0.25">
      <c r="A1115" s="253"/>
      <c r="B1115" s="253"/>
      <c r="C1115" s="261" t="s">
        <v>603</v>
      </c>
      <c r="D1115" s="258"/>
      <c r="E1115" s="258"/>
      <c r="F1115" s="258"/>
      <c r="G1115" s="262">
        <f>G1114-G1116</f>
        <v>57670.1</v>
      </c>
      <c r="H1115" s="262">
        <f>H1114-H1116</f>
        <v>57670.1</v>
      </c>
    </row>
    <row r="1116" spans="1:8" ht="15.75" hidden="1" x14ac:dyDescent="0.25">
      <c r="A1116" s="253"/>
      <c r="B1116" s="253"/>
      <c r="C1116" s="261" t="s">
        <v>604</v>
      </c>
      <c r="D1116" s="258"/>
      <c r="E1116" s="258"/>
      <c r="F1116" s="258"/>
      <c r="G1116" s="262">
        <f>G794</f>
        <v>813.5</v>
      </c>
      <c r="H1116" s="262">
        <f>H794</f>
        <v>813.5</v>
      </c>
    </row>
    <row r="1117" spans="1:8" ht="15.75" hidden="1" x14ac:dyDescent="0.25">
      <c r="A1117" s="253"/>
      <c r="B1117" s="253"/>
      <c r="C1117" s="261">
        <v>12</v>
      </c>
      <c r="D1117" s="258"/>
      <c r="E1117" s="258"/>
      <c r="F1117" s="258"/>
      <c r="G1117" s="262">
        <f>G467</f>
        <v>5479</v>
      </c>
      <c r="H1117" s="262">
        <f>H467</f>
        <v>5479</v>
      </c>
    </row>
    <row r="1118" spans="1:8" ht="15.75" hidden="1" x14ac:dyDescent="0.25">
      <c r="A1118" s="253"/>
      <c r="B1118" s="253"/>
      <c r="C1118" s="262"/>
      <c r="D1118" s="258"/>
      <c r="E1118" s="258"/>
      <c r="F1118" s="258"/>
      <c r="G1118" s="263">
        <f>G1094+G1097+G1098+G1099+G1102+G1105+G1108+G1111+G1114+G1117</f>
        <v>726350.72</v>
      </c>
      <c r="H1118" s="263">
        <f>H1094+H1097+H1098+H1099+H1102+H1105+H1108+H1111+H1114+H1117</f>
        <v>725925.5199999999</v>
      </c>
    </row>
    <row r="1119" spans="1:8" ht="15.75" hidden="1" x14ac:dyDescent="0.25">
      <c r="A1119" s="253"/>
      <c r="B1119" s="253"/>
      <c r="C1119" s="261" t="s">
        <v>603</v>
      </c>
      <c r="D1119" s="258"/>
      <c r="E1119" s="258"/>
      <c r="F1119" s="258"/>
      <c r="G1119" s="263">
        <f>G1095+G1097+G1098+G1100+G1103+G1106+G1109+G1112+G1115+G1117</f>
        <v>458904.32000000001</v>
      </c>
      <c r="H1119" s="263">
        <f>H1095+H1097+H1098+H1100+H1103+H1106+H1109+H1112+H1115+H1117</f>
        <v>465606.31999999995</v>
      </c>
    </row>
    <row r="1120" spans="1:8" ht="15.75" hidden="1" x14ac:dyDescent="0.25">
      <c r="A1120" s="253"/>
      <c r="B1120" s="253"/>
      <c r="C1120" s="261" t="s">
        <v>604</v>
      </c>
      <c r="D1120" s="258"/>
      <c r="E1120" s="258"/>
      <c r="F1120" s="258"/>
      <c r="G1120" s="263">
        <f>G1118-G1119</f>
        <v>267446.39999999997</v>
      </c>
      <c r="H1120" s="263">
        <f>H1118-H1119</f>
        <v>260319.19999999995</v>
      </c>
    </row>
    <row r="1121" spans="1:8" hidden="1" x14ac:dyDescent="0.25">
      <c r="A1121" s="212"/>
      <c r="B1121" s="212"/>
      <c r="C1121" s="212"/>
      <c r="D1121" s="212"/>
      <c r="E1121" s="212"/>
      <c r="F1121" s="212"/>
      <c r="G1121" s="257"/>
      <c r="H1121" s="257"/>
    </row>
    <row r="1122" spans="1:8" hidden="1" x14ac:dyDescent="0.25">
      <c r="A1122" s="230"/>
      <c r="B1122" s="230"/>
      <c r="C1122" s="230"/>
      <c r="D1122" s="212" t="s">
        <v>605</v>
      </c>
      <c r="E1122" s="212">
        <v>50</v>
      </c>
      <c r="F1122" s="212"/>
      <c r="G1122" s="257">
        <f>G862</f>
        <v>3189</v>
      </c>
      <c r="H1122" s="257">
        <f>H862</f>
        <v>3278</v>
      </c>
    </row>
    <row r="1123" spans="1:8" hidden="1" x14ac:dyDescent="0.25">
      <c r="A1123" s="230"/>
      <c r="B1123" s="230"/>
      <c r="C1123" s="230"/>
      <c r="D1123" s="212"/>
      <c r="E1123" s="212">
        <v>51</v>
      </c>
      <c r="F1123" s="212"/>
      <c r="G1123" s="257">
        <f>G217+G250+G319+G432+G440</f>
        <v>3474</v>
      </c>
      <c r="H1123" s="257">
        <f>H217+H250+H319+H432+H440</f>
        <v>3484</v>
      </c>
    </row>
    <row r="1124" spans="1:8" hidden="1" x14ac:dyDescent="0.25">
      <c r="A1124" s="230"/>
      <c r="B1124" s="230"/>
      <c r="C1124" s="230"/>
      <c r="D1124" s="212"/>
      <c r="E1124" s="212">
        <v>52</v>
      </c>
      <c r="F1124" s="212"/>
      <c r="G1124" s="257">
        <f>G542+G610+G688+G719</f>
        <v>339680.17000000004</v>
      </c>
      <c r="H1124" s="257">
        <f>H542+H610+H688+H719</f>
        <v>339688.67000000004</v>
      </c>
    </row>
    <row r="1125" spans="1:8" hidden="1" x14ac:dyDescent="0.25">
      <c r="A1125" s="230"/>
      <c r="B1125" s="230"/>
      <c r="C1125" s="230"/>
      <c r="D1125" s="212"/>
      <c r="E1125" s="212">
        <v>53</v>
      </c>
      <c r="F1125" s="212"/>
      <c r="G1125" s="257">
        <f>G182</f>
        <v>0</v>
      </c>
      <c r="H1125" s="257">
        <f>H182</f>
        <v>0</v>
      </c>
    </row>
    <row r="1126" spans="1:8" hidden="1" x14ac:dyDescent="0.25">
      <c r="A1126" s="230"/>
      <c r="B1126" s="230"/>
      <c r="C1126" s="230"/>
      <c r="D1126" s="212"/>
      <c r="E1126" s="212">
        <v>54</v>
      </c>
      <c r="F1126" s="212"/>
      <c r="G1126" s="257">
        <f>G1057+G69</f>
        <v>549</v>
      </c>
      <c r="H1126" s="257">
        <f>H1057+H69</f>
        <v>549</v>
      </c>
    </row>
    <row r="1127" spans="1:8" hidden="1" x14ac:dyDescent="0.25">
      <c r="A1127" s="230"/>
      <c r="B1127" s="230"/>
      <c r="C1127" s="230"/>
      <c r="D1127" s="212"/>
      <c r="E1127" s="212">
        <v>55</v>
      </c>
      <c r="F1127" s="212"/>
      <c r="G1127" s="257">
        <f>G198</f>
        <v>5010</v>
      </c>
      <c r="H1127" s="257">
        <f>H198</f>
        <v>10</v>
      </c>
    </row>
    <row r="1128" spans="1:8" hidden="1" x14ac:dyDescent="0.25">
      <c r="A1128" s="230"/>
      <c r="B1128" s="230"/>
      <c r="C1128" s="230"/>
      <c r="D1128" s="212"/>
      <c r="E1128" s="212">
        <v>56</v>
      </c>
      <c r="F1128" s="212"/>
      <c r="G1128" s="257"/>
      <c r="H1128" s="257"/>
    </row>
    <row r="1129" spans="1:8" hidden="1" x14ac:dyDescent="0.25">
      <c r="A1129" s="230"/>
      <c r="B1129" s="230"/>
      <c r="C1129" s="230"/>
      <c r="D1129" s="212"/>
      <c r="E1129" s="212">
        <v>57</v>
      </c>
      <c r="F1129" s="212"/>
      <c r="G1129" s="257">
        <f>G765+G824</f>
        <v>48187.5</v>
      </c>
      <c r="H1129" s="257">
        <f>H765+H824</f>
        <v>48187.5</v>
      </c>
    </row>
    <row r="1130" spans="1:8" hidden="1" x14ac:dyDescent="0.25">
      <c r="A1130" s="230"/>
      <c r="B1130" s="230"/>
      <c r="C1130" s="230"/>
      <c r="D1130" s="212"/>
      <c r="E1130" s="212">
        <v>58</v>
      </c>
      <c r="F1130" s="212"/>
      <c r="G1130" s="257">
        <f>G279+G341+G368</f>
        <v>68708.03</v>
      </c>
      <c r="H1130" s="257">
        <f>H279+H341+H368</f>
        <v>66505.63</v>
      </c>
    </row>
    <row r="1131" spans="1:8" hidden="1" x14ac:dyDescent="0.25">
      <c r="A1131" s="230"/>
      <c r="B1131" s="230"/>
      <c r="C1131" s="230"/>
      <c r="D1131" s="212"/>
      <c r="E1131" s="212">
        <v>59</v>
      </c>
      <c r="F1131" s="212"/>
      <c r="G1131" s="257">
        <f>G592+G677+G1031+G399</f>
        <v>0</v>
      </c>
      <c r="H1131" s="257">
        <f>H592+H677+H1031+H399</f>
        <v>0</v>
      </c>
    </row>
    <row r="1132" spans="1:8" hidden="1" x14ac:dyDescent="0.25">
      <c r="A1132" s="230"/>
      <c r="B1132" s="230"/>
      <c r="C1132" s="230"/>
      <c r="D1132" s="212"/>
      <c r="E1132" s="212">
        <v>60</v>
      </c>
      <c r="F1132" s="212"/>
      <c r="G1132" s="257">
        <f>G958</f>
        <v>3244.5</v>
      </c>
      <c r="H1132" s="257">
        <f>H958</f>
        <v>3244.5</v>
      </c>
    </row>
    <row r="1133" spans="1:8" hidden="1" x14ac:dyDescent="0.25">
      <c r="A1133" s="230"/>
      <c r="B1133" s="230"/>
      <c r="C1133" s="230"/>
      <c r="D1133" s="212"/>
      <c r="E1133" s="212">
        <v>61</v>
      </c>
      <c r="F1133" s="212"/>
      <c r="G1133" s="257">
        <f>G162</f>
        <v>306</v>
      </c>
      <c r="H1133" s="257">
        <f>H162</f>
        <v>306</v>
      </c>
    </row>
    <row r="1134" spans="1:8" hidden="1" x14ac:dyDescent="0.25">
      <c r="A1134" s="230"/>
      <c r="B1134" s="230"/>
      <c r="C1134" s="230"/>
      <c r="D1134" s="212"/>
      <c r="E1134" s="212">
        <v>62</v>
      </c>
      <c r="F1134" s="212"/>
      <c r="G1134" s="257">
        <f>G918</f>
        <v>700</v>
      </c>
      <c r="H1134" s="257">
        <f>H918</f>
        <v>700</v>
      </c>
    </row>
    <row r="1135" spans="1:8" hidden="1" x14ac:dyDescent="0.25">
      <c r="A1135" s="230"/>
      <c r="B1135" s="230"/>
      <c r="C1135" s="230"/>
      <c r="D1135" s="212"/>
      <c r="E1135" s="212">
        <v>63</v>
      </c>
      <c r="F1135" s="212"/>
      <c r="G1135" s="257">
        <f>G226+G532+G758</f>
        <v>175</v>
      </c>
      <c r="H1135" s="257">
        <f>H226+H532+H758</f>
        <v>175</v>
      </c>
    </row>
    <row r="1136" spans="1:8" hidden="1" x14ac:dyDescent="0.25">
      <c r="A1136" s="230"/>
      <c r="B1136" s="230"/>
      <c r="C1136" s="230"/>
      <c r="D1136" s="212"/>
      <c r="E1136" s="212">
        <v>64</v>
      </c>
      <c r="F1136" s="212"/>
      <c r="G1136" s="257">
        <f>G115+G313+G404+G604+G682+G713+G798+G243+G481</f>
        <v>3147.6</v>
      </c>
      <c r="H1136" s="257">
        <f>H115+H313+H404+H604+H682+H713+H798+H243+H481</f>
        <v>3147.6</v>
      </c>
    </row>
    <row r="1137" spans="1:8" hidden="1" x14ac:dyDescent="0.25">
      <c r="A1137" s="230"/>
      <c r="B1137" s="230"/>
      <c r="C1137" s="230"/>
      <c r="D1137" s="212"/>
      <c r="E1137" s="212">
        <v>65</v>
      </c>
      <c r="F1137" s="212"/>
      <c r="G1137" s="257">
        <f>G996</f>
        <v>500</v>
      </c>
      <c r="H1137" s="257">
        <f>H996</f>
        <v>500</v>
      </c>
    </row>
    <row r="1138" spans="1:8" hidden="1" x14ac:dyDescent="0.25">
      <c r="A1138" s="230"/>
      <c r="B1138" s="230"/>
      <c r="C1138" s="230"/>
      <c r="D1138" s="230"/>
      <c r="E1138" s="212">
        <v>66</v>
      </c>
      <c r="F1138" s="212"/>
      <c r="G1138" s="257">
        <f>G514</f>
        <v>239.82</v>
      </c>
      <c r="H1138" s="257">
        <f>H514</f>
        <v>239.82</v>
      </c>
    </row>
    <row r="1139" spans="1:8" hidden="1" x14ac:dyDescent="0.25">
      <c r="A1139" s="230"/>
      <c r="B1139" s="230"/>
      <c r="C1139" s="230"/>
      <c r="D1139" s="230"/>
      <c r="E1139" s="212">
        <v>67</v>
      </c>
      <c r="F1139" s="212"/>
      <c r="G1139" s="257">
        <f>G124</f>
        <v>40</v>
      </c>
      <c r="H1139" s="257">
        <f>H124</f>
        <v>40</v>
      </c>
    </row>
    <row r="1140" spans="1:8" hidden="1" x14ac:dyDescent="0.25">
      <c r="A1140" s="230"/>
      <c r="B1140" s="230"/>
      <c r="C1140" s="230"/>
      <c r="D1140" s="230"/>
      <c r="E1140" s="212">
        <v>69</v>
      </c>
      <c r="F1140" s="212"/>
      <c r="G1140" s="242">
        <f>G129</f>
        <v>100</v>
      </c>
      <c r="H1140" s="242">
        <f>H129</f>
        <v>100</v>
      </c>
    </row>
    <row r="1141" spans="1:8" s="229" customFormat="1" hidden="1" x14ac:dyDescent="0.25">
      <c r="A1141" s="230"/>
      <c r="B1141" s="230"/>
      <c r="C1141" s="230"/>
      <c r="D1141" s="230"/>
      <c r="E1141" s="212">
        <v>70</v>
      </c>
      <c r="F1141" s="212"/>
      <c r="G1141" s="242">
        <f>G947</f>
        <v>235</v>
      </c>
      <c r="H1141" s="242">
        <f>H947</f>
        <v>204</v>
      </c>
    </row>
    <row r="1142" spans="1:8" hidden="1" x14ac:dyDescent="0.25">
      <c r="A1142" s="230"/>
      <c r="B1142" s="230"/>
      <c r="C1142" s="230"/>
      <c r="D1142" s="230"/>
      <c r="E1142" s="212"/>
      <c r="F1142" s="212"/>
      <c r="G1142" s="257">
        <f>SUM(G1122:G1141)</f>
        <v>477485.62000000005</v>
      </c>
      <c r="H1142" s="257">
        <f>SUM(H1122:H1141)</f>
        <v>470359.72000000003</v>
      </c>
    </row>
    <row r="1143" spans="1:8" hidden="1" x14ac:dyDescent="0.25"/>
    <row r="1144" spans="1:8" hidden="1" x14ac:dyDescent="0.25"/>
  </sheetData>
  <mergeCells count="5">
    <mergeCell ref="A4:F4"/>
    <mergeCell ref="A5:H5"/>
    <mergeCell ref="G3:H3"/>
    <mergeCell ref="G2:H2"/>
    <mergeCell ref="G1:H1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пр.дох.20</vt:lpstr>
      <vt:lpstr>Пр.1.1. дох.21-22</vt:lpstr>
      <vt:lpstr>пр.4 Рд,пр 20</vt:lpstr>
      <vt:lpstr>пр.4.1. рдпр 21-22</vt:lpstr>
      <vt:lpstr>Пр.5 Рд,пр, ЦС,ВР 20</vt:lpstr>
      <vt:lpstr>пр.5.1.рдпрцс 21-22</vt:lpstr>
      <vt:lpstr>Пр.6 ведом.20</vt:lpstr>
      <vt:lpstr>Прил.№5 ведомств.старая</vt:lpstr>
      <vt:lpstr>пр.6.1.ведом.21-22</vt:lpstr>
      <vt:lpstr>пр.7 МП 20</vt:lpstr>
      <vt:lpstr>прил.№6 МП старая</vt:lpstr>
      <vt:lpstr>пр.7.1.МП 21-22</vt:lpstr>
      <vt:lpstr>пр.8 публ. 20</vt:lpstr>
      <vt:lpstr>пр.8.1.публ.21-22</vt:lpstr>
      <vt:lpstr>пр.9 ист-ки 20</vt:lpstr>
      <vt:lpstr>пр.9.1.ист-ки 21-22 </vt:lpstr>
      <vt:lpstr>'пр.4 Рд,пр 20'!Область_печати</vt:lpstr>
      <vt:lpstr>'Пр.5 Рд,пр, ЦС,ВР 20'!Область_печати</vt:lpstr>
      <vt:lpstr>'Пр.6 ведом.20'!Область_печати</vt:lpstr>
      <vt:lpstr>'пр.7 МП 20'!Область_печати</vt:lpstr>
      <vt:lpstr>'пр.8.1.публ.21-22'!Область_печати</vt:lpstr>
      <vt:lpstr>'пр.9 ист-ки 20'!Область_печати</vt:lpstr>
      <vt:lpstr>пр.дох.20!Область_печати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2019-12-19T23:08:31Z</dcterms:modified>
</cp:coreProperties>
</file>