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750" yWindow="195" windowWidth="14160" windowHeight="11190" tabRatio="689" activeTab="2"/>
  </bookViews>
  <sheets>
    <sheet name="прил.№1 доходы" sheetId="1" r:id="rId1"/>
    <sheet name="прил.№3 Рд,пр" sheetId="2" r:id="rId2"/>
    <sheet name="ПРил.№4 Рд,пр, ЦС,ВР" sheetId="3" r:id="rId3"/>
    <sheet name="Прил.№5 ведомств." sheetId="4" r:id="rId4"/>
    <sheet name="Прил.№5 ведомств.старая" sheetId="10" state="hidden" r:id="rId5"/>
    <sheet name="прил.№6 МП" sheetId="5" r:id="rId6"/>
    <sheet name="прил.№6 МП старая" sheetId="11" state="hidden" r:id="rId7"/>
    <sheet name="прил.№7 публ." sheetId="6" state="hidden" r:id="rId8"/>
    <sheet name="прил.№7 источники" sheetId="7" state="hidden" r:id="rId9"/>
  </sheets>
  <definedNames>
    <definedName name="_xlnm.Print_Area" localSheetId="0">'прил.№1 доходы'!$A$1:$I$163</definedName>
    <definedName name="_xlnm.Print_Area" localSheetId="1">'прил.№3 Рд,пр'!$A$1:$I$52</definedName>
    <definedName name="_xlnm.Print_Area" localSheetId="2">'ПРил.№4 Рд,пр, ЦС,ВР'!$A$1:$K$1087</definedName>
    <definedName name="_xlnm.Print_Area" localSheetId="3">'Прил.№5 ведомств.'!$A$1:$G$1322</definedName>
    <definedName name="_xlnm.Print_Area" localSheetId="4">'Прил.№5 ведомств.старая'!$A$1:$H$975</definedName>
    <definedName name="_xlnm.Print_Area" localSheetId="5">'прил.№6 МП'!$A$1:$L$712</definedName>
    <definedName name="_xlnm.Print_Area" localSheetId="6">'прил.№6 МП старая'!$A$1:$G$534</definedName>
    <definedName name="_xlnm.Print_Area" localSheetId="8">'прил.№7 источники'!$A$1:$J$16</definedName>
  </definedNames>
  <calcPr calcId="145621"/>
</workbook>
</file>

<file path=xl/sharedStrings.xml><?xml version="1.0" encoding="utf-8"?>
<sst xmlns="http://schemas.openxmlformats.org/spreadsheetml/2006/main" count="20961" uniqueCount="1259">
  <si>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</si>
  <si>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</si>
  <si>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</si>
  <si>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</si>
  <si>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</si>
  <si>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</si>
  <si>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</si>
  <si>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</si>
  <si>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</si>
  <si>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</si>
  <si>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</si>
  <si>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</si>
  <si>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</si>
  <si>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</si>
  <si>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</si>
  <si>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</si>
  <si>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</si>
  <si>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</si>
  <si>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</si>
  <si>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</si>
  <si>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</si>
  <si>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</si>
  <si>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</si>
  <si>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</si>
  <si>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</si>
  <si>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</si>
  <si>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</si>
  <si>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</si>
  <si>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</si>
  <si>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</si>
  <si>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</si>
  <si>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</si>
  <si>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</si>
  <si>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</si>
  <si>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</si>
  <si>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</si>
  <si>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</si>
  <si>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</si>
  <si>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</si>
  <si>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</si>
  <si>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</si>
  <si>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</si>
  <si>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</si>
  <si>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</si>
  <si>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</si>
  <si>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</si>
  <si>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</si>
  <si>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</si>
  <si>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</si>
  <si>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</si>
  <si>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</si>
  <si>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</si>
  <si>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</si>
  <si>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</si>
  <si>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</si>
  <si>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</si>
  <si>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</si>
  <si>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</si>
  <si>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</si>
  <si>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</si>
  <si>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</si>
  <si>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</si>
  <si>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</si>
  <si>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</si>
  <si>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</si>
  <si>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</si>
  <si>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</si>
  <si>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</si>
  <si>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</si>
  <si>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</si>
  <si>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</si>
  <si>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</si>
  <si>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</si>
  <si>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</si>
  <si>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</si>
  <si>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</si>
  <si>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</si>
  <si>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</si>
  <si>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</si>
  <si>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</si>
  <si>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</si>
  <si>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</si>
  <si>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</si>
  <si>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</si>
  <si>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</si>
  <si>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</si>
  <si>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</si>
  <si>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</si>
  <si>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</si>
  <si>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</si>
  <si>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</si>
  <si>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</si>
  <si>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</si>
  <si>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</si>
  <si>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</si>
  <si>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</si>
  <si>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</si>
  <si>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</si>
  <si>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</si>
  <si>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</si>
  <si>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</si>
  <si>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</si>
  <si>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</si>
  <si>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</si>
  <si>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</si>
  <si>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</si>
  <si>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</si>
  <si>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</si>
  <si>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</si>
  <si>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</si>
  <si>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</si>
  <si>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</si>
  <si>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</si>
  <si>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</si>
  <si>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</si>
  <si>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</si>
  <si>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</si>
  <si>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</si>
  <si>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</si>
  <si>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</si>
  <si>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</si>
  <si>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</si>
  <si>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</si>
  <si>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</si>
  <si>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</si>
  <si>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</si>
  <si>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</si>
  <si>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</si>
  <si>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</si>
  <si>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</si>
  <si>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</si>
  <si>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</si>
  <si>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</si>
  <si>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</si>
  <si>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</si>
  <si>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</si>
  <si>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</si>
  <si>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</si>
  <si>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</si>
  <si>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</si>
  <si>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</si>
  <si>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</si>
  <si>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</si>
  <si>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</si>
  <si>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</si>
  <si>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</si>
  <si>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</si>
  <si>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</si>
  <si>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</si>
  <si>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</si>
  <si>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</si>
  <si>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</si>
  <si>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</si>
  <si>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</si>
  <si>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</si>
  <si>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</si>
  <si>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</si>
  <si>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</si>
  <si>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</si>
  <si>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</si>
  <si>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</si>
  <si>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</si>
  <si>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</si>
  <si>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</si>
  <si>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</si>
  <si>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</si>
  <si>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</si>
  <si>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</si>
  <si>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</si>
  <si>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</si>
  <si>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</si>
  <si>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</si>
  <si>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</si>
  <si>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</si>
  <si>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</si>
  <si>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</si>
  <si>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</si>
  <si>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</si>
  <si>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</si>
  <si>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</si>
  <si>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</si>
  <si>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</si>
  <si>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</si>
  <si>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</si>
  <si>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</si>
  <si>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</si>
  <si>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</si>
  <si>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</si>
  <si>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</si>
  <si>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</si>
  <si>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</si>
  <si>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</si>
  <si>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</si>
  <si>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</si>
  <si>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</si>
  <si>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</si>
  <si>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</si>
  <si>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</si>
  <si>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</si>
  <si>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</si>
  <si>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</si>
  <si>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</si>
  <si>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</si>
  <si>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</si>
  <si>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</si>
  <si>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</si>
  <si>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</si>
  <si>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</si>
  <si>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</si>
  <si>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</si>
  <si>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</si>
  <si>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</si>
  <si>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</si>
  <si>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</si>
  <si>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</si>
  <si>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</si>
  <si>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</si>
  <si>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</si>
  <si>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</si>
  <si>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</si>
  <si>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</si>
  <si>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</si>
  <si>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</si>
  <si>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</si>
  <si>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</si>
  <si>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</si>
  <si>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</si>
  <si>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</si>
  <si>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</si>
  <si>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</si>
  <si>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</si>
  <si>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</si>
  <si>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</si>
  <si>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</si>
  <si>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</si>
  <si>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</si>
  <si>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</si>
  <si>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</si>
  <si>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</si>
  <si>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</si>
  <si>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</si>
  <si>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</si>
  <si>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</si>
  <si>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</si>
  <si>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</si>
  <si>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</si>
  <si>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</si>
  <si>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</si>
  <si>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</si>
  <si>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</si>
  <si>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</si>
  <si>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</si>
  <si>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</si>
  <si>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</si>
  <si>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</si>
  <si>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</si>
  <si>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</si>
  <si>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</si>
  <si>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</si>
  <si>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</si>
  <si>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</si>
  <si>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</si>
  <si>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</si>
  <si>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</si>
  <si>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</si>
  <si>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</si>
  <si>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</si>
  <si>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</si>
  <si>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</si>
  <si>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</si>
  <si>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</si>
  <si>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</si>
  <si>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</si>
  <si>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</si>
  <si>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</si>
  <si>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</si>
  <si>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</si>
  <si>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</si>
  <si>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</si>
  <si>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</si>
  <si>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</si>
  <si>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</si>
  <si>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</si>
  <si>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</si>
  <si>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</si>
  <si>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</si>
  <si>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</si>
  <si>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</si>
  <si>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</si>
  <si>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</si>
  <si>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</si>
  <si>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</si>
  <si>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</si>
  <si>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</si>
  <si>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</si>
  <si>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</si>
  <si>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</si>
  <si>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</si>
  <si>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</si>
  <si>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</si>
  <si>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</si>
  <si>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</si>
  <si>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</si>
  <si>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</si>
  <si>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</si>
  <si>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</si>
  <si>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</si>
  <si>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</si>
  <si>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</si>
  <si>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</si>
  <si>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</si>
  <si>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</si>
  <si>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</si>
  <si>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</si>
  <si>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</si>
  <si>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</si>
  <si>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</si>
  <si>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</si>
  <si>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</si>
  <si>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</si>
  <si>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</si>
  <si>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</si>
  <si>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</si>
  <si>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</si>
  <si>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</si>
  <si>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</si>
  <si>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</si>
  <si>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</si>
  <si>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</si>
  <si>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</si>
  <si>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</si>
  <si>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</si>
  <si>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</si>
  <si>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</si>
  <si>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</si>
  <si>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</si>
  <si>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</si>
  <si>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</si>
  <si>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</si>
  <si>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</si>
  <si>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</si>
  <si>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</si>
  <si>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</si>
  <si>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</si>
  <si>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</si>
  <si>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</si>
  <si>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</si>
  <si>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</si>
  <si>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</si>
  <si>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</si>
  <si>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</si>
  <si>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</si>
  <si>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</si>
  <si>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</si>
  <si>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</si>
  <si>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</si>
  <si>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</si>
  <si>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</si>
  <si>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</si>
  <si>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</si>
  <si>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</si>
  <si>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</si>
  <si>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</si>
  <si>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</si>
  <si>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</si>
  <si>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</si>
  <si>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</si>
  <si>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</si>
  <si>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</si>
  <si>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</si>
  <si>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</si>
  <si>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</si>
  <si>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</si>
  <si>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</si>
  <si>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</si>
  <si>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</si>
  <si>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</si>
  <si>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</si>
  <si>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</si>
  <si>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</si>
  <si>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</si>
  <si>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</si>
  <si>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</si>
  <si>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</si>
  <si>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</si>
  <si>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</si>
  <si>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</si>
  <si>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</si>
  <si>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</si>
  <si>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</si>
  <si>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</si>
  <si>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</si>
  <si>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</si>
  <si>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</si>
  <si>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</si>
  <si>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</si>
  <si>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</si>
  <si>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</si>
  <si>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</si>
  <si>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</si>
  <si>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</si>
  <si>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</si>
  <si>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</si>
  <si>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</si>
  <si>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</si>
  <si>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</si>
  <si>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</si>
  <si>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</si>
  <si>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</si>
  <si>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</si>
  <si>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</si>
  <si>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</si>
  <si>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</si>
  <si>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</si>
  <si>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</si>
  <si>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</si>
  <si>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</si>
  <si>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</si>
  <si>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</si>
  <si>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</si>
  <si>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</si>
  <si>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</si>
  <si>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</si>
  <si>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</si>
  <si>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</si>
  <si>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</si>
  <si>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</si>
  <si>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</si>
  <si>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</si>
  <si>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</si>
  <si>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</si>
  <si>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</si>
  <si>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</si>
  <si>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</si>
  <si>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</si>
  <si>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</si>
  <si>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</si>
  <si>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</si>
  <si>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</si>
  <si>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</si>
  <si>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</si>
  <si>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</si>
  <si>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</si>
  <si>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</si>
  <si>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</si>
  <si>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</si>
  <si>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</si>
  <si>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</si>
  <si>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</si>
  <si>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</si>
  <si>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</si>
  <si>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</si>
  <si>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</si>
  <si>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</si>
  <si>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</si>
  <si>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</si>
  <si>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</si>
  <si>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</si>
  <si>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</si>
  <si>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</si>
  <si>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</si>
  <si>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</si>
  <si>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</si>
  <si>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</si>
  <si>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</si>
  <si>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</si>
  <si>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</si>
  <si>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</si>
  <si>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</si>
  <si>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</si>
  <si>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</si>
  <si>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</si>
  <si>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</si>
  <si>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</si>
  <si>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</si>
  <si>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</si>
  <si>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</si>
  <si>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</si>
  <si>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</si>
  <si>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</si>
  <si>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</si>
  <si>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</si>
  <si>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</si>
  <si>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</si>
  <si>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</si>
  <si>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</si>
  <si>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</si>
  <si>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</si>
  <si>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</si>
  <si>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</si>
  <si>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</si>
  <si>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</si>
  <si>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</si>
  <si>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</si>
  <si>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</si>
  <si>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</si>
  <si>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</si>
  <si>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</si>
  <si>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</si>
  <si>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</si>
  <si>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</si>
  <si>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</si>
  <si>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</si>
  <si>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</si>
  <si>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</si>
  <si>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</si>
  <si>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</si>
  <si>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</si>
  <si>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</si>
  <si>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</si>
  <si>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</si>
  <si>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</si>
  <si>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</si>
  <si>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</si>
  <si>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</si>
  <si>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</si>
  <si>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</si>
  <si>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</si>
  <si>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</si>
  <si>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</si>
  <si>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</si>
  <si>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</si>
  <si>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</si>
  <si>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</si>
  <si>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</si>
  <si>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</si>
  <si>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</si>
  <si>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</si>
  <si>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</si>
  <si>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</si>
  <si>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</si>
  <si>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</si>
  <si>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</si>
  <si>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</si>
  <si>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</si>
  <si>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</si>
  <si>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</si>
  <si>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</si>
  <si>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</si>
  <si>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</si>
  <si>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</si>
  <si>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</si>
  <si>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</si>
  <si>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</si>
  <si>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</si>
  <si>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</si>
  <si>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</si>
  <si>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</si>
  <si>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</si>
  <si>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</si>
  <si>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</si>
  <si>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</si>
  <si>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</si>
  <si>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</si>
  <si>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</si>
  <si>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</si>
  <si>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</si>
  <si>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</si>
  <si>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</si>
  <si>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</si>
  <si>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</si>
  <si>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</si>
  <si>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</si>
  <si>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</si>
  <si>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</si>
  <si>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</si>
  <si>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</si>
  <si>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</si>
  <si>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</si>
  <si>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</si>
  <si>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</si>
  <si>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</si>
  <si>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</si>
  <si>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</si>
  <si>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</si>
  <si>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</si>
  <si>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</si>
  <si>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</si>
  <si>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</si>
  <si>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</si>
  <si>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</si>
  <si>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</si>
  <si>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</si>
  <si>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</si>
  <si>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</si>
  <si>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</si>
  <si>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</si>
  <si>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</si>
  <si>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</si>
  <si>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</si>
  <si>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</si>
  <si>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</si>
  <si>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</si>
  <si>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</si>
  <si>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</si>
  <si>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</si>
  <si>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</si>
  <si>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</si>
  <si>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</si>
  <si>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</si>
  <si>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</si>
  <si>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</si>
  <si>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</si>
  <si>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</si>
  <si>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</si>
  <si>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</si>
  <si>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</si>
  <si>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</si>
  <si>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</si>
  <si>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</si>
  <si>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</si>
  <si>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</si>
  <si>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</si>
  <si>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</si>
  <si>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</si>
  <si>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</si>
  <si>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</si>
  <si>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</si>
  <si>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</si>
  <si>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</si>
  <si>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</si>
  <si>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</si>
  <si>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</si>
  <si>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</si>
  <si>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</si>
  <si>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</si>
  <si>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</si>
  <si>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</si>
  <si>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</si>
  <si>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</si>
  <si>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</si>
  <si>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</si>
  <si>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</si>
  <si>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</si>
  <si>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</si>
  <si>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</si>
  <si>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</si>
  <si>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</si>
  <si>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</si>
  <si>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</si>
  <si>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</si>
  <si>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</si>
  <si>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</si>
  <si>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</si>
  <si>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</si>
  <si>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</si>
  <si>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</si>
  <si>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</si>
  <si>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</si>
  <si>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</si>
  <si>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</si>
  <si>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</si>
  <si>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</si>
  <si>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</si>
  <si>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</si>
  <si>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</si>
  <si>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</si>
  <si>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</si>
  <si>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</si>
  <si>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</si>
  <si>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</si>
  <si>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</si>
  <si>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</si>
  <si>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</si>
  <si>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</si>
  <si>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58 1 2007</t>
  </si>
  <si>
    <t>Целевые субсидии на проведение ремонта недвижимого имущества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</si>
  <si>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</si>
  <si>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</si>
  <si>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</si>
  <si>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</si>
  <si>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</si>
  <si>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</si>
  <si>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</si>
  <si>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</si>
  <si>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</si>
  <si>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</si>
  <si>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</si>
  <si>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</si>
  <si>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</si>
  <si>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</si>
  <si>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</si>
  <si>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</si>
  <si>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</si>
  <si>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</si>
  <si>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</si>
  <si>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</si>
  <si>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</si>
  <si>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</si>
  <si>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</si>
  <si>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</si>
  <si>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</si>
  <si>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</si>
  <si>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</si>
  <si>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</si>
  <si>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</si>
  <si>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</si>
  <si>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</si>
  <si>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</si>
  <si>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</si>
  <si>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</si>
  <si>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</si>
  <si>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</si>
  <si>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</si>
  <si>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</si>
  <si>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</si>
  <si>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</si>
  <si>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</si>
  <si>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</si>
  <si>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</si>
  <si>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</si>
  <si>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</si>
  <si>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</si>
  <si>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</si>
  <si>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</si>
  <si>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</si>
  <si>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</si>
  <si>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</si>
  <si>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</si>
  <si>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</si>
  <si>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</si>
  <si>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</si>
  <si>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</si>
  <si>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</si>
  <si>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</si>
  <si>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</si>
  <si>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</si>
  <si>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</si>
  <si>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</si>
  <si>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</si>
  <si>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</si>
  <si>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</si>
  <si>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</si>
  <si>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</si>
  <si>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</si>
  <si>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</si>
  <si>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</si>
  <si>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</si>
  <si>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</si>
  <si>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</si>
  <si>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</si>
  <si>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</si>
  <si>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</si>
  <si>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</si>
  <si>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</si>
  <si>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</si>
  <si>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</si>
  <si>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</si>
  <si>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</si>
  <si>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</si>
  <si>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</si>
  <si>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</si>
  <si>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</si>
  <si>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</si>
  <si>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</si>
  <si>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</si>
  <si>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</si>
  <si>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</si>
  <si>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</si>
  <si>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</si>
  <si>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</si>
  <si>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</si>
  <si>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</si>
  <si>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</si>
  <si>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</si>
  <si>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</si>
  <si>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</si>
  <si>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</si>
  <si>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</si>
  <si>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</si>
  <si>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</si>
  <si>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</si>
  <si>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</si>
  <si>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</si>
  <si>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</si>
  <si>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</si>
  <si>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</si>
  <si>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</si>
  <si>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</si>
  <si>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</si>
  <si>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</si>
  <si>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</si>
  <si>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</si>
  <si>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</si>
  <si>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</si>
  <si>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</si>
  <si>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</si>
  <si>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</si>
  <si>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</si>
  <si>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</si>
  <si>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</si>
  <si>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</si>
  <si>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</si>
  <si>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</si>
  <si>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</si>
  <si>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</si>
  <si>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</si>
  <si>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</si>
  <si>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</si>
  <si>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</si>
  <si>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</si>
  <si>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</si>
  <si>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</si>
  <si>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</si>
  <si>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</si>
  <si>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</si>
  <si>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</si>
  <si>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</si>
  <si>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</si>
  <si>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</si>
  <si>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</si>
  <si>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</si>
  <si>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</si>
  <si>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</si>
  <si>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</si>
  <si>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</si>
  <si>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</si>
  <si>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</si>
  <si>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</si>
  <si>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</si>
  <si>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</si>
  <si>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</si>
  <si>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</si>
  <si>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</si>
  <si>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</si>
  <si>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</si>
  <si>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</si>
  <si>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</si>
  <si>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</si>
  <si>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</si>
  <si>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</si>
  <si>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</si>
  <si>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</si>
  <si>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</si>
  <si>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</si>
  <si>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</si>
  <si>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</si>
  <si>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</si>
  <si>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</si>
  <si>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</si>
  <si>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</si>
  <si>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</si>
  <si>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</si>
  <si>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</si>
  <si>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</si>
  <si>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</si>
  <si>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</si>
  <si>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</si>
  <si>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</si>
  <si>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</si>
  <si>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</si>
  <si>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</si>
  <si>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</si>
  <si>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</si>
  <si>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</si>
  <si>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</si>
  <si>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</si>
  <si>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</si>
  <si>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</si>
  <si>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</si>
  <si>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</si>
  <si>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</si>
  <si>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</si>
  <si>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</si>
  <si>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</si>
  <si>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</si>
  <si>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</si>
  <si>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</si>
  <si>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</si>
  <si>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</si>
  <si>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</si>
  <si>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</si>
  <si>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</si>
  <si>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</si>
  <si>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</si>
  <si>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</si>
  <si>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</si>
  <si>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</si>
  <si>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</si>
  <si>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</si>
  <si>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</si>
  <si>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</si>
  <si>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</si>
  <si>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</si>
  <si>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</si>
  <si>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</si>
  <si>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</si>
  <si>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</si>
  <si>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</si>
  <si>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</si>
  <si>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</si>
  <si>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</si>
  <si>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</si>
  <si>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</si>
  <si>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</si>
  <si>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</si>
  <si>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</si>
  <si>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</si>
  <si>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</si>
  <si>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</si>
  <si>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</si>
  <si>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</si>
  <si>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</si>
  <si>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</si>
  <si>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</si>
  <si>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</si>
  <si>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</si>
  <si>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</si>
  <si>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</si>
  <si>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</si>
  <si>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</si>
  <si>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</si>
  <si>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</si>
  <si>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</si>
  <si>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</si>
  <si>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</si>
  <si>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</si>
  <si>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</si>
  <si>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</si>
  <si>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</si>
  <si>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</si>
  <si>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</si>
  <si>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</si>
  <si>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</si>
  <si>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</si>
  <si>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</si>
  <si>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</si>
  <si>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</si>
  <si>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</si>
  <si>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</si>
  <si>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</si>
  <si>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</si>
  <si>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</si>
  <si>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</si>
  <si>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68 1 00 01210</t>
  </si>
  <si>
    <t>68 3 00 01670</t>
  </si>
  <si>
    <t xml:space="preserve">68 3 00 01670 </t>
  </si>
  <si>
    <t>Ожидаемое исполнение за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</si>
  <si>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</si>
  <si>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</si>
  <si>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</si>
  <si>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</si>
  <si>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</si>
  <si>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</si>
  <si>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</si>
  <si>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</si>
  <si>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</si>
  <si>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</si>
  <si>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</si>
  <si>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</si>
  <si>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</si>
  <si>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</si>
  <si>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</si>
  <si>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</si>
  <si>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</si>
  <si>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</si>
  <si>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</si>
  <si>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</si>
  <si>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</si>
  <si>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</si>
  <si>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</si>
  <si>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</si>
  <si>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</si>
  <si>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</si>
  <si>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</si>
  <si>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</si>
  <si>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</si>
  <si>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</si>
  <si>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</si>
  <si>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</si>
  <si>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</si>
  <si>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</si>
  <si>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</si>
  <si>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</si>
  <si>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</si>
  <si>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</si>
  <si>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</si>
  <si>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</si>
  <si>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</si>
  <si>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</si>
  <si>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</si>
  <si>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Субсидия бюджетам городских округов на поддержку отрасли культуры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</si>
  <si>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</si>
  <si>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</si>
  <si>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</si>
  <si>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</si>
  <si>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Дотации бюджетам городских округов на поддержку мер по обеспечению сбалансированности бюджетов</t>
  </si>
  <si>
    <t>68 1 00 01050</t>
  </si>
  <si>
    <t>Выплата стипендии обучающимся казенных учреждений</t>
  </si>
  <si>
    <t>58 3 00 01710</t>
  </si>
  <si>
    <t xml:space="preserve">Обеспечение деятельности казенных  учреждений </t>
  </si>
  <si>
    <t>58 3 00 40000</t>
  </si>
  <si>
    <t>58 2 00 40000</t>
  </si>
  <si>
    <t>Мероприятия по энергосбережению и проведению энергетической эффективности</t>
  </si>
  <si>
    <t>59 0 00 01720</t>
  </si>
  <si>
    <t>51 2 00 L4970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</si>
  <si>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</si>
  <si>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</si>
  <si>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План на 2019 год</t>
  </si>
  <si>
    <t>на 2019 год</t>
  </si>
  <si>
    <t xml:space="preserve">План на 2019год </t>
  </si>
  <si>
    <t xml:space="preserve"> классификации расходов бюджетов Российской Федерации на  2019 год</t>
  </si>
  <si>
    <t>Распределение ассигнований из бюджета Омсукчанского городского округа на 2019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</si>
  <si>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План на 2019 год </t>
  </si>
  <si>
    <t xml:space="preserve">Ведомственная  структура расходов бюджета Омсукчанского городского округа на 2019 год </t>
  </si>
  <si>
    <t>Приложение № 7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</si>
  <si>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2019 год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</si>
  <si>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2019 год</t>
  </si>
  <si>
    <t>бюджета Омсукчанского городского округа  на 2019 год</t>
  </si>
  <si>
    <t>Решение Собрания представителей Омсукчанского городского округа от 24.11.2016 года №65 "Об утверждении порядка  назначения и выплаты стипендии главы Омсукчанского городского округа лучшим учащимся образовательных организаций дополнительного образования Омсукчанского городского округа"</t>
  </si>
  <si>
    <t>57 1 00 14010</t>
  </si>
  <si>
    <t>57 1 00 14020</t>
  </si>
  <si>
    <t>57 1 00 14030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</si>
  <si>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</si>
  <si>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</si>
  <si>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(МБУ "Спортивная школа п.Омсукчан")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</si>
  <si>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</si>
  <si>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</si>
  <si>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</si>
  <si>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</si>
  <si>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</si>
  <si>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</si>
  <si>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</si>
  <si>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</si>
  <si>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68 2 00 L5550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</si>
  <si>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</si>
  <si>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</si>
  <si>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</si>
  <si>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</si>
  <si>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</si>
  <si>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</si>
  <si>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</si>
  <si>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</si>
  <si>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</si>
  <si>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</si>
  <si>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</si>
  <si>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</si>
  <si>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</si>
  <si>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</si>
  <si>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</si>
  <si>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58 3 00 01720</t>
  </si>
  <si>
    <t>Проведение казенными учреждениями  мероприятий в области культуры и искусства</t>
  </si>
  <si>
    <t>58 1 00 01720</t>
  </si>
  <si>
    <t>67 0 00 00000</t>
  </si>
  <si>
    <t>69 0 00 00000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</si>
  <si>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</si>
  <si>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</si>
  <si>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67 0 00 01560</t>
  </si>
  <si>
    <t>69 0 00 01170</t>
  </si>
  <si>
    <t>65 0 00 L5550</t>
  </si>
  <si>
    <t>Приложение № 3</t>
  </si>
  <si>
    <t>51 1 00 01730</t>
  </si>
  <si>
    <t>Организация трудоустройства несовершеннолетних граждан в казенных учреждениях</t>
  </si>
  <si>
    <t>Специальные расходы</t>
  </si>
  <si>
    <t>880</t>
  </si>
  <si>
    <t>340</t>
  </si>
  <si>
    <t>Стипендии</t>
  </si>
  <si>
    <t>Комплектование библиотечных фондов казенными учреждениями</t>
  </si>
  <si>
    <t>58 2 00 01740</t>
  </si>
  <si>
    <t>Мероприятия по профилактике правонарушений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</si>
  <si>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</si>
  <si>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Формирование и увеличение уставного фонда муниципальных унитарных предприятий</t>
  </si>
  <si>
    <t>68 3 00 01750</t>
  </si>
  <si>
    <t>66 0 00 L5110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</si>
  <si>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</si>
  <si>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</si>
  <si>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</si>
  <si>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 xml:space="preserve">Субсидии бюджетам городских округов на проведение комплексных кадастровых работ в рамках реализации подпрограммы "Совершенствование системы управления в сфере имущественно-земельных отношений Магаданской области" на 2019-2024 годы" государственной программы Магаданской области "Управление государственным имуществом Магаданской области" на 2019-2024 годы"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</si>
  <si>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</si>
  <si>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Расходы за счет средств внебюджетного фонда социально-экономического развития Магаданской области</t>
  </si>
  <si>
    <t>68 5 00 00000</t>
  </si>
  <si>
    <t>Мероприятия по модернизации и реконструкции объектов инженерной и коммунальной инфраструктуры</t>
  </si>
  <si>
    <t>68 5 00 01670</t>
  </si>
  <si>
    <t xml:space="preserve">68 5 00 01670 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</si>
  <si>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</si>
  <si>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52 3 00 20170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</si>
  <si>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</si>
  <si>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</si>
  <si>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57 1 00 20060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</si>
  <si>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</si>
  <si>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</si>
  <si>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>68 5 00 01680</t>
  </si>
  <si>
    <t>68 5 00 01700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</si>
  <si>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</si>
  <si>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Реконструкция инженерных сетей в пос.Дукат и технологическое присоединение к сетям строящейся угольной котельной</t>
  </si>
  <si>
    <t xml:space="preserve">68 5 00 01700 </t>
  </si>
  <si>
    <t>Содержание и обслуживание казны муниципального образования</t>
  </si>
  <si>
    <t>68 3 00 01760</t>
  </si>
  <si>
    <t>(+75)</t>
  </si>
  <si>
    <t>(+11)</t>
  </si>
  <si>
    <t>(+4)</t>
  </si>
  <si>
    <t>(+368,2)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</si>
  <si>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«Формирование современной городской среды Магаданской области» на 2018-2024 годы» </t>
  </si>
  <si>
    <t>2 07 04050 04 0000 150</t>
  </si>
  <si>
    <t>65 0 F2 55550</t>
  </si>
  <si>
    <t>(+136,0)</t>
  </si>
  <si>
    <t>(+41,3)</t>
  </si>
  <si>
    <t>(+105,8)</t>
  </si>
  <si>
    <t>400</t>
  </si>
  <si>
    <t>(-55213,3)</t>
  </si>
  <si>
    <t>Капитальные вложения в объекты государственной (муниципальной) собственности</t>
  </si>
  <si>
    <t xml:space="preserve"> Строительство (реконструкция) объектов недвижимого имущества государственными (муниципальными) бюджетными и автономными учреждениями</t>
  </si>
  <si>
    <t>(+1271,6)(-1271,6)</t>
  </si>
  <si>
    <t>(-35,4)</t>
  </si>
  <si>
    <t>(-200,0)</t>
  </si>
  <si>
    <t>(-30)</t>
  </si>
  <si>
    <t>(+30)</t>
  </si>
  <si>
    <t>(+200,)</t>
  </si>
  <si>
    <t>(+53,5)</t>
  </si>
  <si>
    <t>(+203,8)</t>
  </si>
  <si>
    <t>(-10)</t>
  </si>
  <si>
    <t>(+100)(-5,6)</t>
  </si>
  <si>
    <t>(+6,5)</t>
  </si>
  <si>
    <t>(+10)</t>
  </si>
  <si>
    <t>(+1)(+1,1)(+4,5)</t>
  </si>
  <si>
    <t>68 2 00 74190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</si>
  <si>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</si>
  <si>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(+1419,9)</t>
  </si>
  <si>
    <t>(+10000)</t>
  </si>
  <si>
    <t>(-1274,3)</t>
  </si>
  <si>
    <t>(+1274,3)</t>
  </si>
  <si>
    <t>(+904,2)</t>
  </si>
  <si>
    <t>(+350,0)</t>
  </si>
  <si>
    <t>(-732,0)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</si>
  <si>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</si>
  <si>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(+257,3)</t>
  </si>
  <si>
    <t>Иные межбюджетные трансферты бюджетам городских округов на благоустройство их территорий и развитие объектов социально-культурного назначения и выполнение мероприятий в сфере жилищно-коммунального хозяйства в 2019 году</t>
  </si>
  <si>
    <t>(+10 000,0)</t>
  </si>
  <si>
    <t xml:space="preserve">Cубсидии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в рамках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2015-2021 годы" государственной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2015-2021 годы"
</t>
  </si>
  <si>
    <t xml:space="preserve">Cубсидии бюджетам городских округов на реализацию мероприятий по восстановлению и модернизации муниципального имущества в городских округах Магаданской области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 на 2019 год
</t>
  </si>
  <si>
    <t>(+15000)</t>
  </si>
  <si>
    <t>(+455)</t>
  </si>
  <si>
    <t xml:space="preserve"> </t>
  </si>
  <si>
    <t>(-7,2)</t>
  </si>
  <si>
    <t>Мероприятия в сфере укрепления гражданского единства, гармонизации межнациональных отношений, профилактики экстремизма</t>
  </si>
  <si>
    <t>51 8 00 S3240</t>
  </si>
  <si>
    <t>(+7,2)</t>
  </si>
  <si>
    <t>Мероприятия по восстановлению и модернизации муниципального имущества</t>
  </si>
  <si>
    <t>68 2 00 Z2178</t>
  </si>
  <si>
    <t>(-200)</t>
  </si>
  <si>
    <t>(-1)(-100)</t>
  </si>
  <si>
    <t>(-101)</t>
  </si>
  <si>
    <t>(+200)</t>
  </si>
  <si>
    <t>(-200)(-6,5)</t>
  </si>
  <si>
    <t>(-206,5)</t>
  </si>
  <si>
    <t>(+94,4)</t>
  </si>
  <si>
    <t>(+6,6)</t>
  </si>
  <si>
    <t>(+3)</t>
  </si>
  <si>
    <t>(+355,5)</t>
  </si>
  <si>
    <t>(-244,4)(-42,9)(-55)</t>
  </si>
  <si>
    <t>407</t>
  </si>
  <si>
    <t xml:space="preserve">Исполнение судебных актов </t>
  </si>
  <si>
    <t xml:space="preserve"> Бюджетные инвестиции</t>
  </si>
  <si>
    <t>410</t>
  </si>
  <si>
    <t>(+55213,3)(-1271,6)(-49220,1)(-4721,6)</t>
  </si>
  <si>
    <t>(+884,4)</t>
  </si>
  <si>
    <t>(+506,4)+25,0)(+353,0)(-983,1)</t>
  </si>
  <si>
    <t>(-18374,6)</t>
  </si>
  <si>
    <t>(+18374,6)</t>
  </si>
  <si>
    <t>(-216,3)</t>
  </si>
  <si>
    <t>(-650)</t>
  </si>
  <si>
    <t>(-342,3)</t>
  </si>
  <si>
    <t>(-1160,3)</t>
  </si>
  <si>
    <t>проверка доходы область</t>
  </si>
  <si>
    <t>68 5 00 01780</t>
  </si>
  <si>
    <t>пока без подтверждающих документов!!!!!</t>
  </si>
  <si>
    <t xml:space="preserve">68 5 00 01780 </t>
  </si>
  <si>
    <t xml:space="preserve">Модернизация котельной в пос.Дукат дооборудованием вспомогательного объекта </t>
  </si>
  <si>
    <t>(-5993,21)</t>
  </si>
  <si>
    <t>Прочие безвозмездные поступления в бюджеты городских округов на реализацию мероприятия "Модернизация котельной в пос. Дукат дооборудованием вспомогательным объектом » программы развития Особой экономической зоны в Магаданской области на 2019 год</t>
  </si>
  <si>
    <t>(+4043,63)</t>
  </si>
  <si>
    <t>(-118,2)(-355,5)(-54)(+2118,7)</t>
  </si>
  <si>
    <t>(+1591)</t>
  </si>
  <si>
    <t>(-28,8)(-105,8)(+1487,3)</t>
  </si>
  <si>
    <t>(+1352,7)</t>
  </si>
  <si>
    <t>(+428,9)</t>
  </si>
  <si>
    <t>(+49220,1)(+5993,2)(-5993,2)</t>
  </si>
  <si>
    <t>(+49220,1)</t>
  </si>
  <si>
    <t>(-130)</t>
  </si>
  <si>
    <t>(-30)(-100)</t>
  </si>
  <si>
    <t>(-300)(-350)(-500)(-150)(+650)</t>
  </si>
  <si>
    <t>(+140)</t>
  </si>
  <si>
    <t>2 02 25497 04 0000 150</t>
  </si>
  <si>
    <t>2 02 15002 04 0000 150</t>
  </si>
  <si>
    <t>(+1100)</t>
  </si>
  <si>
    <t>(+28,8)(+50,8)</t>
  </si>
  <si>
    <t>(+79,6)</t>
  </si>
  <si>
    <t>(+904,2)(-904,2)</t>
  </si>
  <si>
    <t>(-1376,6)(+216,3)</t>
  </si>
  <si>
    <t>(+4043,6)</t>
  </si>
  <si>
    <t>(+99,7)</t>
  </si>
  <si>
    <t>(+250)</t>
  </si>
  <si>
    <t>(+297)(+215)</t>
  </si>
  <si>
    <t>(+512)</t>
  </si>
  <si>
    <t>(+215,0) (+197,0)(+250)</t>
  </si>
  <si>
    <t>Укрепление гражданского единства, гармонизация межнациональных отношений, профилактика экстремизма</t>
  </si>
  <si>
    <t>(-1000)</t>
  </si>
  <si>
    <t>(-455)(-800)(-200)</t>
  </si>
  <si>
    <t>(-1455)</t>
  </si>
  <si>
    <t>(-1500)</t>
  </si>
  <si>
    <t>(-800)(-700)</t>
  </si>
  <si>
    <t>(+4900)</t>
  </si>
  <si>
    <t>(+3000)</t>
  </si>
  <si>
    <t>(+300)</t>
  </si>
  <si>
    <t>(-300)</t>
  </si>
  <si>
    <t>(+36)(-487,1)</t>
  </si>
  <si>
    <t>(-451,1)</t>
  </si>
  <si>
    <t>(+244,4)(+42,9)(+55)(+487,1)</t>
  </si>
  <si>
    <t>(+829,4)</t>
  </si>
  <si>
    <t>(-106,9)(-506,4)(-25,0)(-735)(+196,4)(-21,1)(-99,7)(+48,9)</t>
  </si>
  <si>
    <t>(-1141,9)</t>
  </si>
  <si>
    <t>(-10)(-48,9)(-28,6)</t>
  </si>
  <si>
    <t>(-87,5)</t>
  </si>
  <si>
    <t>(+28,6)</t>
  </si>
  <si>
    <t>(+15)(+10)(-1055,8)</t>
  </si>
  <si>
    <t>(-1030,8)</t>
  </si>
  <si>
    <t>(+258,2)</t>
  </si>
  <si>
    <t>(+348,4)(+1023,6)(+1718,1)(+797,6)</t>
  </si>
  <si>
    <t>(+2169,6)</t>
  </si>
  <si>
    <t>(-195)</t>
  </si>
  <si>
    <t>(+70)</t>
  </si>
  <si>
    <t>(-41,3)(-15)(+125)</t>
  </si>
  <si>
    <t>(+68,7)</t>
  </si>
  <si>
    <t>(-26)</t>
  </si>
  <si>
    <t>(+26)</t>
  </si>
  <si>
    <t>(-233)</t>
  </si>
  <si>
    <t>(+118,2)(+54)(+233)</t>
  </si>
  <si>
    <t>(+405,2)</t>
  </si>
  <si>
    <t>(+25,1)</t>
  </si>
  <si>
    <t>(-296,3)</t>
  </si>
  <si>
    <t>(+11,10)</t>
  </si>
  <si>
    <t>(+10230,9)(-1562,1)</t>
  </si>
  <si>
    <t>(+8668,8)</t>
  </si>
  <si>
    <t>(-7 695,7)(+7695,7)(-2019,6)</t>
  </si>
  <si>
    <t>(-2019,6)</t>
  </si>
  <si>
    <t>(-7 019,16)(+4319,2)(-1114,9)</t>
  </si>
  <si>
    <t>(-1114,9)</t>
  </si>
  <si>
    <t>(-7019,2)(+2700)(+1480)(+2839,2)(-1114,9)</t>
  </si>
  <si>
    <t>(-7695,7)(+1702,7)(+5993)(-2019,6)</t>
  </si>
  <si>
    <t>(-1562,1)</t>
  </si>
  <si>
    <t>(+662)</t>
  </si>
  <si>
    <t>(+25,5)</t>
  </si>
  <si>
    <t>(+16,7)(-62,9)</t>
  </si>
  <si>
    <t>(-46,2)</t>
  </si>
  <si>
    <t>(-16,7)(+74)</t>
  </si>
  <si>
    <t>(+57,3)</t>
  </si>
  <si>
    <t>(-186,9)</t>
  </si>
  <si>
    <t>(-109,4)</t>
  </si>
  <si>
    <t>от 14.11.2019г. № 37</t>
  </si>
  <si>
    <t xml:space="preserve">                                                                                                         от 14.11.2019г. № 37</t>
  </si>
  <si>
    <t xml:space="preserve">                                                                                                      к решению СПОГО</t>
  </si>
  <si>
    <t xml:space="preserve">                                                                                                 Приложение № 1</t>
  </si>
  <si>
    <t>от 14.11.2019г. №37</t>
  </si>
  <si>
    <t xml:space="preserve">                 от 14.11.2019г. № 37</t>
  </si>
  <si>
    <t xml:space="preserve">                к решению СПОГО</t>
  </si>
  <si>
    <t xml:space="preserve"> от 14.11.2019г. № 37</t>
  </si>
  <si>
    <t xml:space="preserve">        к решению СПОГО</t>
  </si>
  <si>
    <t xml:space="preserve">           Приложение № 4</t>
  </si>
  <si>
    <t xml:space="preserve">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</si>
</sst>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4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theme="3" tint="0.39998000860214233"/>
      </top>
      <bottom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5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5" fontId="12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9" fillId="0" borderId="0" xfId="20" applyFont="1" applyFill="1">
      <alignment/>
      <protection/>
    </xf>
    <xf numFmtId="4" fontId="13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/>
      <protection/>
    </xf>
    <xf numFmtId="1" fontId="9" fillId="0" borderId="0" xfId="20" applyNumberFormat="1" applyFont="1" applyFill="1">
      <alignment/>
      <protection/>
    </xf>
    <xf numFmtId="2" fontId="9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1" xfId="2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7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 horizontal="center"/>
      <protection/>
    </xf>
    <xf numFmtId="165" fontId="9" fillId="0" borderId="0" xfId="20" applyNumberFormat="1" applyFont="1" applyFill="1">
      <alignment/>
      <protection/>
    </xf>
    <xf numFmtId="2" fontId="14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9" fillId="0" borderId="1" xfId="20" applyNumberFormat="1" applyFont="1" applyFill="1" applyBorder="1" applyAlignment="1">
      <alignment horizontal="center" vertical="center"/>
      <protection/>
    </xf>
    <xf numFmtId="49" fontId="18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18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8" xfId="20" applyNumberFormat="1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/>
    <xf numFmtId="0" fontId="8" fillId="0" borderId="9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2" fillId="5" borderId="1" xfId="20" applyNumberFormat="1" applyFont="1" applyFill="1" applyBorder="1" applyAlignment="1">
      <alignment horizontal="center" vertical="center"/>
      <protection/>
    </xf>
    <xf numFmtId="49" fontId="2" fillId="0" borderId="14" xfId="20" applyNumberFormat="1" applyFont="1" applyFill="1" applyBorder="1" applyAlignment="1">
      <alignment horizontal="center" vertical="center"/>
      <protection/>
    </xf>
    <xf numFmtId="165" fontId="2" fillId="5" borderId="1" xfId="20" applyNumberFormat="1" applyFont="1" applyFill="1" applyBorder="1" applyAlignment="1">
      <alignment horizontal="center" vertical="center" wrapText="1"/>
      <protection/>
    </xf>
    <xf numFmtId="165" fontId="2" fillId="5" borderId="2" xfId="20" applyNumberFormat="1" applyFont="1" applyFill="1" applyBorder="1" applyAlignment="1" applyProtection="1">
      <alignment horizontal="center" vertical="center" shrinkToFit="1"/>
      <protection locked="0"/>
    </xf>
    <xf numFmtId="165" fontId="2" fillId="5" borderId="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5" fontId="2" fillId="6" borderId="1" xfId="20" applyNumberFormat="1" applyFont="1" applyFill="1" applyBorder="1" applyAlignment="1">
      <alignment horizontal="center" vertical="center" wrapText="1"/>
      <protection/>
    </xf>
    <xf numFmtId="165" fontId="2" fillId="7" borderId="1" xfId="20" applyNumberFormat="1" applyFont="1" applyFill="1" applyBorder="1" applyAlignment="1">
      <alignment horizontal="center" vertical="center"/>
      <protection/>
    </xf>
    <xf numFmtId="0" fontId="2" fillId="6" borderId="1" xfId="20" applyFont="1" applyFill="1" applyBorder="1" applyAlignment="1">
      <alignment vertical="center" wrapText="1"/>
      <protection/>
    </xf>
    <xf numFmtId="49" fontId="2" fillId="0" borderId="14" xfId="20" applyNumberFormat="1" applyFont="1" applyFill="1" applyBorder="1" applyAlignment="1">
      <alignment horizontal="left" vertical="center"/>
      <protection/>
    </xf>
    <xf numFmtId="165" fontId="2" fillId="6" borderId="1" xfId="20" applyNumberFormat="1" applyFont="1" applyFill="1" applyBorder="1" applyAlignment="1">
      <alignment horizontal="center" vertical="center"/>
      <protection/>
    </xf>
    <xf numFmtId="165" fontId="2" fillId="6" borderId="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3" fillId="0" borderId="0" xfId="20" applyNumberFormat="1" applyFont="1" applyFill="1" applyBorder="1" applyAlignment="1">
      <alignment horizontal="center" vertical="center"/>
      <protection/>
    </xf>
    <xf numFmtId="49" fontId="23" fillId="0" borderId="8" xfId="20" applyNumberFormat="1" applyFont="1" applyFill="1" applyBorder="1" applyAlignment="1">
      <alignment horizontal="center" vertical="center"/>
      <protection/>
    </xf>
    <xf numFmtId="0" fontId="24" fillId="8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5" fillId="0" borderId="0" xfId="0" applyNumberFormat="1" applyFont="1" applyFill="1"/>
    <xf numFmtId="0" fontId="1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17" fillId="0" borderId="1" xfId="20" applyNumberFormat="1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" fontId="2" fillId="0" borderId="1" xfId="2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165" fontId="2" fillId="0" borderId="8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top" wrapText="1"/>
    </xf>
    <xf numFmtId="0" fontId="34" fillId="0" borderId="0" xfId="0" applyFont="1"/>
    <xf numFmtId="165" fontId="28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justify" wrapText="1"/>
    </xf>
    <xf numFmtId="0" fontId="2" fillId="0" borderId="9" xfId="20" applyNumberFormat="1" applyFont="1" applyFill="1" applyBorder="1" applyAlignment="1">
      <alignment horizontal="left" vertical="top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165" fontId="12" fillId="0" borderId="4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left" vertical="top" wrapText="1"/>
      <protection/>
    </xf>
    <xf numFmtId="0" fontId="1" fillId="0" borderId="0" xfId="20" applyNumberFormat="1" applyFill="1">
      <alignment/>
      <protection/>
    </xf>
    <xf numFmtId="49" fontId="2" fillId="0" borderId="1" xfId="20" applyNumberFormat="1" applyFont="1" applyFill="1" applyBorder="1" applyAlignment="1">
      <alignment horizontal="left" vertical="center" wrapText="1"/>
      <protection/>
    </xf>
    <xf numFmtId="0" fontId="34" fillId="0" borderId="0" xfId="0" applyNumberFormat="1" applyFont="1" applyFill="1"/>
    <xf numFmtId="165" fontId="34" fillId="0" borderId="0" xfId="0" applyNumberFormat="1" applyFont="1" applyFill="1"/>
    <xf numFmtId="165" fontId="13" fillId="0" borderId="1" xfId="20" applyNumberFormat="1" applyFont="1" applyFill="1" applyBorder="1" applyAlignment="1">
      <alignment horizontal="center" vertical="center"/>
      <protection/>
    </xf>
    <xf numFmtId="0" fontId="34" fillId="0" borderId="0" xfId="0" applyNumberFormat="1" applyFont="1" applyFill="1"/>
    <xf numFmtId="0" fontId="15" fillId="0" borderId="0" xfId="0" applyFont="1" applyFill="1" applyAlignment="1">
      <alignment horizontal="center" vertical="center" wrapText="1"/>
    </xf>
    <xf numFmtId="165" fontId="12" fillId="0" borderId="1" xfId="20" applyNumberFormat="1" applyFont="1" applyFill="1" applyBorder="1" applyAlignment="1">
      <alignment horizontal="center" vertical="center"/>
      <protection/>
    </xf>
    <xf numFmtId="0" fontId="0" fillId="9" borderId="0" xfId="0" applyFill="1"/>
    <xf numFmtId="0" fontId="0" fillId="0" borderId="0" xfId="0" applyFill="1" applyAlignment="1">
      <alignment vertical="top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5" fontId="1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9" borderId="0" xfId="0" applyFill="1" applyBorder="1"/>
    <xf numFmtId="0" fontId="36" fillId="0" borderId="0" xfId="0" applyFont="1"/>
    <xf numFmtId="165" fontId="5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2" fillId="0" borderId="0" xfId="20" applyNumberFormat="1" applyFont="1" applyFill="1" applyBorder="1" applyAlignment="1">
      <alignment horizontal="center" vertical="center"/>
      <protection/>
    </xf>
    <xf numFmtId="49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" fillId="9" borderId="1" xfId="20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top"/>
    </xf>
    <xf numFmtId="49" fontId="0" fillId="0" borderId="0" xfId="0" applyNumberFormat="1" applyFill="1"/>
    <xf numFmtId="0" fontId="0" fillId="0" borderId="0" xfId="0" applyFill="1" applyBorder="1" applyAlignment="1">
      <alignment horizontal="left"/>
    </xf>
    <xf numFmtId="49" fontId="17" fillId="0" borderId="0" xfId="20" applyNumberFormat="1" applyFont="1" applyFill="1" applyBorder="1" applyAlignment="1">
      <alignment horizontal="center" vertical="center"/>
      <protection/>
    </xf>
    <xf numFmtId="49" fontId="17" fillId="0" borderId="16" xfId="20" applyNumberFormat="1" applyFont="1" applyFill="1" applyBorder="1" applyAlignment="1">
      <alignment horizontal="center" vertical="center"/>
      <protection/>
    </xf>
    <xf numFmtId="0" fontId="0" fillId="0" borderId="16" xfId="0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4" fillId="0" borderId="0" xfId="0" applyFont="1" applyFill="1"/>
    <xf numFmtId="0" fontId="0" fillId="0" borderId="17" xfId="0" applyFill="1" applyBorder="1"/>
    <xf numFmtId="49" fontId="17" fillId="0" borderId="17" xfId="20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vertical="top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top"/>
    </xf>
    <xf numFmtId="0" fontId="17" fillId="9" borderId="1" xfId="20" applyFont="1" applyFill="1" applyBorder="1" applyAlignment="1">
      <alignment horizontal="center" vertical="center" wrapText="1"/>
      <protection/>
    </xf>
    <xf numFmtId="49" fontId="17" fillId="9" borderId="1" xfId="20" applyNumberFormat="1" applyFont="1" applyFill="1" applyBorder="1" applyAlignment="1">
      <alignment horizontal="center" vertical="center"/>
      <protection/>
    </xf>
    <xf numFmtId="165" fontId="2" fillId="9" borderId="1" xfId="20" applyNumberFormat="1" applyFont="1" applyFill="1" applyBorder="1" applyAlignment="1">
      <alignment horizontal="center" vertical="center" wrapText="1"/>
      <protection/>
    </xf>
    <xf numFmtId="165" fontId="2" fillId="9" borderId="1" xfId="20" applyNumberFormat="1" applyFont="1" applyFill="1" applyBorder="1" applyAlignment="1">
      <alignment horizontal="center" vertical="center"/>
      <protection/>
    </xf>
    <xf numFmtId="0" fontId="9" fillId="9" borderId="0" xfId="0" applyFont="1" applyFill="1"/>
    <xf numFmtId="0" fontId="3" fillId="9" borderId="0" xfId="0" applyFont="1" applyFill="1" applyAlignment="1">
      <alignment horizontal="center" vertical="center" wrapText="1"/>
    </xf>
    <xf numFmtId="0" fontId="3" fillId="9" borderId="0" xfId="20" applyFont="1" applyFill="1" applyAlignment="1">
      <alignment horizontal="center" wrapText="1"/>
      <protection/>
    </xf>
    <xf numFmtId="0" fontId="26" fillId="9" borderId="0" xfId="0" applyFont="1" applyFill="1" applyAlignment="1">
      <alignment horizontal="center"/>
    </xf>
    <xf numFmtId="0" fontId="18" fillId="9" borderId="1" xfId="0" applyFont="1" applyFill="1" applyBorder="1" applyAlignment="1">
      <alignment horizontal="center" vertical="center" wrapText="1"/>
    </xf>
    <xf numFmtId="0" fontId="2" fillId="9" borderId="1" xfId="20" applyFont="1" applyFill="1" applyBorder="1" applyAlignment="1">
      <alignment horizontal="center" vertical="center" wrapText="1"/>
      <protection/>
    </xf>
    <xf numFmtId="0" fontId="2" fillId="9" borderId="1" xfId="20" applyFont="1" applyFill="1" applyBorder="1" applyAlignment="1">
      <alignment horizontal="center" vertical="center"/>
      <protection/>
    </xf>
    <xf numFmtId="3" fontId="2" fillId="9" borderId="1" xfId="20" applyNumberFormat="1" applyFont="1" applyFill="1" applyBorder="1" applyAlignment="1">
      <alignment horizontal="center" vertical="center" wrapText="1"/>
      <protection/>
    </xf>
    <xf numFmtId="0" fontId="3" fillId="9" borderId="1" xfId="20" applyFont="1" applyFill="1" applyBorder="1" applyAlignment="1">
      <alignment horizontal="center" vertical="center" wrapText="1"/>
      <protection/>
    </xf>
    <xf numFmtId="0" fontId="27" fillId="9" borderId="1" xfId="20" applyFont="1" applyFill="1" applyBorder="1" applyAlignment="1">
      <alignment horizontal="center" vertical="center" wrapText="1"/>
      <protection/>
    </xf>
    <xf numFmtId="165" fontId="3" fillId="9" borderId="1" xfId="20" applyNumberFormat="1" applyFont="1" applyFill="1" applyBorder="1" applyAlignment="1">
      <alignment horizontal="center" vertical="center" wrapText="1"/>
      <protection/>
    </xf>
    <xf numFmtId="0" fontId="3" fillId="9" borderId="1" xfId="20" applyFont="1" applyFill="1" applyBorder="1" applyAlignment="1">
      <alignment vertical="center" wrapText="1"/>
      <protection/>
    </xf>
    <xf numFmtId="49" fontId="27" fillId="9" borderId="1" xfId="20" applyNumberFormat="1" applyFont="1" applyFill="1" applyBorder="1" applyAlignment="1">
      <alignment horizontal="center" vertical="center"/>
      <protection/>
    </xf>
    <xf numFmtId="49" fontId="17" fillId="9" borderId="8" xfId="20" applyNumberFormat="1" applyFont="1" applyFill="1" applyBorder="1" applyAlignment="1">
      <alignment horizontal="center" vertical="center"/>
      <protection/>
    </xf>
    <xf numFmtId="49" fontId="17" fillId="9" borderId="8" xfId="20" applyNumberFormat="1" applyFont="1" applyFill="1" applyBorder="1" applyAlignment="1">
      <alignment horizontal="left" vertical="center"/>
      <protection/>
    </xf>
    <xf numFmtId="165" fontId="0" fillId="9" borderId="0" xfId="0" applyNumberFormat="1" applyFill="1"/>
    <xf numFmtId="0" fontId="2" fillId="9" borderId="1" xfId="0" applyFont="1" applyFill="1" applyBorder="1" applyAlignment="1">
      <alignment vertical="center" wrapText="1"/>
    </xf>
    <xf numFmtId="0" fontId="1" fillId="9" borderId="0" xfId="20" applyFill="1">
      <alignment/>
      <protection/>
    </xf>
    <xf numFmtId="0" fontId="9" fillId="9" borderId="0" xfId="20" applyFont="1" applyFill="1">
      <alignment/>
      <protection/>
    </xf>
    <xf numFmtId="0" fontId="13" fillId="9" borderId="0" xfId="20" applyFont="1" applyFill="1" applyAlignment="1">
      <alignment horizontal="center"/>
      <protection/>
    </xf>
    <xf numFmtId="4" fontId="13" fillId="9" borderId="0" xfId="20" applyNumberFormat="1" applyFont="1" applyFill="1" applyAlignment="1">
      <alignment horizontal="center"/>
      <protection/>
    </xf>
    <xf numFmtId="2" fontId="0" fillId="9" borderId="0" xfId="0" applyNumberFormat="1" applyFill="1"/>
    <xf numFmtId="0" fontId="9" fillId="9" borderId="0" xfId="20" applyFont="1" applyFill="1" applyAlignment="1">
      <alignment/>
      <protection/>
    </xf>
    <xf numFmtId="165" fontId="9" fillId="9" borderId="0" xfId="20" applyNumberFormat="1" applyFont="1" applyFill="1">
      <alignment/>
      <protection/>
    </xf>
    <xf numFmtId="4" fontId="9" fillId="9" borderId="0" xfId="20" applyNumberFormat="1" applyFont="1" applyFill="1">
      <alignment/>
      <protection/>
    </xf>
    <xf numFmtId="1" fontId="9" fillId="9" borderId="0" xfId="20" applyNumberFormat="1" applyFont="1" applyFill="1">
      <alignment/>
      <protection/>
    </xf>
    <xf numFmtId="2" fontId="9" fillId="9" borderId="0" xfId="20" applyNumberFormat="1" applyFont="1" applyFill="1">
      <alignment/>
      <protection/>
    </xf>
    <xf numFmtId="2" fontId="14" fillId="9" borderId="0" xfId="20" applyNumberFormat="1" applyFont="1" applyFill="1">
      <alignment/>
      <protection/>
    </xf>
    <xf numFmtId="49" fontId="39" fillId="0" borderId="1" xfId="20" applyNumberFormat="1" applyFont="1" applyFill="1" applyBorder="1" applyAlignment="1">
      <alignment horizontal="center" vertical="center"/>
      <protection/>
    </xf>
    <xf numFmtId="0" fontId="26" fillId="0" borderId="0" xfId="0" applyNumberFormat="1" applyFont="1" applyFill="1" applyAlignment="1">
      <alignment horizontal="center" vertical="center"/>
    </xf>
    <xf numFmtId="0" fontId="17" fillId="0" borderId="0" xfId="20" applyNumberFormat="1" applyFont="1" applyFill="1" applyAlignment="1">
      <alignment horizontal="center" vertical="center"/>
      <protection/>
    </xf>
    <xf numFmtId="0" fontId="26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17" fillId="0" borderId="0" xfId="20" applyNumberFormat="1" applyFont="1" applyFill="1" applyAlignment="1">
      <alignment horizontal="center"/>
      <protection/>
    </xf>
    <xf numFmtId="49" fontId="2" fillId="9" borderId="1" xfId="20" applyNumberFormat="1" applyFont="1" applyFill="1" applyBorder="1" applyAlignment="1">
      <alignment horizontal="center" vertical="center"/>
      <protection/>
    </xf>
    <xf numFmtId="49" fontId="17" fillId="6" borderId="8" xfId="20" applyNumberFormat="1" applyFont="1" applyFill="1" applyBorder="1" applyAlignment="1">
      <alignment horizontal="left" vertical="center"/>
      <protection/>
    </xf>
    <xf numFmtId="49" fontId="17" fillId="10" borderId="8" xfId="20" applyNumberFormat="1" applyFont="1" applyFill="1" applyBorder="1" applyAlignment="1">
      <alignment horizontal="left" vertical="center"/>
      <protection/>
    </xf>
    <xf numFmtId="165" fontId="2" fillId="0" borderId="0" xfId="20" applyNumberFormat="1" applyFont="1" applyFill="1" applyBorder="1" applyAlignment="1">
      <alignment horizontal="left" vertical="center"/>
      <protection/>
    </xf>
    <xf numFmtId="49" fontId="17" fillId="0" borderId="8" xfId="20" applyNumberFormat="1" applyFont="1" applyFill="1" applyBorder="1" applyAlignment="1">
      <alignment horizontal="left" vertical="center"/>
      <protection/>
    </xf>
    <xf numFmtId="49" fontId="17" fillId="0" borderId="0" xfId="20" applyNumberFormat="1" applyFont="1" applyFill="1" applyBorder="1" applyAlignment="1">
      <alignment horizontal="left" vertical="center"/>
      <protection/>
    </xf>
    <xf numFmtId="165" fontId="0" fillId="0" borderId="0" xfId="0" applyNumberFormat="1" applyFill="1" applyBorder="1" applyAlignment="1">
      <alignment horizontal="left"/>
    </xf>
    <xf numFmtId="49" fontId="17" fillId="0" borderId="0" xfId="20" applyNumberFormat="1" applyFont="1" applyFill="1" applyBorder="1" applyAlignment="1">
      <alignment horizontal="left" vertical="center" wrapText="1"/>
      <protection/>
    </xf>
    <xf numFmtId="165" fontId="2" fillId="0" borderId="0" xfId="20" applyNumberFormat="1" applyFont="1" applyFill="1" applyBorder="1" applyAlignment="1">
      <alignment horizontal="left" vertical="center" wrapText="1"/>
      <protection/>
    </xf>
    <xf numFmtId="49" fontId="1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49" fontId="17" fillId="9" borderId="14" xfId="20" applyNumberFormat="1" applyFont="1" applyFill="1" applyBorder="1" applyAlignment="1">
      <alignment horizontal="left" vertical="center"/>
      <protection/>
    </xf>
    <xf numFmtId="165" fontId="2" fillId="9" borderId="0" xfId="20" applyNumberFormat="1" applyFont="1" applyFill="1" applyBorder="1" applyAlignment="1">
      <alignment horizontal="left" vertical="center"/>
      <protection/>
    </xf>
    <xf numFmtId="49" fontId="17" fillId="10" borderId="0" xfId="20" applyNumberFormat="1" applyFont="1" applyFill="1" applyBorder="1" applyAlignment="1">
      <alignment horizontal="left" vertical="center"/>
      <protection/>
    </xf>
    <xf numFmtId="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9" borderId="0" xfId="0" applyFont="1" applyFill="1" applyAlignment="1">
      <alignment horizontal="left"/>
    </xf>
    <xf numFmtId="49" fontId="18" fillId="9" borderId="8" xfId="20" applyNumberFormat="1" applyFont="1" applyFill="1" applyBorder="1" applyAlignment="1">
      <alignment horizontal="left" vertical="center"/>
      <protection/>
    </xf>
    <xf numFmtId="165" fontId="0" fillId="9" borderId="0" xfId="0" applyNumberFormat="1" applyFont="1" applyFill="1" applyAlignment="1">
      <alignment horizontal="left"/>
    </xf>
    <xf numFmtId="165" fontId="18" fillId="9" borderId="8" xfId="20" applyNumberFormat="1" applyFont="1" applyFill="1" applyBorder="1" applyAlignment="1">
      <alignment horizontal="left" vertical="center"/>
      <protection/>
    </xf>
    <xf numFmtId="49" fontId="18" fillId="9" borderId="8" xfId="0" applyNumberFormat="1" applyFont="1" applyFill="1" applyBorder="1" applyAlignment="1">
      <alignment horizontal="left" vertical="center" wrapText="1"/>
    </xf>
    <xf numFmtId="49" fontId="18" fillId="9" borderId="8" xfId="0" applyNumberFormat="1" applyFont="1" applyFill="1" applyBorder="1" applyAlignment="1">
      <alignment horizontal="left" vertical="center"/>
    </xf>
    <xf numFmtId="49" fontId="18" fillId="9" borderId="0" xfId="0" applyNumberFormat="1" applyFont="1" applyFill="1" applyBorder="1" applyAlignment="1">
      <alignment horizontal="left" vertical="center"/>
    </xf>
    <xf numFmtId="165" fontId="18" fillId="9" borderId="8" xfId="20" applyNumberFormat="1" applyFont="1" applyFill="1" applyBorder="1" applyAlignment="1">
      <alignment horizontal="left" vertical="center" wrapText="1"/>
      <protection/>
    </xf>
    <xf numFmtId="165" fontId="18" fillId="9" borderId="0" xfId="20" applyNumberFormat="1" applyFont="1" applyFill="1" applyBorder="1" applyAlignment="1">
      <alignment horizontal="left" vertical="center" wrapText="1"/>
      <protection/>
    </xf>
    <xf numFmtId="165" fontId="18" fillId="0" borderId="0" xfId="20" applyNumberFormat="1" applyFont="1" applyFill="1" applyBorder="1" applyAlignment="1">
      <alignment horizontal="left" vertical="center" wrapText="1"/>
      <protection/>
    </xf>
    <xf numFmtId="49" fontId="18" fillId="9" borderId="0" xfId="20" applyNumberFormat="1" applyFont="1" applyFill="1" applyBorder="1" applyAlignment="1">
      <alignment horizontal="left" vertical="center"/>
      <protection/>
    </xf>
    <xf numFmtId="165" fontId="18" fillId="0" borderId="8" xfId="20" applyNumberFormat="1" applyFont="1" applyFill="1" applyBorder="1" applyAlignment="1">
      <alignment horizontal="left" vertical="center"/>
      <protection/>
    </xf>
    <xf numFmtId="49" fontId="18" fillId="9" borderId="14" xfId="20" applyNumberFormat="1" applyFont="1" applyFill="1" applyBorder="1" applyAlignment="1">
      <alignment horizontal="left" vertical="center"/>
      <protection/>
    </xf>
    <xf numFmtId="165" fontId="18" fillId="9" borderId="0" xfId="20" applyNumberFormat="1" applyFont="1" applyFill="1" applyBorder="1" applyAlignment="1">
      <alignment horizontal="left" vertical="center"/>
      <protection/>
    </xf>
    <xf numFmtId="2" fontId="0" fillId="9" borderId="0" xfId="0" applyNumberFormat="1" applyFont="1" applyFill="1" applyAlignment="1">
      <alignment horizontal="left"/>
    </xf>
    <xf numFmtId="4" fontId="0" fillId="9" borderId="0" xfId="0" applyNumberFormat="1" applyFont="1" applyFill="1" applyAlignment="1">
      <alignment horizontal="left"/>
    </xf>
    <xf numFmtId="0" fontId="17" fillId="0" borderId="1" xfId="20" applyFont="1" applyFill="1" applyBorder="1" applyAlignment="1">
      <alignment horizontal="center" vertical="center" wrapText="1"/>
      <protection/>
    </xf>
    <xf numFmtId="165" fontId="13" fillId="0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/>
    <xf numFmtId="165" fontId="26" fillId="0" borderId="0" xfId="0" applyNumberFormat="1" applyFont="1" applyFill="1"/>
    <xf numFmtId="0" fontId="40" fillId="0" borderId="0" xfId="0" applyNumberFormat="1" applyFont="1" applyFill="1"/>
    <xf numFmtId="0" fontId="41" fillId="0" borderId="0" xfId="0" applyNumberFormat="1" applyFont="1" applyFill="1"/>
    <xf numFmtId="0" fontId="17" fillId="0" borderId="0" xfId="20" applyNumberFormat="1" applyFont="1" applyFill="1">
      <alignment/>
      <protection/>
    </xf>
    <xf numFmtId="0" fontId="2" fillId="0" borderId="0" xfId="20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left"/>
    </xf>
    <xf numFmtId="0" fontId="27" fillId="0" borderId="1" xfId="20" applyFont="1" applyFill="1" applyBorder="1" applyAlignment="1">
      <alignment horizontal="center" vertical="center" wrapText="1"/>
      <protection/>
    </xf>
    <xf numFmtId="49" fontId="27" fillId="0" borderId="1" xfId="20" applyNumberFormat="1" applyFont="1" applyFill="1" applyBorder="1" applyAlignment="1">
      <alignment horizontal="center" vertical="center"/>
      <protection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left" vertical="top" wrapText="1"/>
      <protection/>
    </xf>
    <xf numFmtId="165" fontId="11" fillId="0" borderId="1" xfId="20" applyNumberFormat="1" applyFont="1" applyFill="1" applyBorder="1" applyAlignment="1">
      <alignment horizontal="center" vertical="center" wrapText="1"/>
      <protection/>
    </xf>
    <xf numFmtId="0" fontId="27" fillId="0" borderId="1" xfId="20" applyFont="1" applyFill="1" applyBorder="1" applyAlignment="1">
      <alignment horizontal="center" vertical="center"/>
      <protection/>
    </xf>
    <xf numFmtId="0" fontId="3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/>
    </xf>
    <xf numFmtId="1" fontId="27" fillId="0" borderId="1" xfId="20" applyNumberFormat="1" applyFont="1" applyFill="1" applyBorder="1" applyAlignment="1">
      <alignment vertical="center" wrapText="1"/>
      <protection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center"/>
    </xf>
    <xf numFmtId="0" fontId="38" fillId="0" borderId="9" xfId="0" applyFont="1" applyFill="1" applyBorder="1" applyAlignment="1">
      <alignment horizontal="right" wrapText="1"/>
    </xf>
    <xf numFmtId="0" fontId="38" fillId="0" borderId="3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9" borderId="0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 vertical="center" wrapText="1"/>
    </xf>
    <xf numFmtId="165" fontId="2" fillId="0" borderId="0" xfId="20" applyNumberFormat="1" applyFont="1" applyFill="1" applyBorder="1" applyAlignment="1">
      <alignment horizontal="left" vertical="center"/>
      <protection/>
    </xf>
    <xf numFmtId="49" fontId="17" fillId="0" borderId="8" xfId="20" applyNumberFormat="1" applyFont="1" applyFill="1" applyBorder="1" applyAlignment="1">
      <alignment horizontal="left" vertical="center"/>
      <protection/>
    </xf>
    <xf numFmtId="49" fontId="17" fillId="0" borderId="0" xfId="20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2" fillId="0" borderId="0" xfId="20" applyFont="1" applyFill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49" fontId="13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Процентный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view="pageBreakPreview" zoomScale="90" zoomScaleSheetLayoutView="90" workbookViewId="0" topLeftCell="A1">
      <selection activeCell="L162" sqref="L162"/>
    </sheetView>
  </sheetViews>
  <sheetFormatPr defaultColWidth="9.140625" defaultRowHeight="15"/>
  <cols>
    <col min="1" max="1" width="25.140625" style="152" customWidth="1"/>
    <col min="2" max="2" width="77.57421875" style="152" customWidth="1"/>
    <col min="3" max="8" width="15.421875" style="152" hidden="1" customWidth="1"/>
    <col min="9" max="9" width="15.28125" style="152" customWidth="1"/>
    <col min="10" max="10" width="9.7109375" style="330" hidden="1" customWidth="1"/>
    <col min="11" max="11" width="12.57421875" style="370" hidden="1" customWidth="1"/>
    <col min="12" max="12" width="11.8515625" style="152" customWidth="1"/>
    <col min="13" max="13" width="12.57421875" style="152" customWidth="1"/>
    <col min="14" max="14" width="11.8515625" style="152" customWidth="1"/>
    <col min="15" max="15" width="15.00390625" style="152" customWidth="1"/>
    <col min="16" max="16" width="15.8515625" style="152" customWidth="1"/>
    <col min="17" max="17" width="9.140625" style="152" customWidth="1"/>
    <col min="18" max="18" width="17.00390625" style="152" customWidth="1"/>
    <col min="19" max="16384" width="9.140625" style="152" customWidth="1"/>
  </cols>
  <sheetData>
    <row r="1" spans="2:9" ht="18.75">
      <c r="B1" s="430" t="s">
        <v>1251</v>
      </c>
      <c r="C1" s="430"/>
      <c r="D1" s="430"/>
      <c r="E1" s="430"/>
      <c r="F1" s="430"/>
      <c r="G1" s="430"/>
      <c r="H1" s="430"/>
      <c r="I1" s="430"/>
    </row>
    <row r="2" spans="2:9" ht="18.75">
      <c r="B2" s="430" t="s">
        <v>1250</v>
      </c>
      <c r="C2" s="430"/>
      <c r="D2" s="430"/>
      <c r="E2" s="430"/>
      <c r="F2" s="430"/>
      <c r="G2" s="430"/>
      <c r="H2" s="430"/>
      <c r="I2" s="430"/>
    </row>
    <row r="3" spans="2:9" ht="18.75" customHeight="1">
      <c r="B3" s="429" t="s">
        <v>1249</v>
      </c>
      <c r="C3" s="428"/>
      <c r="D3" s="428"/>
      <c r="E3" s="428"/>
      <c r="F3" s="428"/>
      <c r="G3" s="428"/>
      <c r="H3" s="428"/>
      <c r="I3" s="428"/>
    </row>
    <row r="4" spans="2:9" ht="15.75">
      <c r="B4" s="154"/>
      <c r="C4" s="154"/>
      <c r="D4" s="154"/>
      <c r="E4" s="154"/>
      <c r="F4" s="154"/>
      <c r="G4" s="154"/>
      <c r="H4" s="154"/>
      <c r="I4" s="154"/>
    </row>
    <row r="5" spans="1:9" ht="15.75">
      <c r="A5" s="401" t="s">
        <v>1</v>
      </c>
      <c r="B5" s="401"/>
      <c r="C5" s="401"/>
      <c r="D5" s="401"/>
      <c r="E5" s="401"/>
      <c r="F5" s="401"/>
      <c r="G5" s="401"/>
      <c r="H5" s="401"/>
      <c r="I5" s="401"/>
    </row>
    <row r="6" spans="1:9" ht="15.75">
      <c r="A6" s="401" t="s">
        <v>2</v>
      </c>
      <c r="B6" s="401"/>
      <c r="C6" s="401"/>
      <c r="D6" s="401"/>
      <c r="E6" s="401"/>
      <c r="F6" s="401"/>
      <c r="G6" s="401"/>
      <c r="H6" s="401"/>
      <c r="I6" s="401"/>
    </row>
    <row r="7" spans="1:9" ht="15.75">
      <c r="A7" s="401" t="s">
        <v>999</v>
      </c>
      <c r="B7" s="401"/>
      <c r="C7" s="401"/>
      <c r="D7" s="401"/>
      <c r="E7" s="401"/>
      <c r="F7" s="401"/>
      <c r="G7" s="401"/>
      <c r="H7" s="401"/>
      <c r="I7" s="401"/>
    </row>
    <row r="8" spans="1:9" ht="15.75">
      <c r="A8" s="155"/>
      <c r="B8" s="155"/>
      <c r="C8" s="209"/>
      <c r="D8" s="209"/>
      <c r="E8" s="209"/>
      <c r="F8" s="209"/>
      <c r="G8" s="209"/>
      <c r="H8" s="209"/>
      <c r="I8" s="153" t="s">
        <v>763</v>
      </c>
    </row>
    <row r="9" spans="1:9" ht="47.25">
      <c r="A9" s="156" t="s">
        <v>4</v>
      </c>
      <c r="B9" s="157" t="s">
        <v>5</v>
      </c>
      <c r="C9" s="210" t="s">
        <v>6</v>
      </c>
      <c r="D9" s="210" t="s">
        <v>862</v>
      </c>
      <c r="E9" s="210" t="s">
        <v>841</v>
      </c>
      <c r="F9" s="210" t="s">
        <v>861</v>
      </c>
      <c r="G9" s="210" t="s">
        <v>858</v>
      </c>
      <c r="H9" s="210" t="s">
        <v>859</v>
      </c>
      <c r="I9" s="284" t="s">
        <v>998</v>
      </c>
    </row>
    <row r="10" spans="1:9" ht="15.75">
      <c r="A10" s="156">
        <v>1</v>
      </c>
      <c r="B10" s="157">
        <v>2</v>
      </c>
      <c r="C10" s="157">
        <v>3</v>
      </c>
      <c r="D10" s="157">
        <v>4</v>
      </c>
      <c r="E10" s="157">
        <v>5</v>
      </c>
      <c r="F10" s="157">
        <v>6</v>
      </c>
      <c r="G10" s="157">
        <v>7</v>
      </c>
      <c r="H10" s="157">
        <v>8</v>
      </c>
      <c r="I10" s="284">
        <v>3</v>
      </c>
    </row>
    <row r="11" spans="1:16" ht="18.75">
      <c r="A11" s="158" t="s">
        <v>7</v>
      </c>
      <c r="B11" s="159" t="s">
        <v>8</v>
      </c>
      <c r="C11" s="223">
        <f>C12+C18+C24+C33+C39+C45+C51+C58+C63+C68+C42+C85</f>
        <v>272834.3</v>
      </c>
      <c r="D11" s="223">
        <f aca="true" t="shared" si="0" ref="D11:I11">D12+D18+D24+D33+D39+D45+D51+D58+D63+D68+D42+D85</f>
        <v>208905.14299999998</v>
      </c>
      <c r="E11" s="223">
        <f t="shared" si="0"/>
        <v>264415.23333333334</v>
      </c>
      <c r="F11" s="223">
        <f t="shared" si="0"/>
        <v>294509.2</v>
      </c>
      <c r="G11" s="223">
        <f t="shared" si="0"/>
        <v>307411.89999999997</v>
      </c>
      <c r="H11" s="223">
        <f t="shared" si="0"/>
        <v>320557.25</v>
      </c>
      <c r="I11" s="223">
        <f t="shared" si="0"/>
        <v>299444.69000000006</v>
      </c>
      <c r="K11" s="371"/>
      <c r="M11" s="137"/>
      <c r="P11" s="137"/>
    </row>
    <row r="12" spans="1:16" ht="18.75">
      <c r="A12" s="160" t="s">
        <v>9</v>
      </c>
      <c r="B12" s="159" t="s">
        <v>10</v>
      </c>
      <c r="C12" s="223">
        <f aca="true" t="shared" si="1" ref="C12:I12">C13</f>
        <v>207151</v>
      </c>
      <c r="D12" s="223">
        <f t="shared" si="1"/>
        <v>150019.49999999997</v>
      </c>
      <c r="E12" s="223">
        <f t="shared" si="1"/>
        <v>200105.63333333333</v>
      </c>
      <c r="F12" s="223">
        <f t="shared" si="1"/>
        <v>231677</v>
      </c>
      <c r="G12" s="223">
        <f t="shared" si="1"/>
        <v>243260.4</v>
      </c>
      <c r="H12" s="223">
        <f t="shared" si="1"/>
        <v>255423.75</v>
      </c>
      <c r="I12" s="223">
        <f t="shared" si="1"/>
        <v>219098.30000000002</v>
      </c>
      <c r="J12" s="331"/>
      <c r="L12" s="137"/>
      <c r="M12" s="137"/>
      <c r="N12" s="137"/>
      <c r="O12" s="137"/>
      <c r="P12" s="137"/>
    </row>
    <row r="13" spans="1:16" ht="18.75">
      <c r="A13" s="161" t="s">
        <v>11</v>
      </c>
      <c r="B13" s="162" t="s">
        <v>12</v>
      </c>
      <c r="C13" s="223">
        <f aca="true" t="shared" si="2" ref="C13:I13">SUM(C14:C17)</f>
        <v>207151</v>
      </c>
      <c r="D13" s="223">
        <f t="shared" si="2"/>
        <v>150019.49999999997</v>
      </c>
      <c r="E13" s="223">
        <f t="shared" si="2"/>
        <v>200105.63333333333</v>
      </c>
      <c r="F13" s="223">
        <f t="shared" si="2"/>
        <v>231677</v>
      </c>
      <c r="G13" s="223">
        <f t="shared" si="2"/>
        <v>243260.4</v>
      </c>
      <c r="H13" s="223">
        <f t="shared" si="2"/>
        <v>255423.75</v>
      </c>
      <c r="I13" s="223">
        <f t="shared" si="2"/>
        <v>219098.30000000002</v>
      </c>
      <c r="J13" s="331"/>
      <c r="L13" s="137"/>
      <c r="M13" s="137"/>
      <c r="N13" s="137"/>
      <c r="O13" s="137"/>
      <c r="P13" s="137"/>
    </row>
    <row r="14" spans="1:10" ht="63">
      <c r="A14" s="284" t="s">
        <v>13</v>
      </c>
      <c r="B14" s="163" t="s">
        <v>14</v>
      </c>
      <c r="C14" s="224">
        <f>216801-10000</f>
        <v>206801</v>
      </c>
      <c r="D14" s="224">
        <v>149524.9</v>
      </c>
      <c r="E14" s="224">
        <f>D14/9*12</f>
        <v>199366.53333333333</v>
      </c>
      <c r="F14" s="224">
        <v>231300</v>
      </c>
      <c r="G14" s="224">
        <f>F14*1.05</f>
        <v>242865</v>
      </c>
      <c r="H14" s="224">
        <f>G14*1.05</f>
        <v>255008.25</v>
      </c>
      <c r="I14" s="224">
        <f>216613+780.5+480.6+801.2</f>
        <v>218675.30000000002</v>
      </c>
      <c r="J14" s="328"/>
    </row>
    <row r="15" spans="1:9" ht="94.5">
      <c r="A15" s="284" t="s">
        <v>15</v>
      </c>
      <c r="B15" s="164" t="s">
        <v>16</v>
      </c>
      <c r="C15" s="224">
        <v>2</v>
      </c>
      <c r="D15" s="224">
        <v>0.3</v>
      </c>
      <c r="E15" s="224">
        <v>0.5</v>
      </c>
      <c r="F15" s="224">
        <v>2</v>
      </c>
      <c r="G15" s="224">
        <v>2</v>
      </c>
      <c r="H15" s="224">
        <v>2</v>
      </c>
      <c r="I15" s="224">
        <v>3</v>
      </c>
    </row>
    <row r="16" spans="1:9" ht="36.75" customHeight="1">
      <c r="A16" s="284" t="s">
        <v>17</v>
      </c>
      <c r="B16" s="164" t="s">
        <v>18</v>
      </c>
      <c r="C16" s="224">
        <v>337</v>
      </c>
      <c r="D16" s="224">
        <v>494.3</v>
      </c>
      <c r="E16" s="224">
        <v>738.6</v>
      </c>
      <c r="F16" s="224">
        <v>369</v>
      </c>
      <c r="G16" s="224">
        <v>387.4</v>
      </c>
      <c r="H16" s="224">
        <v>407</v>
      </c>
      <c r="I16" s="224">
        <v>412</v>
      </c>
    </row>
    <row r="17" spans="1:9" ht="78.75">
      <c r="A17" s="284" t="s">
        <v>19</v>
      </c>
      <c r="B17" s="164" t="s">
        <v>20</v>
      </c>
      <c r="C17" s="224">
        <v>11</v>
      </c>
      <c r="D17" s="224">
        <v>0</v>
      </c>
      <c r="E17" s="224">
        <v>0</v>
      </c>
      <c r="F17" s="224">
        <v>6</v>
      </c>
      <c r="G17" s="224">
        <v>6</v>
      </c>
      <c r="H17" s="224">
        <v>6.5</v>
      </c>
      <c r="I17" s="224">
        <v>8</v>
      </c>
    </row>
    <row r="18" spans="1:9" ht="31.5">
      <c r="A18" s="165" t="s">
        <v>21</v>
      </c>
      <c r="B18" s="166" t="s">
        <v>22</v>
      </c>
      <c r="C18" s="223">
        <f aca="true" t="shared" si="3" ref="C18:I18">C19</f>
        <v>3358</v>
      </c>
      <c r="D18" s="223">
        <f t="shared" si="3"/>
        <v>2843.589</v>
      </c>
      <c r="E18" s="223">
        <f t="shared" si="3"/>
        <v>3120</v>
      </c>
      <c r="F18" s="223">
        <f t="shared" si="3"/>
        <v>3510</v>
      </c>
      <c r="G18" s="223">
        <f t="shared" si="3"/>
        <v>3951.3</v>
      </c>
      <c r="H18" s="223">
        <f t="shared" si="3"/>
        <v>3951.3</v>
      </c>
      <c r="I18" s="223">
        <f t="shared" si="3"/>
        <v>4766.589999999999</v>
      </c>
    </row>
    <row r="19" spans="1:9" ht="31.5">
      <c r="A19" s="219" t="s">
        <v>23</v>
      </c>
      <c r="B19" s="220" t="s">
        <v>24</v>
      </c>
      <c r="C19" s="223">
        <f>SUM(C20:C23)</f>
        <v>3358</v>
      </c>
      <c r="D19" s="223">
        <f aca="true" t="shared" si="4" ref="D19:I19">SUM(D20:D23)</f>
        <v>2843.589</v>
      </c>
      <c r="E19" s="223">
        <f t="shared" si="4"/>
        <v>3120</v>
      </c>
      <c r="F19" s="223">
        <f t="shared" si="4"/>
        <v>3510</v>
      </c>
      <c r="G19" s="223">
        <f t="shared" si="4"/>
        <v>3951.3</v>
      </c>
      <c r="H19" s="223">
        <f t="shared" si="4"/>
        <v>3951.3</v>
      </c>
      <c r="I19" s="223">
        <f t="shared" si="4"/>
        <v>4766.589999999999</v>
      </c>
    </row>
    <row r="20" spans="1:9" ht="63">
      <c r="A20" s="167" t="s">
        <v>25</v>
      </c>
      <c r="B20" s="164" t="s">
        <v>26</v>
      </c>
      <c r="C20" s="224">
        <v>1191.5</v>
      </c>
      <c r="D20" s="224">
        <v>1149.8</v>
      </c>
      <c r="E20" s="224">
        <v>1191.5</v>
      </c>
      <c r="F20" s="224">
        <v>1138.3</v>
      </c>
      <c r="G20" s="224">
        <v>1277.2</v>
      </c>
      <c r="H20" s="224">
        <v>1277.2</v>
      </c>
      <c r="I20" s="224">
        <f>1348.6+94.6+589.5</f>
        <v>2032.6999999999998</v>
      </c>
    </row>
    <row r="21" spans="1:9" ht="78.75">
      <c r="A21" s="378" t="s">
        <v>27</v>
      </c>
      <c r="B21" s="164" t="s">
        <v>28</v>
      </c>
      <c r="C21" s="224">
        <v>18.1</v>
      </c>
      <c r="D21" s="224">
        <v>12.245</v>
      </c>
      <c r="E21" s="224">
        <v>18.1</v>
      </c>
      <c r="F21" s="224">
        <v>10.4</v>
      </c>
      <c r="G21" s="224">
        <v>11</v>
      </c>
      <c r="H21" s="224">
        <v>11</v>
      </c>
      <c r="I21" s="224">
        <f>9.7+0.4+0.89</f>
        <v>10.99</v>
      </c>
    </row>
    <row r="22" spans="1:9" ht="63">
      <c r="A22" s="378" t="s">
        <v>29</v>
      </c>
      <c r="B22" s="164" t="s">
        <v>30</v>
      </c>
      <c r="C22" s="225">
        <v>2148.4</v>
      </c>
      <c r="D22" s="225">
        <v>1919.5</v>
      </c>
      <c r="E22" s="225">
        <v>2148.4</v>
      </c>
      <c r="F22" s="225">
        <v>2361.3</v>
      </c>
      <c r="G22" s="225">
        <v>2663.1</v>
      </c>
      <c r="H22" s="225">
        <v>2663.1</v>
      </c>
      <c r="I22" s="225">
        <f>2487.2+307.6-71.9</f>
        <v>2722.8999999999996</v>
      </c>
    </row>
    <row r="23" spans="1:9" ht="63" hidden="1">
      <c r="A23" s="6" t="s">
        <v>867</v>
      </c>
      <c r="B23" s="247" t="s">
        <v>868</v>
      </c>
      <c r="C23" s="224">
        <v>0</v>
      </c>
      <c r="D23" s="224">
        <v>-237.956</v>
      </c>
      <c r="E23" s="224">
        <v>-238</v>
      </c>
      <c r="F23" s="224">
        <v>0</v>
      </c>
      <c r="G23" s="224">
        <v>0</v>
      </c>
      <c r="H23" s="224">
        <v>0</v>
      </c>
      <c r="I23" s="224">
        <v>0</v>
      </c>
    </row>
    <row r="24" spans="1:12" ht="18.75">
      <c r="A24" s="161" t="s">
        <v>31</v>
      </c>
      <c r="B24" s="162" t="s">
        <v>32</v>
      </c>
      <c r="C24" s="223">
        <f aca="true" t="shared" si="5" ref="C24:I24">SUM(C25+C29+C32)</f>
        <v>20489.8</v>
      </c>
      <c r="D24" s="223">
        <f t="shared" si="5"/>
        <v>14361.39</v>
      </c>
      <c r="E24" s="223">
        <f t="shared" si="5"/>
        <v>20474.9</v>
      </c>
      <c r="F24" s="223">
        <f t="shared" si="5"/>
        <v>21474</v>
      </c>
      <c r="G24" s="223">
        <f t="shared" si="5"/>
        <v>21923</v>
      </c>
      <c r="H24" s="223">
        <f t="shared" si="5"/>
        <v>22493</v>
      </c>
      <c r="I24" s="223">
        <f t="shared" si="5"/>
        <v>24339</v>
      </c>
      <c r="L24" s="268"/>
    </row>
    <row r="25" spans="1:9" ht="31.5">
      <c r="A25" s="158" t="s">
        <v>33</v>
      </c>
      <c r="B25" s="162" t="s">
        <v>34</v>
      </c>
      <c r="C25" s="223">
        <f aca="true" t="shared" si="6" ref="C25:I25">SUM(C26:C28)</f>
        <v>10695.8</v>
      </c>
      <c r="D25" s="223">
        <f t="shared" si="6"/>
        <v>7511.09</v>
      </c>
      <c r="E25" s="223">
        <f t="shared" si="6"/>
        <v>10695.9</v>
      </c>
      <c r="F25" s="223">
        <f t="shared" si="6"/>
        <v>11370</v>
      </c>
      <c r="G25" s="223">
        <f t="shared" si="6"/>
        <v>11813</v>
      </c>
      <c r="H25" s="223">
        <f t="shared" si="6"/>
        <v>12333</v>
      </c>
      <c r="I25" s="223">
        <f t="shared" si="6"/>
        <v>13909</v>
      </c>
    </row>
    <row r="26" spans="1:9" ht="31.5">
      <c r="A26" s="156" t="s">
        <v>35</v>
      </c>
      <c r="B26" s="168" t="s">
        <v>36</v>
      </c>
      <c r="C26" s="224">
        <f>10695.8/2</f>
        <v>5347.9</v>
      </c>
      <c r="D26" s="224">
        <f>5410.4</f>
        <v>5410.4</v>
      </c>
      <c r="E26" s="224">
        <f>10695.8/2</f>
        <v>5347.9</v>
      </c>
      <c r="F26" s="224">
        <v>5685</v>
      </c>
      <c r="G26" s="226">
        <v>5906.5</v>
      </c>
      <c r="H26" s="226">
        <v>6166.5</v>
      </c>
      <c r="I26" s="224">
        <f>13909/2</f>
        <v>6954.5</v>
      </c>
    </row>
    <row r="27" spans="1:9" ht="78.75" hidden="1">
      <c r="A27" s="156" t="s">
        <v>869</v>
      </c>
      <c r="B27" s="168" t="s">
        <v>870</v>
      </c>
      <c r="C27" s="224">
        <v>0</v>
      </c>
      <c r="D27" s="227">
        <v>0.09</v>
      </c>
      <c r="E27" s="224">
        <v>0.1</v>
      </c>
      <c r="F27" s="224">
        <v>0</v>
      </c>
      <c r="G27" s="226">
        <v>0</v>
      </c>
      <c r="H27" s="226">
        <v>0</v>
      </c>
      <c r="I27" s="224">
        <v>0</v>
      </c>
    </row>
    <row r="28" spans="1:9" ht="63">
      <c r="A28" s="156" t="s">
        <v>37</v>
      </c>
      <c r="B28" s="168" t="s">
        <v>38</v>
      </c>
      <c r="C28" s="224">
        <f>10695.8/2</f>
        <v>5347.9</v>
      </c>
      <c r="D28" s="224">
        <v>2100.6</v>
      </c>
      <c r="E28" s="224">
        <f>10695.8/2</f>
        <v>5347.9</v>
      </c>
      <c r="F28" s="224">
        <v>5685</v>
      </c>
      <c r="G28" s="226">
        <v>5906.5</v>
      </c>
      <c r="H28" s="226">
        <v>6166.5</v>
      </c>
      <c r="I28" s="224">
        <v>6954.5</v>
      </c>
    </row>
    <row r="29" spans="1:9" ht="18.75">
      <c r="A29" s="158" t="s">
        <v>39</v>
      </c>
      <c r="B29" s="162" t="s">
        <v>40</v>
      </c>
      <c r="C29" s="223">
        <f>SUM(C30:C31)</f>
        <v>9639</v>
      </c>
      <c r="D29" s="223">
        <f aca="true" t="shared" si="7" ref="D29:I29">SUM(D30:D31)</f>
        <v>6707.8</v>
      </c>
      <c r="E29" s="223">
        <f t="shared" si="7"/>
        <v>9624</v>
      </c>
      <c r="F29" s="223">
        <f t="shared" si="7"/>
        <v>9894</v>
      </c>
      <c r="G29" s="223">
        <f t="shared" si="7"/>
        <v>9900</v>
      </c>
      <c r="H29" s="223">
        <f t="shared" si="7"/>
        <v>9950</v>
      </c>
      <c r="I29" s="223">
        <f t="shared" si="7"/>
        <v>10141</v>
      </c>
    </row>
    <row r="30" spans="1:9" ht="18.75">
      <c r="A30" s="284" t="s">
        <v>41</v>
      </c>
      <c r="B30" s="163" t="s">
        <v>40</v>
      </c>
      <c r="C30" s="224">
        <v>9639</v>
      </c>
      <c r="D30" s="224">
        <v>6722.8</v>
      </c>
      <c r="E30" s="224">
        <v>9639</v>
      </c>
      <c r="F30" s="224">
        <v>9894</v>
      </c>
      <c r="G30" s="224">
        <v>9900</v>
      </c>
      <c r="H30" s="224">
        <v>9950</v>
      </c>
      <c r="I30" s="224">
        <v>10141</v>
      </c>
    </row>
    <row r="31" spans="1:9" ht="47.25" hidden="1">
      <c r="A31" s="6" t="s">
        <v>871</v>
      </c>
      <c r="B31" s="217" t="s">
        <v>872</v>
      </c>
      <c r="C31" s="224">
        <v>0</v>
      </c>
      <c r="D31" s="224">
        <v>-15</v>
      </c>
      <c r="E31" s="224">
        <v>-15</v>
      </c>
      <c r="F31" s="224">
        <v>0</v>
      </c>
      <c r="G31" s="224">
        <v>0</v>
      </c>
      <c r="H31" s="224">
        <v>0</v>
      </c>
      <c r="I31" s="224">
        <v>0</v>
      </c>
    </row>
    <row r="32" spans="1:9" ht="31.5">
      <c r="A32" s="158" t="s">
        <v>42</v>
      </c>
      <c r="B32" s="169" t="s">
        <v>43</v>
      </c>
      <c r="C32" s="223">
        <v>155</v>
      </c>
      <c r="D32" s="223">
        <v>142.5</v>
      </c>
      <c r="E32" s="223">
        <v>155</v>
      </c>
      <c r="F32" s="223">
        <v>210</v>
      </c>
      <c r="G32" s="223">
        <v>210</v>
      </c>
      <c r="H32" s="223">
        <v>210</v>
      </c>
      <c r="I32" s="223">
        <v>289</v>
      </c>
    </row>
    <row r="33" spans="1:9" ht="18.75">
      <c r="A33" s="161" t="s">
        <v>44</v>
      </c>
      <c r="B33" s="162" t="s">
        <v>45</v>
      </c>
      <c r="C33" s="223">
        <f aca="true" t="shared" si="8" ref="C33:I33">C34+C36</f>
        <v>383</v>
      </c>
      <c r="D33" s="223">
        <f t="shared" si="8"/>
        <v>76.9</v>
      </c>
      <c r="E33" s="223">
        <f t="shared" si="8"/>
        <v>383</v>
      </c>
      <c r="F33" s="223">
        <f t="shared" si="8"/>
        <v>974</v>
      </c>
      <c r="G33" s="223">
        <f t="shared" si="8"/>
        <v>1311</v>
      </c>
      <c r="H33" s="223">
        <f t="shared" si="8"/>
        <v>1648</v>
      </c>
      <c r="I33" s="223">
        <f t="shared" si="8"/>
        <v>683</v>
      </c>
    </row>
    <row r="34" spans="1:9" ht="18.75">
      <c r="A34" s="161" t="s">
        <v>46</v>
      </c>
      <c r="B34" s="162" t="s">
        <v>47</v>
      </c>
      <c r="C34" s="223">
        <f aca="true" t="shared" si="9" ref="C34:I34">C35</f>
        <v>71</v>
      </c>
      <c r="D34" s="223">
        <f t="shared" si="9"/>
        <v>48</v>
      </c>
      <c r="E34" s="223">
        <f t="shared" si="9"/>
        <v>71</v>
      </c>
      <c r="F34" s="223">
        <f t="shared" si="9"/>
        <v>652</v>
      </c>
      <c r="G34" s="223">
        <f t="shared" si="9"/>
        <v>978</v>
      </c>
      <c r="H34" s="223">
        <f t="shared" si="9"/>
        <v>1304</v>
      </c>
      <c r="I34" s="223">
        <f t="shared" si="9"/>
        <v>350</v>
      </c>
    </row>
    <row r="35" spans="1:9" ht="38.25" customHeight="1">
      <c r="A35" s="284" t="s">
        <v>48</v>
      </c>
      <c r="B35" s="168" t="s">
        <v>49</v>
      </c>
      <c r="C35" s="224">
        <v>71</v>
      </c>
      <c r="D35" s="224">
        <v>48</v>
      </c>
      <c r="E35" s="224">
        <v>71</v>
      </c>
      <c r="F35" s="224">
        <v>652</v>
      </c>
      <c r="G35" s="226">
        <v>978</v>
      </c>
      <c r="H35" s="226">
        <v>1304</v>
      </c>
      <c r="I35" s="224">
        <v>350</v>
      </c>
    </row>
    <row r="36" spans="1:9" ht="18.75">
      <c r="A36" s="161" t="s">
        <v>50</v>
      </c>
      <c r="B36" s="162" t="s">
        <v>51</v>
      </c>
      <c r="C36" s="223">
        <f aca="true" t="shared" si="10" ref="C36:I36">C38+C37</f>
        <v>312</v>
      </c>
      <c r="D36" s="223">
        <f t="shared" si="10"/>
        <v>28.900000000000002</v>
      </c>
      <c r="E36" s="223">
        <f t="shared" si="10"/>
        <v>312</v>
      </c>
      <c r="F36" s="223">
        <f t="shared" si="10"/>
        <v>322</v>
      </c>
      <c r="G36" s="223">
        <f t="shared" si="10"/>
        <v>333</v>
      </c>
      <c r="H36" s="223">
        <f t="shared" si="10"/>
        <v>344</v>
      </c>
      <c r="I36" s="223">
        <f t="shared" si="10"/>
        <v>333</v>
      </c>
    </row>
    <row r="37" spans="1:9" ht="31.5">
      <c r="A37" s="284" t="s">
        <v>52</v>
      </c>
      <c r="B37" s="168" t="s">
        <v>53</v>
      </c>
      <c r="C37" s="224">
        <v>167</v>
      </c>
      <c r="D37" s="224">
        <v>39.7</v>
      </c>
      <c r="E37" s="224">
        <v>167</v>
      </c>
      <c r="F37" s="224">
        <v>172</v>
      </c>
      <c r="G37" s="224">
        <v>173</v>
      </c>
      <c r="H37" s="224">
        <v>174</v>
      </c>
      <c r="I37" s="224">
        <v>173</v>
      </c>
    </row>
    <row r="38" spans="1:9" ht="31.5">
      <c r="A38" s="284" t="s">
        <v>54</v>
      </c>
      <c r="B38" s="168" t="s">
        <v>55</v>
      </c>
      <c r="C38" s="224">
        <v>145</v>
      </c>
      <c r="D38" s="224">
        <v>-10.8</v>
      </c>
      <c r="E38" s="224">
        <v>145</v>
      </c>
      <c r="F38" s="224">
        <v>150</v>
      </c>
      <c r="G38" s="224">
        <v>160</v>
      </c>
      <c r="H38" s="224">
        <v>170</v>
      </c>
      <c r="I38" s="224">
        <v>160</v>
      </c>
    </row>
    <row r="39" spans="1:9" ht="18.75">
      <c r="A39" s="161" t="s">
        <v>56</v>
      </c>
      <c r="B39" s="162" t="s">
        <v>57</v>
      </c>
      <c r="C39" s="223">
        <f aca="true" t="shared" si="11" ref="C39:F40">C40</f>
        <v>2294</v>
      </c>
      <c r="D39" s="223">
        <f>D40</f>
        <v>933.3</v>
      </c>
      <c r="E39" s="223">
        <f t="shared" si="11"/>
        <v>1346.7</v>
      </c>
      <c r="F39" s="223">
        <f t="shared" si="11"/>
        <v>2088</v>
      </c>
      <c r="G39" s="223">
        <f aca="true" t="shared" si="12" ref="G39:I40">G40</f>
        <v>2100</v>
      </c>
      <c r="H39" s="223">
        <f t="shared" si="12"/>
        <v>2150</v>
      </c>
      <c r="I39" s="223">
        <f t="shared" si="12"/>
        <v>1192</v>
      </c>
    </row>
    <row r="40" spans="1:9" ht="31.5">
      <c r="A40" s="161" t="s">
        <v>58</v>
      </c>
      <c r="B40" s="162" t="s">
        <v>59</v>
      </c>
      <c r="C40" s="223">
        <f t="shared" si="11"/>
        <v>2294</v>
      </c>
      <c r="D40" s="223">
        <f>D41</f>
        <v>933.3</v>
      </c>
      <c r="E40" s="223">
        <f t="shared" si="11"/>
        <v>1346.7</v>
      </c>
      <c r="F40" s="223">
        <f t="shared" si="11"/>
        <v>2088</v>
      </c>
      <c r="G40" s="223">
        <f t="shared" si="12"/>
        <v>2100</v>
      </c>
      <c r="H40" s="223">
        <f t="shared" si="12"/>
        <v>2150</v>
      </c>
      <c r="I40" s="223">
        <f t="shared" si="12"/>
        <v>1192</v>
      </c>
    </row>
    <row r="41" spans="1:9" ht="47.25">
      <c r="A41" s="284" t="s">
        <v>60</v>
      </c>
      <c r="B41" s="163" t="s">
        <v>61</v>
      </c>
      <c r="C41" s="224">
        <v>2294</v>
      </c>
      <c r="D41" s="224">
        <v>933.3</v>
      </c>
      <c r="E41" s="224">
        <v>1346.7</v>
      </c>
      <c r="F41" s="224">
        <v>2088</v>
      </c>
      <c r="G41" s="226">
        <v>2100</v>
      </c>
      <c r="H41" s="226">
        <v>2150</v>
      </c>
      <c r="I41" s="224">
        <v>1192</v>
      </c>
    </row>
    <row r="42" spans="1:9" ht="31.5" hidden="1">
      <c r="A42" s="263" t="s">
        <v>873</v>
      </c>
      <c r="B42" s="218" t="s">
        <v>874</v>
      </c>
      <c r="C42" s="223">
        <v>0</v>
      </c>
      <c r="D42" s="223">
        <f aca="true" t="shared" si="13" ref="D42:I42">SUM(D43:D44)</f>
        <v>7.1</v>
      </c>
      <c r="E42" s="223">
        <f t="shared" si="13"/>
        <v>7.1</v>
      </c>
      <c r="F42" s="223">
        <f t="shared" si="13"/>
        <v>0</v>
      </c>
      <c r="G42" s="223">
        <f t="shared" si="13"/>
        <v>0</v>
      </c>
      <c r="H42" s="223">
        <f t="shared" si="13"/>
        <v>0</v>
      </c>
      <c r="I42" s="223">
        <f t="shared" si="13"/>
        <v>0</v>
      </c>
    </row>
    <row r="43" spans="1:9" ht="63" hidden="1">
      <c r="A43" s="6" t="s">
        <v>875</v>
      </c>
      <c r="B43" s="211" t="s">
        <v>876</v>
      </c>
      <c r="C43" s="224">
        <v>0</v>
      </c>
      <c r="D43" s="224">
        <v>7.5</v>
      </c>
      <c r="E43" s="224">
        <v>7.5</v>
      </c>
      <c r="F43" s="224">
        <v>0</v>
      </c>
      <c r="G43" s="226">
        <v>0</v>
      </c>
      <c r="H43" s="226">
        <v>0</v>
      </c>
      <c r="I43" s="224">
        <v>0</v>
      </c>
    </row>
    <row r="44" spans="1:9" ht="63" hidden="1">
      <c r="A44" s="2" t="s">
        <v>877</v>
      </c>
      <c r="B44" s="211" t="s">
        <v>878</v>
      </c>
      <c r="C44" s="224">
        <v>0</v>
      </c>
      <c r="D44" s="224">
        <v>-0.4</v>
      </c>
      <c r="E44" s="224">
        <v>-0.4</v>
      </c>
      <c r="F44" s="224">
        <v>0</v>
      </c>
      <c r="G44" s="226">
        <v>0</v>
      </c>
      <c r="H44" s="226">
        <v>0</v>
      </c>
      <c r="I44" s="224">
        <v>0</v>
      </c>
    </row>
    <row r="45" spans="1:12" ht="31.5">
      <c r="A45" s="161" t="s">
        <v>62</v>
      </c>
      <c r="B45" s="170" t="s">
        <v>63</v>
      </c>
      <c r="C45" s="223">
        <f aca="true" t="shared" si="14" ref="C45:I45">C46</f>
        <v>30200</v>
      </c>
      <c r="D45" s="223">
        <f t="shared" si="14"/>
        <v>30394</v>
      </c>
      <c r="E45" s="223">
        <f t="shared" si="14"/>
        <v>30200</v>
      </c>
      <c r="F45" s="223">
        <f t="shared" si="14"/>
        <v>30200</v>
      </c>
      <c r="G45" s="223">
        <f t="shared" si="14"/>
        <v>30200</v>
      </c>
      <c r="H45" s="223">
        <f t="shared" si="14"/>
        <v>30200</v>
      </c>
      <c r="I45" s="223">
        <f t="shared" si="14"/>
        <v>44100</v>
      </c>
      <c r="L45" s="137"/>
    </row>
    <row r="46" spans="1:9" ht="78.75">
      <c r="A46" s="161" t="s">
        <v>64</v>
      </c>
      <c r="B46" s="170" t="s">
        <v>65</v>
      </c>
      <c r="C46" s="223">
        <f aca="true" t="shared" si="15" ref="C46:I46">C47+C49</f>
        <v>30200</v>
      </c>
      <c r="D46" s="223">
        <f t="shared" si="15"/>
        <v>30394</v>
      </c>
      <c r="E46" s="223">
        <f t="shared" si="15"/>
        <v>30200</v>
      </c>
      <c r="F46" s="223">
        <f t="shared" si="15"/>
        <v>30200</v>
      </c>
      <c r="G46" s="223">
        <f t="shared" si="15"/>
        <v>30200</v>
      </c>
      <c r="H46" s="223">
        <f t="shared" si="15"/>
        <v>30200</v>
      </c>
      <c r="I46" s="223">
        <f t="shared" si="15"/>
        <v>44100</v>
      </c>
    </row>
    <row r="47" spans="1:9" ht="63">
      <c r="A47" s="161" t="s">
        <v>66</v>
      </c>
      <c r="B47" s="162" t="s">
        <v>67</v>
      </c>
      <c r="C47" s="223">
        <f aca="true" t="shared" si="16" ref="C47:I47">C48</f>
        <v>26900</v>
      </c>
      <c r="D47" s="223">
        <f t="shared" si="16"/>
        <v>27515.9</v>
      </c>
      <c r="E47" s="223">
        <f t="shared" si="16"/>
        <v>26900</v>
      </c>
      <c r="F47" s="223">
        <f t="shared" si="16"/>
        <v>26900</v>
      </c>
      <c r="G47" s="223">
        <f t="shared" si="16"/>
        <v>26900</v>
      </c>
      <c r="H47" s="223">
        <f t="shared" si="16"/>
        <v>26900</v>
      </c>
      <c r="I47" s="223">
        <f t="shared" si="16"/>
        <v>39000</v>
      </c>
    </row>
    <row r="48" spans="1:10" ht="63">
      <c r="A48" s="284" t="s">
        <v>68</v>
      </c>
      <c r="B48" s="168" t="s">
        <v>69</v>
      </c>
      <c r="C48" s="224">
        <v>26900</v>
      </c>
      <c r="D48" s="224">
        <v>27515.9</v>
      </c>
      <c r="E48" s="224">
        <v>26900</v>
      </c>
      <c r="F48" s="224">
        <v>26900</v>
      </c>
      <c r="G48" s="226">
        <v>26900</v>
      </c>
      <c r="H48" s="226">
        <v>26900</v>
      </c>
      <c r="I48" s="224">
        <f>36000+3000</f>
        <v>39000</v>
      </c>
      <c r="J48" s="330" t="s">
        <v>1202</v>
      </c>
    </row>
    <row r="49" spans="1:9" ht="31.5">
      <c r="A49" s="161" t="s">
        <v>70</v>
      </c>
      <c r="B49" s="162" t="s">
        <v>71</v>
      </c>
      <c r="C49" s="223">
        <f aca="true" t="shared" si="17" ref="C49:I49">C50</f>
        <v>3300</v>
      </c>
      <c r="D49" s="223">
        <f t="shared" si="17"/>
        <v>2878.1</v>
      </c>
      <c r="E49" s="223">
        <f t="shared" si="17"/>
        <v>3300</v>
      </c>
      <c r="F49" s="223">
        <f t="shared" si="17"/>
        <v>3300</v>
      </c>
      <c r="G49" s="223">
        <f t="shared" si="17"/>
        <v>3300</v>
      </c>
      <c r="H49" s="223">
        <f t="shared" si="17"/>
        <v>3300</v>
      </c>
      <c r="I49" s="223">
        <f t="shared" si="17"/>
        <v>5100</v>
      </c>
    </row>
    <row r="50" spans="1:10" ht="31.5">
      <c r="A50" s="284" t="s">
        <v>72</v>
      </c>
      <c r="B50" s="168" t="s">
        <v>73</v>
      </c>
      <c r="C50" s="224">
        <v>3300</v>
      </c>
      <c r="D50" s="224">
        <v>2878.1</v>
      </c>
      <c r="E50" s="224">
        <v>3300</v>
      </c>
      <c r="F50" s="224">
        <v>3300</v>
      </c>
      <c r="G50" s="226">
        <v>3300</v>
      </c>
      <c r="H50" s="226">
        <v>3300</v>
      </c>
      <c r="I50" s="224">
        <f>4000+1100</f>
        <v>5100</v>
      </c>
      <c r="J50" s="330" t="s">
        <v>1184</v>
      </c>
    </row>
    <row r="51" spans="1:9" ht="18.75">
      <c r="A51" s="161" t="s">
        <v>74</v>
      </c>
      <c r="B51" s="170" t="s">
        <v>75</v>
      </c>
      <c r="C51" s="223">
        <f aca="true" t="shared" si="18" ref="C51:I51">SUM(C52)</f>
        <v>5112.999999999999</v>
      </c>
      <c r="D51" s="223">
        <f t="shared" si="18"/>
        <v>5343</v>
      </c>
      <c r="E51" s="223">
        <f t="shared" si="18"/>
        <v>2061</v>
      </c>
      <c r="F51" s="223">
        <f t="shared" si="18"/>
        <v>2023.1999999999998</v>
      </c>
      <c r="G51" s="223">
        <f t="shared" si="18"/>
        <v>2023.1999999999998</v>
      </c>
      <c r="H51" s="223">
        <f t="shared" si="18"/>
        <v>2023.1999999999998</v>
      </c>
      <c r="I51" s="223">
        <f t="shared" si="18"/>
        <v>2023.4</v>
      </c>
    </row>
    <row r="52" spans="1:9" ht="18.75">
      <c r="A52" s="161" t="s">
        <v>76</v>
      </c>
      <c r="B52" s="170" t="s">
        <v>77</v>
      </c>
      <c r="C52" s="223">
        <f aca="true" t="shared" si="19" ref="C52:H52">SUM(C53:C56)</f>
        <v>5112.999999999999</v>
      </c>
      <c r="D52" s="223">
        <f t="shared" si="19"/>
        <v>5343</v>
      </c>
      <c r="E52" s="223">
        <f t="shared" si="19"/>
        <v>2061</v>
      </c>
      <c r="F52" s="223">
        <f t="shared" si="19"/>
        <v>2023.1999999999998</v>
      </c>
      <c r="G52" s="223">
        <f t="shared" si="19"/>
        <v>2023.1999999999998</v>
      </c>
      <c r="H52" s="223">
        <f t="shared" si="19"/>
        <v>2023.1999999999998</v>
      </c>
      <c r="I52" s="223">
        <f>SUM(I53:I57)</f>
        <v>2023.4</v>
      </c>
    </row>
    <row r="53" spans="1:10" ht="31.5">
      <c r="A53" s="284" t="s">
        <v>78</v>
      </c>
      <c r="B53" s="163" t="s">
        <v>79</v>
      </c>
      <c r="C53" s="224">
        <v>386.3</v>
      </c>
      <c r="D53" s="224">
        <v>86.1</v>
      </c>
      <c r="E53" s="224">
        <v>129.1</v>
      </c>
      <c r="F53" s="224">
        <v>102.9</v>
      </c>
      <c r="G53" s="224">
        <v>102.9</v>
      </c>
      <c r="H53" s="224">
        <v>102.9</v>
      </c>
      <c r="I53" s="224">
        <v>425.2</v>
      </c>
      <c r="J53" s="272"/>
    </row>
    <row r="54" spans="1:10" ht="31.5" hidden="1">
      <c r="A54" s="284" t="s">
        <v>863</v>
      </c>
      <c r="B54" s="211" t="s">
        <v>864</v>
      </c>
      <c r="C54" s="224">
        <v>0</v>
      </c>
      <c r="D54" s="224">
        <v>0.5</v>
      </c>
      <c r="E54" s="224">
        <v>2.2</v>
      </c>
      <c r="F54" s="224">
        <v>0</v>
      </c>
      <c r="G54" s="224">
        <v>0</v>
      </c>
      <c r="H54" s="224">
        <v>0</v>
      </c>
      <c r="I54" s="224">
        <v>0</v>
      </c>
      <c r="J54" s="272"/>
    </row>
    <row r="55" spans="1:10" ht="18.75">
      <c r="A55" s="284" t="s">
        <v>80</v>
      </c>
      <c r="B55" s="163" t="s">
        <v>81</v>
      </c>
      <c r="C55" s="224">
        <v>10.4</v>
      </c>
      <c r="D55" s="224">
        <v>55.6</v>
      </c>
      <c r="E55" s="224">
        <v>83.5</v>
      </c>
      <c r="F55" s="224">
        <v>0.2</v>
      </c>
      <c r="G55" s="224">
        <v>0.2</v>
      </c>
      <c r="H55" s="224">
        <v>0.2</v>
      </c>
      <c r="I55" s="224">
        <v>233.7</v>
      </c>
      <c r="J55" s="272"/>
    </row>
    <row r="56" spans="1:10" ht="18.75">
      <c r="A56" s="284" t="s">
        <v>975</v>
      </c>
      <c r="B56" s="163" t="s">
        <v>976</v>
      </c>
      <c r="C56" s="224">
        <f>6725.4-2009.1</f>
        <v>4716.299999999999</v>
      </c>
      <c r="D56" s="224">
        <v>5200.8</v>
      </c>
      <c r="E56" s="224">
        <v>1846.2</v>
      </c>
      <c r="F56" s="224">
        <v>1920.1</v>
      </c>
      <c r="G56" s="224">
        <v>1920.1</v>
      </c>
      <c r="H56" s="224">
        <v>1920.1</v>
      </c>
      <c r="I56" s="224">
        <v>1329.9</v>
      </c>
      <c r="J56" s="273"/>
    </row>
    <row r="57" spans="1:10" ht="18.75">
      <c r="A57" s="284" t="s">
        <v>977</v>
      </c>
      <c r="B57" s="163" t="s">
        <v>978</v>
      </c>
      <c r="C57" s="224"/>
      <c r="D57" s="224"/>
      <c r="E57" s="224"/>
      <c r="F57" s="224"/>
      <c r="G57" s="224"/>
      <c r="H57" s="224"/>
      <c r="I57" s="224">
        <v>34.6</v>
      </c>
      <c r="J57" s="272"/>
    </row>
    <row r="58" spans="1:10" ht="31.5">
      <c r="A58" s="161" t="s">
        <v>82</v>
      </c>
      <c r="B58" s="170" t="s">
        <v>83</v>
      </c>
      <c r="C58" s="223">
        <f>C60+C61</f>
        <v>320</v>
      </c>
      <c r="D58" s="223">
        <f aca="true" t="shared" si="20" ref="D58:I58">D60+D61</f>
        <v>2360.2</v>
      </c>
      <c r="E58" s="223">
        <f t="shared" si="20"/>
        <v>2412.9</v>
      </c>
      <c r="F58" s="223">
        <f t="shared" si="20"/>
        <v>320</v>
      </c>
      <c r="G58" s="223">
        <f t="shared" si="20"/>
        <v>340</v>
      </c>
      <c r="H58" s="223">
        <f t="shared" si="20"/>
        <v>360</v>
      </c>
      <c r="I58" s="223">
        <f t="shared" si="20"/>
        <v>707.4</v>
      </c>
      <c r="J58" s="272"/>
    </row>
    <row r="59" spans="1:9" ht="18.75">
      <c r="A59" s="161" t="s">
        <v>84</v>
      </c>
      <c r="B59" s="170" t="s">
        <v>85</v>
      </c>
      <c r="C59" s="223">
        <f>C60+C62</f>
        <v>320</v>
      </c>
      <c r="D59" s="223">
        <f>D60</f>
        <v>172.6</v>
      </c>
      <c r="E59" s="223">
        <f>E60+E62</f>
        <v>2412.9</v>
      </c>
      <c r="F59" s="223">
        <f>F60+F62</f>
        <v>320</v>
      </c>
      <c r="G59" s="223">
        <f>G60+G62</f>
        <v>340</v>
      </c>
      <c r="H59" s="223">
        <f>H60+H62</f>
        <v>360</v>
      </c>
      <c r="I59" s="223">
        <f>I60</f>
        <v>707.4</v>
      </c>
    </row>
    <row r="60" spans="1:10" ht="31.5">
      <c r="A60" s="284" t="s">
        <v>86</v>
      </c>
      <c r="B60" s="163" t="s">
        <v>87</v>
      </c>
      <c r="C60" s="224">
        <v>320</v>
      </c>
      <c r="D60" s="224">
        <v>172.6</v>
      </c>
      <c r="E60" s="224">
        <v>212.9</v>
      </c>
      <c r="F60" s="224">
        <v>320</v>
      </c>
      <c r="G60" s="226">
        <v>340</v>
      </c>
      <c r="H60" s="226">
        <v>360</v>
      </c>
      <c r="I60" s="224">
        <f>300+407.4</f>
        <v>707.4</v>
      </c>
      <c r="J60" s="328"/>
    </row>
    <row r="61" spans="1:9" ht="18.75">
      <c r="A61" s="263" t="s">
        <v>879</v>
      </c>
      <c r="B61" s="218" t="s">
        <v>880</v>
      </c>
      <c r="C61" s="223">
        <f>C62</f>
        <v>0</v>
      </c>
      <c r="D61" s="223">
        <f aca="true" t="shared" si="21" ref="D61:I61">SUM(D62)</f>
        <v>2187.6</v>
      </c>
      <c r="E61" s="223">
        <f t="shared" si="21"/>
        <v>2200</v>
      </c>
      <c r="F61" s="223">
        <f t="shared" si="21"/>
        <v>0</v>
      </c>
      <c r="G61" s="223">
        <f t="shared" si="21"/>
        <v>0</v>
      </c>
      <c r="H61" s="223">
        <f t="shared" si="21"/>
        <v>0</v>
      </c>
      <c r="I61" s="223">
        <f t="shared" si="21"/>
        <v>0</v>
      </c>
    </row>
    <row r="62" spans="1:9" ht="18.75">
      <c r="A62" s="212" t="s">
        <v>866</v>
      </c>
      <c r="B62" s="47" t="s">
        <v>865</v>
      </c>
      <c r="C62" s="224">
        <v>0</v>
      </c>
      <c r="D62" s="224">
        <v>2187.6</v>
      </c>
      <c r="E62" s="224">
        <v>2200</v>
      </c>
      <c r="F62" s="224">
        <v>0</v>
      </c>
      <c r="G62" s="228">
        <v>0</v>
      </c>
      <c r="H62" s="228">
        <v>0</v>
      </c>
      <c r="I62" s="224">
        <v>0</v>
      </c>
    </row>
    <row r="63" spans="1:9" ht="31.5">
      <c r="A63" s="161" t="s">
        <v>88</v>
      </c>
      <c r="B63" s="170" t="s">
        <v>89</v>
      </c>
      <c r="C63" s="223">
        <f aca="true" t="shared" si="22" ref="C63:I63">SUM(C64+C66)</f>
        <v>650</v>
      </c>
      <c r="D63" s="223">
        <f t="shared" si="22"/>
        <v>145.6</v>
      </c>
      <c r="E63" s="223">
        <f t="shared" si="22"/>
        <v>754.5</v>
      </c>
      <c r="F63" s="223">
        <f t="shared" si="22"/>
        <v>250</v>
      </c>
      <c r="G63" s="223">
        <f t="shared" si="22"/>
        <v>250</v>
      </c>
      <c r="H63" s="223">
        <f t="shared" si="22"/>
        <v>250</v>
      </c>
      <c r="I63" s="223">
        <f t="shared" si="22"/>
        <v>236</v>
      </c>
    </row>
    <row r="64" spans="1:9" ht="78.75">
      <c r="A64" s="161" t="s">
        <v>90</v>
      </c>
      <c r="B64" s="170" t="s">
        <v>91</v>
      </c>
      <c r="C64" s="223">
        <f aca="true" t="shared" si="23" ref="C64:I64">C65</f>
        <v>500</v>
      </c>
      <c r="D64" s="223">
        <f t="shared" si="23"/>
        <v>141.1</v>
      </c>
      <c r="E64" s="223">
        <f t="shared" si="23"/>
        <v>750</v>
      </c>
      <c r="F64" s="223">
        <f t="shared" si="23"/>
        <v>235</v>
      </c>
      <c r="G64" s="223">
        <f t="shared" si="23"/>
        <v>235</v>
      </c>
      <c r="H64" s="223">
        <f t="shared" si="23"/>
        <v>235</v>
      </c>
      <c r="I64" s="223">
        <f t="shared" si="23"/>
        <v>235</v>
      </c>
    </row>
    <row r="65" spans="1:9" ht="78.75">
      <c r="A65" s="284" t="s">
        <v>92</v>
      </c>
      <c r="B65" s="163" t="s">
        <v>764</v>
      </c>
      <c r="C65" s="224">
        <v>500</v>
      </c>
      <c r="D65" s="224">
        <v>141.1</v>
      </c>
      <c r="E65" s="224">
        <v>750</v>
      </c>
      <c r="F65" s="224">
        <v>235</v>
      </c>
      <c r="G65" s="226">
        <v>235</v>
      </c>
      <c r="H65" s="226">
        <v>235</v>
      </c>
      <c r="I65" s="224">
        <v>235</v>
      </c>
    </row>
    <row r="66" spans="1:9" ht="31.5">
      <c r="A66" s="161" t="s">
        <v>93</v>
      </c>
      <c r="B66" s="170" t="s">
        <v>94</v>
      </c>
      <c r="C66" s="223">
        <f aca="true" t="shared" si="24" ref="C66:I66">SUM(C67)</f>
        <v>150</v>
      </c>
      <c r="D66" s="223">
        <f t="shared" si="24"/>
        <v>4.5</v>
      </c>
      <c r="E66" s="223">
        <f t="shared" si="24"/>
        <v>4.5</v>
      </c>
      <c r="F66" s="223">
        <f t="shared" si="24"/>
        <v>15</v>
      </c>
      <c r="G66" s="223">
        <f t="shared" si="24"/>
        <v>15</v>
      </c>
      <c r="H66" s="223">
        <f t="shared" si="24"/>
        <v>15</v>
      </c>
      <c r="I66" s="223">
        <f t="shared" si="24"/>
        <v>1</v>
      </c>
    </row>
    <row r="67" spans="1:9" ht="47.25">
      <c r="A67" s="284" t="s">
        <v>95</v>
      </c>
      <c r="B67" s="163" t="s">
        <v>96</v>
      </c>
      <c r="C67" s="224">
        <v>150</v>
      </c>
      <c r="D67" s="224">
        <v>4.5</v>
      </c>
      <c r="E67" s="224">
        <v>4.5</v>
      </c>
      <c r="F67" s="224">
        <v>15</v>
      </c>
      <c r="G67" s="226">
        <v>15</v>
      </c>
      <c r="H67" s="226">
        <v>15</v>
      </c>
      <c r="I67" s="224">
        <v>1</v>
      </c>
    </row>
    <row r="68" spans="1:9" ht="18.75">
      <c r="A68" s="161" t="s">
        <v>97</v>
      </c>
      <c r="B68" s="170" t="s">
        <v>98</v>
      </c>
      <c r="C68" s="223">
        <f>C69+C74+C84+C82+C80+C72+C77</f>
        <v>2875.5</v>
      </c>
      <c r="D68" s="223">
        <f>D69+D74+D77+D84+D82+D80+D78+D72+D73</f>
        <v>1693.8000000000002</v>
      </c>
      <c r="E68" s="223">
        <f>E69+E74+E84+E82+E80+E72+E77</f>
        <v>3190.1</v>
      </c>
      <c r="F68" s="223">
        <f>F69+F74+F77+F84+F82+F80+F72+F78</f>
        <v>1993</v>
      </c>
      <c r="G68" s="223">
        <f>G69+G74+G77+G84+G82+G80+G72+G78</f>
        <v>2053</v>
      </c>
      <c r="H68" s="223">
        <f>H69+H74+H77+H84+H82+H80+H72+H78</f>
        <v>2058</v>
      </c>
      <c r="I68" s="223">
        <f>I69+I74+I77+I84+I82+I80+I72+I78</f>
        <v>1137</v>
      </c>
    </row>
    <row r="69" spans="1:9" ht="31.5">
      <c r="A69" s="161" t="s">
        <v>99</v>
      </c>
      <c r="B69" s="170" t="s">
        <v>100</v>
      </c>
      <c r="C69" s="223">
        <f aca="true" t="shared" si="25" ref="C69:I69">C70+C71</f>
        <v>28</v>
      </c>
      <c r="D69" s="223">
        <f t="shared" si="25"/>
        <v>62.8</v>
      </c>
      <c r="E69" s="223">
        <f t="shared" si="25"/>
        <v>65.39999999999999</v>
      </c>
      <c r="F69" s="223">
        <f t="shared" si="25"/>
        <v>27.5</v>
      </c>
      <c r="G69" s="223">
        <f t="shared" si="25"/>
        <v>27.5</v>
      </c>
      <c r="H69" s="223">
        <f t="shared" si="25"/>
        <v>27.5</v>
      </c>
      <c r="I69" s="223">
        <f t="shared" si="25"/>
        <v>25.9</v>
      </c>
    </row>
    <row r="70" spans="1:9" ht="63">
      <c r="A70" s="284" t="s">
        <v>101</v>
      </c>
      <c r="B70" s="163" t="s">
        <v>102</v>
      </c>
      <c r="C70" s="224">
        <v>24.4</v>
      </c>
      <c r="D70" s="224">
        <v>61.8</v>
      </c>
      <c r="E70" s="224">
        <v>61.8</v>
      </c>
      <c r="F70" s="224">
        <v>25.2</v>
      </c>
      <c r="G70" s="226">
        <v>25.2</v>
      </c>
      <c r="H70" s="226">
        <v>25.2</v>
      </c>
      <c r="I70" s="224">
        <v>23.7</v>
      </c>
    </row>
    <row r="71" spans="1:9" ht="47.25">
      <c r="A71" s="284" t="s">
        <v>103</v>
      </c>
      <c r="B71" s="163" t="s">
        <v>765</v>
      </c>
      <c r="C71" s="224">
        <v>3.6</v>
      </c>
      <c r="D71" s="224">
        <v>1</v>
      </c>
      <c r="E71" s="224">
        <v>3.6</v>
      </c>
      <c r="F71" s="224">
        <v>2.3</v>
      </c>
      <c r="G71" s="226">
        <v>2.3</v>
      </c>
      <c r="H71" s="226">
        <v>2.3</v>
      </c>
      <c r="I71" s="224">
        <v>2.2</v>
      </c>
    </row>
    <row r="72" spans="1:9" ht="63">
      <c r="A72" s="263" t="s">
        <v>883</v>
      </c>
      <c r="B72" s="218" t="s">
        <v>884</v>
      </c>
      <c r="C72" s="229">
        <f>C73</f>
        <v>0</v>
      </c>
      <c r="D72" s="223">
        <v>50</v>
      </c>
      <c r="E72" s="229">
        <v>50</v>
      </c>
      <c r="F72" s="223">
        <v>127.5</v>
      </c>
      <c r="G72" s="223">
        <v>127.5</v>
      </c>
      <c r="H72" s="223">
        <v>127.5</v>
      </c>
      <c r="I72" s="223">
        <v>120.1</v>
      </c>
    </row>
    <row r="73" spans="1:9" ht="47.25" hidden="1">
      <c r="A73" s="263" t="s">
        <v>881</v>
      </c>
      <c r="B73" s="218" t="s">
        <v>882</v>
      </c>
      <c r="C73" s="229">
        <v>0</v>
      </c>
      <c r="D73" s="223">
        <v>358.7</v>
      </c>
      <c r="E73" s="229">
        <v>358.7</v>
      </c>
      <c r="F73" s="223">
        <v>0</v>
      </c>
      <c r="G73" s="229">
        <v>0</v>
      </c>
      <c r="H73" s="229">
        <v>0</v>
      </c>
      <c r="I73" s="223">
        <v>0</v>
      </c>
    </row>
    <row r="74" spans="1:9" ht="94.5">
      <c r="A74" s="161" t="s">
        <v>104</v>
      </c>
      <c r="B74" s="170" t="s">
        <v>105</v>
      </c>
      <c r="C74" s="223">
        <f aca="true" t="shared" si="26" ref="C74:I74">C75+C76</f>
        <v>80</v>
      </c>
      <c r="D74" s="223">
        <f t="shared" si="26"/>
        <v>5</v>
      </c>
      <c r="E74" s="223">
        <f t="shared" si="26"/>
        <v>80</v>
      </c>
      <c r="F74" s="223">
        <f t="shared" si="26"/>
        <v>45</v>
      </c>
      <c r="G74" s="223">
        <f t="shared" si="26"/>
        <v>55</v>
      </c>
      <c r="H74" s="223">
        <f t="shared" si="26"/>
        <v>60</v>
      </c>
      <c r="I74" s="223">
        <f t="shared" si="26"/>
        <v>50</v>
      </c>
    </row>
    <row r="75" spans="1:9" ht="31.5">
      <c r="A75" s="284" t="s">
        <v>106</v>
      </c>
      <c r="B75" s="163" t="s">
        <v>107</v>
      </c>
      <c r="C75" s="224">
        <v>50</v>
      </c>
      <c r="D75" s="224">
        <v>0</v>
      </c>
      <c r="E75" s="224">
        <v>50</v>
      </c>
      <c r="F75" s="224">
        <v>10</v>
      </c>
      <c r="G75" s="226">
        <v>15</v>
      </c>
      <c r="H75" s="226">
        <v>10</v>
      </c>
      <c r="I75" s="224">
        <v>10</v>
      </c>
    </row>
    <row r="76" spans="1:9" ht="18.75">
      <c r="A76" s="284" t="s">
        <v>108</v>
      </c>
      <c r="B76" s="163" t="s">
        <v>109</v>
      </c>
      <c r="C76" s="224">
        <v>30</v>
      </c>
      <c r="D76" s="224">
        <v>5</v>
      </c>
      <c r="E76" s="224">
        <v>30</v>
      </c>
      <c r="F76" s="224">
        <v>35</v>
      </c>
      <c r="G76" s="226">
        <v>40</v>
      </c>
      <c r="H76" s="226">
        <v>50</v>
      </c>
      <c r="I76" s="224">
        <v>40</v>
      </c>
    </row>
    <row r="77" spans="1:9" ht="47.25">
      <c r="A77" s="161" t="s">
        <v>110</v>
      </c>
      <c r="B77" s="170" t="s">
        <v>111</v>
      </c>
      <c r="C77" s="230">
        <v>2000</v>
      </c>
      <c r="D77" s="223">
        <v>484.8</v>
      </c>
      <c r="E77" s="230">
        <v>2000</v>
      </c>
      <c r="F77" s="223">
        <v>1200</v>
      </c>
      <c r="G77" s="223">
        <v>1200</v>
      </c>
      <c r="H77" s="223">
        <v>1200</v>
      </c>
      <c r="I77" s="223">
        <v>600</v>
      </c>
    </row>
    <row r="78" spans="1:9" ht="63" hidden="1">
      <c r="A78" s="9" t="s">
        <v>885</v>
      </c>
      <c r="B78" s="218" t="s">
        <v>886</v>
      </c>
      <c r="C78" s="230">
        <f>C79</f>
        <v>0</v>
      </c>
      <c r="D78" s="223">
        <f>SUM(D79)</f>
        <v>15</v>
      </c>
      <c r="E78" s="230">
        <f>E79</f>
        <v>15</v>
      </c>
      <c r="F78" s="223">
        <f>F79</f>
        <v>50</v>
      </c>
      <c r="G78" s="223">
        <f>G79</f>
        <v>50</v>
      </c>
      <c r="H78" s="223">
        <f>H79</f>
        <v>50</v>
      </c>
      <c r="I78" s="223">
        <f>I79</f>
        <v>0</v>
      </c>
    </row>
    <row r="79" spans="1:9" ht="63" hidden="1">
      <c r="A79" s="10" t="s">
        <v>887</v>
      </c>
      <c r="B79" s="211" t="s">
        <v>888</v>
      </c>
      <c r="C79" s="231">
        <v>0</v>
      </c>
      <c r="D79" s="224">
        <v>15</v>
      </c>
      <c r="E79" s="231">
        <v>15</v>
      </c>
      <c r="F79" s="224">
        <v>50</v>
      </c>
      <c r="G79" s="232">
        <v>50</v>
      </c>
      <c r="H79" s="232">
        <v>50</v>
      </c>
      <c r="I79" s="224">
        <v>0</v>
      </c>
    </row>
    <row r="80" spans="1:9" ht="31.5">
      <c r="A80" s="161" t="s">
        <v>112</v>
      </c>
      <c r="B80" s="170" t="s">
        <v>113</v>
      </c>
      <c r="C80" s="223">
        <f aca="true" t="shared" si="27" ref="C80:I80">C81</f>
        <v>5</v>
      </c>
      <c r="D80" s="223">
        <f t="shared" si="27"/>
        <v>232.2</v>
      </c>
      <c r="E80" s="223">
        <f t="shared" si="27"/>
        <v>232.2</v>
      </c>
      <c r="F80" s="223">
        <f t="shared" si="27"/>
        <v>5</v>
      </c>
      <c r="G80" s="223">
        <f t="shared" si="27"/>
        <v>5</v>
      </c>
      <c r="H80" s="223">
        <f t="shared" si="27"/>
        <v>5</v>
      </c>
      <c r="I80" s="223">
        <f t="shared" si="27"/>
        <v>5</v>
      </c>
    </row>
    <row r="81" spans="1:9" ht="31.5">
      <c r="A81" s="284" t="s">
        <v>114</v>
      </c>
      <c r="B81" s="163" t="s">
        <v>115</v>
      </c>
      <c r="C81" s="224">
        <v>5</v>
      </c>
      <c r="D81" s="224">
        <v>232.2</v>
      </c>
      <c r="E81" s="224">
        <v>232.2</v>
      </c>
      <c r="F81" s="224">
        <v>5</v>
      </c>
      <c r="G81" s="226">
        <v>5</v>
      </c>
      <c r="H81" s="226">
        <v>5</v>
      </c>
      <c r="I81" s="224">
        <v>5</v>
      </c>
    </row>
    <row r="82" spans="1:9" ht="63">
      <c r="A82" s="161" t="s">
        <v>116</v>
      </c>
      <c r="B82" s="170" t="s">
        <v>117</v>
      </c>
      <c r="C82" s="223">
        <v>215</v>
      </c>
      <c r="D82" s="223">
        <v>14</v>
      </c>
      <c r="E82" s="223">
        <v>215</v>
      </c>
      <c r="F82" s="223">
        <v>207</v>
      </c>
      <c r="G82" s="223">
        <v>207</v>
      </c>
      <c r="H82" s="223">
        <v>207</v>
      </c>
      <c r="I82" s="223">
        <v>23</v>
      </c>
    </row>
    <row r="83" spans="1:9" ht="31.5">
      <c r="A83" s="161" t="s">
        <v>118</v>
      </c>
      <c r="B83" s="170" t="s">
        <v>119</v>
      </c>
      <c r="C83" s="223">
        <f aca="true" t="shared" si="28" ref="C83:I83">C84</f>
        <v>547.5</v>
      </c>
      <c r="D83" s="223">
        <f t="shared" si="28"/>
        <v>471.3</v>
      </c>
      <c r="E83" s="223">
        <f t="shared" si="28"/>
        <v>547.5</v>
      </c>
      <c r="F83" s="223">
        <f t="shared" si="28"/>
        <v>331</v>
      </c>
      <c r="G83" s="223">
        <f t="shared" si="28"/>
        <v>381</v>
      </c>
      <c r="H83" s="223">
        <f t="shared" si="28"/>
        <v>381</v>
      </c>
      <c r="I83" s="223">
        <f t="shared" si="28"/>
        <v>313</v>
      </c>
    </row>
    <row r="84" spans="1:9" ht="31.5">
      <c r="A84" s="284" t="s">
        <v>120</v>
      </c>
      <c r="B84" s="163" t="s">
        <v>121</v>
      </c>
      <c r="C84" s="224">
        <v>547.5</v>
      </c>
      <c r="D84" s="224">
        <v>471.3</v>
      </c>
      <c r="E84" s="224">
        <v>547.5</v>
      </c>
      <c r="F84" s="224">
        <v>331</v>
      </c>
      <c r="G84" s="226">
        <v>381</v>
      </c>
      <c r="H84" s="226">
        <v>381</v>
      </c>
      <c r="I84" s="224">
        <v>313</v>
      </c>
    </row>
    <row r="85" spans="1:9" ht="18.75">
      <c r="A85" s="3" t="s">
        <v>889</v>
      </c>
      <c r="B85" s="218" t="s">
        <v>890</v>
      </c>
      <c r="C85" s="224">
        <v>0</v>
      </c>
      <c r="D85" s="223">
        <f aca="true" t="shared" si="29" ref="D85:I85">SUM(D88+D86)</f>
        <v>726.764</v>
      </c>
      <c r="E85" s="223">
        <f t="shared" si="29"/>
        <v>359.4</v>
      </c>
      <c r="F85" s="223">
        <f t="shared" si="29"/>
        <v>0</v>
      </c>
      <c r="G85" s="223">
        <f t="shared" si="29"/>
        <v>0</v>
      </c>
      <c r="H85" s="223">
        <f t="shared" si="29"/>
        <v>0</v>
      </c>
      <c r="I85" s="223">
        <f t="shared" si="29"/>
        <v>1162</v>
      </c>
    </row>
    <row r="86" spans="1:9" ht="18.75" hidden="1">
      <c r="A86" s="2" t="s">
        <v>891</v>
      </c>
      <c r="B86" s="218" t="s">
        <v>892</v>
      </c>
      <c r="C86" s="224">
        <v>0</v>
      </c>
      <c r="D86" s="223">
        <f aca="true" t="shared" si="30" ref="D86:I86">SUM(D87)</f>
        <v>367.375</v>
      </c>
      <c r="E86" s="223">
        <f t="shared" si="30"/>
        <v>0</v>
      </c>
      <c r="F86" s="223">
        <f t="shared" si="30"/>
        <v>0</v>
      </c>
      <c r="G86" s="223">
        <f t="shared" si="30"/>
        <v>0</v>
      </c>
      <c r="H86" s="223">
        <f t="shared" si="30"/>
        <v>0</v>
      </c>
      <c r="I86" s="223">
        <f t="shared" si="30"/>
        <v>0</v>
      </c>
    </row>
    <row r="87" spans="1:9" ht="18.75" hidden="1">
      <c r="A87" s="2" t="s">
        <v>893</v>
      </c>
      <c r="B87" s="211" t="s">
        <v>894</v>
      </c>
      <c r="C87" s="224">
        <v>0</v>
      </c>
      <c r="D87" s="224">
        <v>367.375</v>
      </c>
      <c r="E87" s="224">
        <v>0</v>
      </c>
      <c r="F87" s="224">
        <v>0</v>
      </c>
      <c r="G87" s="226">
        <v>0</v>
      </c>
      <c r="H87" s="226">
        <v>0</v>
      </c>
      <c r="I87" s="224">
        <v>0</v>
      </c>
    </row>
    <row r="88" spans="1:9" ht="18.75">
      <c r="A88" s="3" t="s">
        <v>895</v>
      </c>
      <c r="B88" s="218" t="s">
        <v>896</v>
      </c>
      <c r="C88" s="224">
        <v>0</v>
      </c>
      <c r="D88" s="223">
        <f aca="true" t="shared" si="31" ref="D88:I88">SUM(D89)</f>
        <v>359.389</v>
      </c>
      <c r="E88" s="223">
        <f t="shared" si="31"/>
        <v>359.4</v>
      </c>
      <c r="F88" s="223">
        <f t="shared" si="31"/>
        <v>0</v>
      </c>
      <c r="G88" s="223">
        <f t="shared" si="31"/>
        <v>0</v>
      </c>
      <c r="H88" s="223">
        <f t="shared" si="31"/>
        <v>0</v>
      </c>
      <c r="I88" s="223">
        <f t="shared" si="31"/>
        <v>1162</v>
      </c>
    </row>
    <row r="89" spans="1:11" ht="18.75">
      <c r="A89" s="2" t="s">
        <v>897</v>
      </c>
      <c r="B89" s="211" t="s">
        <v>898</v>
      </c>
      <c r="C89" s="224">
        <v>0</v>
      </c>
      <c r="D89" s="224">
        <v>359.389</v>
      </c>
      <c r="E89" s="224">
        <v>359.4</v>
      </c>
      <c r="F89" s="224">
        <v>0</v>
      </c>
      <c r="G89" s="226">
        <v>0</v>
      </c>
      <c r="H89" s="226">
        <v>0</v>
      </c>
      <c r="I89" s="224">
        <f>500+215+197+250</f>
        <v>1162</v>
      </c>
      <c r="J89" s="330" t="s">
        <v>1240</v>
      </c>
      <c r="K89" s="381" t="s">
        <v>1194</v>
      </c>
    </row>
    <row r="90" spans="1:16" ht="18.75">
      <c r="A90" s="161" t="s">
        <v>122</v>
      </c>
      <c r="B90" s="162" t="s">
        <v>123</v>
      </c>
      <c r="C90" s="223" t="e">
        <f>C91</f>
        <v>#REF!</v>
      </c>
      <c r="D90" s="223" t="e">
        <f>D91+D154</f>
        <v>#REF!</v>
      </c>
      <c r="E90" s="223" t="e">
        <f>E91</f>
        <v>#REF!</v>
      </c>
      <c r="F90" s="223" t="e">
        <f>F91</f>
        <v>#REF!</v>
      </c>
      <c r="G90" s="223" t="e">
        <f>G91</f>
        <v>#REF!</v>
      </c>
      <c r="H90" s="223" t="e">
        <f>H91</f>
        <v>#REF!</v>
      </c>
      <c r="I90" s="223">
        <f>SUM(I91+I154)</f>
        <v>451071.10728999996</v>
      </c>
      <c r="K90" s="371"/>
      <c r="L90" s="137"/>
      <c r="N90" s="257"/>
      <c r="P90" s="137"/>
    </row>
    <row r="91" spans="1:15" ht="31.5">
      <c r="A91" s="161" t="s">
        <v>124</v>
      </c>
      <c r="B91" s="162" t="s">
        <v>125</v>
      </c>
      <c r="C91" s="223" t="e">
        <f aca="true" t="shared" si="32" ref="C91:H91">C92+C97+C126+C148</f>
        <v>#REF!</v>
      </c>
      <c r="D91" s="223" t="e">
        <f t="shared" si="32"/>
        <v>#REF!</v>
      </c>
      <c r="E91" s="223" t="e">
        <f t="shared" si="32"/>
        <v>#REF!</v>
      </c>
      <c r="F91" s="223" t="e">
        <f t="shared" si="32"/>
        <v>#REF!</v>
      </c>
      <c r="G91" s="223" t="e">
        <f t="shared" si="32"/>
        <v>#REF!</v>
      </c>
      <c r="H91" s="223" t="e">
        <f t="shared" si="32"/>
        <v>#REF!</v>
      </c>
      <c r="I91" s="223">
        <f>SUM(I92+I97+I126+I148)</f>
        <v>377307.35728999996</v>
      </c>
      <c r="J91" s="331"/>
      <c r="N91" s="257"/>
      <c r="O91" s="137"/>
    </row>
    <row r="92" spans="1:9" ht="18.75">
      <c r="A92" s="161" t="s">
        <v>1036</v>
      </c>
      <c r="B92" s="171" t="s">
        <v>126</v>
      </c>
      <c r="C92" s="223">
        <f aca="true" t="shared" si="33" ref="C92:H92">C93</f>
        <v>105360</v>
      </c>
      <c r="D92" s="223">
        <f t="shared" si="33"/>
        <v>79011</v>
      </c>
      <c r="E92" s="223">
        <f t="shared" si="33"/>
        <v>105360</v>
      </c>
      <c r="F92" s="223">
        <f t="shared" si="33"/>
        <v>115839.7</v>
      </c>
      <c r="G92" s="223">
        <f t="shared" si="33"/>
        <v>105360</v>
      </c>
      <c r="H92" s="223">
        <f t="shared" si="33"/>
        <v>105360</v>
      </c>
      <c r="I92" s="223">
        <f>I93+I96</f>
        <v>160023</v>
      </c>
    </row>
    <row r="93" spans="1:12" ht="31.5">
      <c r="A93" s="161" t="s">
        <v>1035</v>
      </c>
      <c r="B93" s="162" t="s">
        <v>127</v>
      </c>
      <c r="C93" s="223">
        <f aca="true" t="shared" si="34" ref="C93:I93">SUM(C94+C95)</f>
        <v>105360</v>
      </c>
      <c r="D93" s="223">
        <f t="shared" si="34"/>
        <v>79011</v>
      </c>
      <c r="E93" s="223">
        <f t="shared" si="34"/>
        <v>105360</v>
      </c>
      <c r="F93" s="223">
        <f t="shared" si="34"/>
        <v>115839.7</v>
      </c>
      <c r="G93" s="223">
        <f t="shared" si="34"/>
        <v>105360</v>
      </c>
      <c r="H93" s="223">
        <f t="shared" si="34"/>
        <v>105360</v>
      </c>
      <c r="I93" s="223">
        <f t="shared" si="34"/>
        <v>135023</v>
      </c>
      <c r="L93" s="137"/>
    </row>
    <row r="94" spans="1:9" ht="94.5">
      <c r="A94" s="156" t="s">
        <v>1035</v>
      </c>
      <c r="B94" s="168" t="s">
        <v>128</v>
      </c>
      <c r="C94" s="224">
        <v>104300</v>
      </c>
      <c r="D94" s="224">
        <v>78219</v>
      </c>
      <c r="E94" s="224">
        <v>104300</v>
      </c>
      <c r="F94" s="224">
        <f>104300+28315-2567.5-18351+5224.9+38-9780.7+7561+40</f>
        <v>114779.7</v>
      </c>
      <c r="G94" s="224">
        <v>104300</v>
      </c>
      <c r="H94" s="224">
        <v>104300</v>
      </c>
      <c r="I94" s="224">
        <v>134322</v>
      </c>
    </row>
    <row r="95" spans="1:9" ht="94.5">
      <c r="A95" s="156" t="s">
        <v>1035</v>
      </c>
      <c r="B95" s="168" t="s">
        <v>129</v>
      </c>
      <c r="C95" s="224">
        <v>1060</v>
      </c>
      <c r="D95" s="224">
        <v>792</v>
      </c>
      <c r="E95" s="224">
        <v>1060</v>
      </c>
      <c r="F95" s="224">
        <v>1060</v>
      </c>
      <c r="G95" s="224">
        <v>1060</v>
      </c>
      <c r="H95" s="224">
        <v>1060</v>
      </c>
      <c r="I95" s="224">
        <v>701</v>
      </c>
    </row>
    <row r="96" spans="1:11" s="254" customFormat="1" ht="31.5">
      <c r="A96" s="158" t="s">
        <v>1183</v>
      </c>
      <c r="B96" s="162" t="s">
        <v>986</v>
      </c>
      <c r="C96" s="223">
        <v>105360</v>
      </c>
      <c r="D96" s="223">
        <v>79011</v>
      </c>
      <c r="E96" s="223">
        <v>105360</v>
      </c>
      <c r="F96" s="223">
        <v>115839.7</v>
      </c>
      <c r="G96" s="223">
        <v>105360</v>
      </c>
      <c r="H96" s="223">
        <v>105360</v>
      </c>
      <c r="I96" s="223">
        <f>10000+15000</f>
        <v>25000</v>
      </c>
      <c r="J96" s="328" t="s">
        <v>1127</v>
      </c>
      <c r="K96" s="372"/>
    </row>
    <row r="97" spans="1:15" ht="30" customHeight="1">
      <c r="A97" s="161" t="s">
        <v>1034</v>
      </c>
      <c r="B97" s="162" t="s">
        <v>130</v>
      </c>
      <c r="C97" s="223" t="e">
        <f aca="true" t="shared" si="35" ref="C97:H97">C98+C100+C104+C106</f>
        <v>#REF!</v>
      </c>
      <c r="D97" s="223" t="e">
        <f t="shared" si="35"/>
        <v>#REF!</v>
      </c>
      <c r="E97" s="223" t="e">
        <f t="shared" si="35"/>
        <v>#REF!</v>
      </c>
      <c r="F97" s="223" t="e">
        <f t="shared" si="35"/>
        <v>#REF!</v>
      </c>
      <c r="G97" s="223" t="e">
        <f t="shared" si="35"/>
        <v>#REF!</v>
      </c>
      <c r="H97" s="223" t="e">
        <f t="shared" si="35"/>
        <v>#REF!</v>
      </c>
      <c r="I97" s="223">
        <f>I98+I104+I100+I106+I102</f>
        <v>28992.420000000002</v>
      </c>
      <c r="J97" s="331"/>
      <c r="K97" s="371"/>
      <c r="L97" s="137"/>
      <c r="M97" s="137"/>
      <c r="N97" s="257"/>
      <c r="O97" s="137"/>
    </row>
    <row r="98" spans="1:13" ht="31.5">
      <c r="A98" s="172" t="s">
        <v>1182</v>
      </c>
      <c r="B98" s="162" t="s">
        <v>971</v>
      </c>
      <c r="C98" s="223">
        <f aca="true" t="shared" si="36" ref="C98:I98">SUM(C99)</f>
        <v>319</v>
      </c>
      <c r="D98" s="223">
        <f t="shared" si="36"/>
        <v>319</v>
      </c>
      <c r="E98" s="223">
        <f t="shared" si="36"/>
        <v>319</v>
      </c>
      <c r="F98" s="223">
        <f t="shared" si="36"/>
        <v>0</v>
      </c>
      <c r="G98" s="223">
        <f t="shared" si="36"/>
        <v>0</v>
      </c>
      <c r="H98" s="223">
        <f t="shared" si="36"/>
        <v>0</v>
      </c>
      <c r="I98" s="223">
        <f t="shared" si="36"/>
        <v>284.7</v>
      </c>
      <c r="M98" s="173"/>
    </row>
    <row r="99" spans="1:11" s="173" customFormat="1" ht="110.25">
      <c r="A99" s="378" t="s">
        <v>1182</v>
      </c>
      <c r="B99" s="168" t="s">
        <v>951</v>
      </c>
      <c r="C99" s="224">
        <v>319</v>
      </c>
      <c r="D99" s="224">
        <v>319</v>
      </c>
      <c r="E99" s="224">
        <v>319</v>
      </c>
      <c r="F99" s="224">
        <v>0</v>
      </c>
      <c r="G99" s="224">
        <v>0</v>
      </c>
      <c r="H99" s="224">
        <v>0</v>
      </c>
      <c r="I99" s="224">
        <v>284.7</v>
      </c>
      <c r="J99" s="328"/>
      <c r="K99" s="368"/>
    </row>
    <row r="100" spans="1:9" ht="31.5" hidden="1">
      <c r="A100" s="172" t="s">
        <v>766</v>
      </c>
      <c r="B100" s="162" t="s">
        <v>981</v>
      </c>
      <c r="C100" s="223">
        <f aca="true" t="shared" si="37" ref="C100:I100">SUM(C101)</f>
        <v>3.5</v>
      </c>
      <c r="D100" s="223">
        <f t="shared" si="37"/>
        <v>3.5</v>
      </c>
      <c r="E100" s="223">
        <f t="shared" si="37"/>
        <v>3.5</v>
      </c>
      <c r="F100" s="223">
        <f t="shared" si="37"/>
        <v>0</v>
      </c>
      <c r="G100" s="223">
        <f t="shared" si="37"/>
        <v>0</v>
      </c>
      <c r="H100" s="223">
        <f t="shared" si="37"/>
        <v>0</v>
      </c>
      <c r="I100" s="223">
        <f t="shared" si="37"/>
        <v>0</v>
      </c>
    </row>
    <row r="101" spans="1:11" s="173" customFormat="1" ht="78.75" hidden="1">
      <c r="A101" s="378" t="s">
        <v>766</v>
      </c>
      <c r="B101" s="168" t="s">
        <v>947</v>
      </c>
      <c r="C101" s="224">
        <v>3.5</v>
      </c>
      <c r="D101" s="224">
        <v>3.5</v>
      </c>
      <c r="E101" s="224">
        <v>3.5</v>
      </c>
      <c r="F101" s="224">
        <v>0</v>
      </c>
      <c r="G101" s="224">
        <v>0</v>
      </c>
      <c r="H101" s="224">
        <v>0</v>
      </c>
      <c r="I101" s="224">
        <v>0</v>
      </c>
      <c r="J101" s="330"/>
      <c r="K101" s="370"/>
    </row>
    <row r="102" spans="1:11" s="173" customFormat="1" ht="39.75" customHeight="1">
      <c r="A102" s="172" t="s">
        <v>1065</v>
      </c>
      <c r="B102" s="171" t="s">
        <v>1066</v>
      </c>
      <c r="C102" s="224"/>
      <c r="D102" s="224"/>
      <c r="E102" s="224"/>
      <c r="F102" s="224"/>
      <c r="G102" s="224"/>
      <c r="H102" s="224"/>
      <c r="I102" s="223">
        <f>I103</f>
        <v>4483.8</v>
      </c>
      <c r="J102" s="330"/>
      <c r="K102" s="370"/>
    </row>
    <row r="103" spans="1:11" s="173" customFormat="1" ht="90" customHeight="1">
      <c r="A103" s="378" t="s">
        <v>1065</v>
      </c>
      <c r="B103" s="168" t="s">
        <v>1067</v>
      </c>
      <c r="C103" s="224"/>
      <c r="D103" s="224"/>
      <c r="E103" s="224"/>
      <c r="F103" s="224"/>
      <c r="G103" s="224"/>
      <c r="H103" s="224"/>
      <c r="I103" s="224">
        <v>4483.8</v>
      </c>
      <c r="J103" s="328"/>
      <c r="K103" s="370"/>
    </row>
    <row r="104" spans="1:13" ht="47.25">
      <c r="A104" s="172" t="s">
        <v>1033</v>
      </c>
      <c r="B104" s="162" t="s">
        <v>767</v>
      </c>
      <c r="C104" s="223">
        <f aca="true" t="shared" si="38" ref="C104:I104">SUM(C105)</f>
        <v>1406.9</v>
      </c>
      <c r="D104" s="223">
        <f t="shared" si="38"/>
        <v>1406.9</v>
      </c>
      <c r="E104" s="223">
        <f t="shared" si="38"/>
        <v>1406.9</v>
      </c>
      <c r="F104" s="223">
        <f t="shared" si="38"/>
        <v>0</v>
      </c>
      <c r="G104" s="223">
        <f t="shared" si="38"/>
        <v>0</v>
      </c>
      <c r="H104" s="223">
        <f t="shared" si="38"/>
        <v>0</v>
      </c>
      <c r="I104" s="223">
        <f t="shared" si="38"/>
        <v>2114.52</v>
      </c>
      <c r="J104" s="331"/>
      <c r="M104" s="173"/>
    </row>
    <row r="105" spans="1:11" s="173" customFormat="1" ht="93" customHeight="1">
      <c r="A105" s="378" t="s">
        <v>1033</v>
      </c>
      <c r="B105" s="168" t="s">
        <v>1092</v>
      </c>
      <c r="C105" s="224">
        <v>1406.9</v>
      </c>
      <c r="D105" s="224">
        <v>1406.9</v>
      </c>
      <c r="E105" s="224">
        <v>1406.9</v>
      </c>
      <c r="F105" s="224">
        <v>0</v>
      </c>
      <c r="G105" s="224">
        <v>0</v>
      </c>
      <c r="H105" s="224">
        <v>0</v>
      </c>
      <c r="I105" s="224">
        <f>2114.52</f>
        <v>2114.52</v>
      </c>
      <c r="J105" s="328"/>
      <c r="K105" s="368"/>
    </row>
    <row r="106" spans="1:15" s="254" customFormat="1" ht="18.75">
      <c r="A106" s="395" t="s">
        <v>1032</v>
      </c>
      <c r="B106" s="162" t="s">
        <v>131</v>
      </c>
      <c r="C106" s="223" t="e">
        <f>SUM(C108+C109+C110+C111+C114+C115+#REF!+C116+#REF!+#REF!+#REF!+C117+#REF!+#REF!+#REF!+#REF!+#REF!+#REF!)</f>
        <v>#REF!</v>
      </c>
      <c r="D106" s="223" t="e">
        <f>SUM(D108+D109+D110+D111+D114+D115+#REF!+D116+#REF!+#REF!+#REF!+D117+#REF!+#REF!+#REF!+#REF!+#REF!+#REF!)</f>
        <v>#REF!</v>
      </c>
      <c r="E106" s="223" t="e">
        <f>SUM(E108+E109+E110+E111+E114+E115+#REF!+E116+#REF!+#REF!+#REF!+E117+#REF!+#REF!+#REF!+#REF!+#REF!+#REF!)</f>
        <v>#REF!</v>
      </c>
      <c r="F106" s="223" t="e">
        <f>SUM(F108+F109+F110+F111+F114+F115+#REF!+F116+#REF!+#REF!+#REF!+F117+#REF!+#REF!+#REF!+#REF!+#REF!+#REF!)</f>
        <v>#REF!</v>
      </c>
      <c r="G106" s="223" t="e">
        <f>SUM(G108+G109+G110+G111+G114+G115+#REF!+G116+#REF!+#REF!+#REF!+G117+#REF!+#REF!+#REF!+#REF!+#REF!+#REF!)</f>
        <v>#REF!</v>
      </c>
      <c r="H106" s="223" t="e">
        <f>SUM(H108+H109+H110+H111+H114+H115+#REF!+H116+#REF!+#REF!+#REF!+H117+#REF!+#REF!+#REF!+#REF!+#REF!+#REF!)</f>
        <v>#REF!</v>
      </c>
      <c r="I106" s="259">
        <f>SUM(I108+I109+I110+I111+I114+I115+I116+I117+I118+I119+I120+I121+I122+I123+I124+I125)</f>
        <v>22109.4</v>
      </c>
      <c r="J106" s="332"/>
      <c r="K106" s="372"/>
      <c r="M106" s="257"/>
      <c r="O106" s="255"/>
    </row>
    <row r="107" spans="1:9" ht="18.75">
      <c r="A107" s="396"/>
      <c r="B107" s="168" t="s">
        <v>132</v>
      </c>
      <c r="C107" s="224"/>
      <c r="D107" s="224"/>
      <c r="E107" s="224"/>
      <c r="F107" s="224"/>
      <c r="G107" s="224"/>
      <c r="H107" s="224"/>
      <c r="I107" s="224"/>
    </row>
    <row r="108" spans="1:9" ht="126.75" customHeight="1">
      <c r="A108" s="396"/>
      <c r="B108" s="168" t="s">
        <v>1018</v>
      </c>
      <c r="C108" s="224">
        <v>18292</v>
      </c>
      <c r="D108" s="224">
        <v>13716</v>
      </c>
      <c r="E108" s="224">
        <v>18292</v>
      </c>
      <c r="F108" s="224">
        <v>18292</v>
      </c>
      <c r="G108" s="224">
        <v>18292</v>
      </c>
      <c r="H108" s="224">
        <v>18292</v>
      </c>
      <c r="I108" s="224">
        <v>7332</v>
      </c>
    </row>
    <row r="109" spans="1:9" ht="63">
      <c r="A109" s="396"/>
      <c r="B109" s="163" t="s">
        <v>1019</v>
      </c>
      <c r="C109" s="224">
        <v>177.3</v>
      </c>
      <c r="D109" s="224">
        <v>0</v>
      </c>
      <c r="E109" s="224">
        <v>177.3</v>
      </c>
      <c r="F109" s="224">
        <v>177.3</v>
      </c>
      <c r="G109" s="224">
        <v>177.3</v>
      </c>
      <c r="H109" s="224">
        <v>177.3</v>
      </c>
      <c r="I109" s="224">
        <v>69.1</v>
      </c>
    </row>
    <row r="110" spans="1:15" ht="80.25" customHeight="1">
      <c r="A110" s="396"/>
      <c r="B110" s="174" t="s">
        <v>777</v>
      </c>
      <c r="C110" s="233">
        <v>1303.8</v>
      </c>
      <c r="D110" s="233">
        <v>1303.8</v>
      </c>
      <c r="E110" s="233">
        <v>1303.8</v>
      </c>
      <c r="F110" s="233">
        <v>1303.8</v>
      </c>
      <c r="G110" s="233">
        <v>1303.8</v>
      </c>
      <c r="H110" s="233">
        <v>1303.8</v>
      </c>
      <c r="I110" s="233">
        <f>2124.9+1127.4</f>
        <v>3252.3</v>
      </c>
      <c r="J110" s="328"/>
      <c r="K110" s="369"/>
      <c r="O110" s="137"/>
    </row>
    <row r="111" spans="1:13" ht="63">
      <c r="A111" s="396"/>
      <c r="B111" s="175" t="s">
        <v>1020</v>
      </c>
      <c r="C111" s="234">
        <f aca="true" t="shared" si="39" ref="C111:I111">SUM(C112:C113)</f>
        <v>40</v>
      </c>
      <c r="D111" s="234">
        <f t="shared" si="39"/>
        <v>20</v>
      </c>
      <c r="E111" s="234">
        <f t="shared" si="39"/>
        <v>72</v>
      </c>
      <c r="F111" s="234">
        <f t="shared" si="39"/>
        <v>72</v>
      </c>
      <c r="G111" s="234">
        <f t="shared" si="39"/>
        <v>72</v>
      </c>
      <c r="H111" s="234">
        <f t="shared" si="39"/>
        <v>72</v>
      </c>
      <c r="I111" s="234">
        <f t="shared" si="39"/>
        <v>65</v>
      </c>
      <c r="M111" s="176"/>
    </row>
    <row r="112" spans="1:18" s="176" customFormat="1" ht="94.5" customHeight="1">
      <c r="A112" s="396"/>
      <c r="B112" s="402" t="s">
        <v>1017</v>
      </c>
      <c r="C112" s="403"/>
      <c r="D112" s="235">
        <v>0</v>
      </c>
      <c r="E112" s="235">
        <v>32</v>
      </c>
      <c r="F112" s="235">
        <v>32</v>
      </c>
      <c r="G112" s="235">
        <v>32</v>
      </c>
      <c r="H112" s="235">
        <v>32</v>
      </c>
      <c r="I112" s="235">
        <v>40</v>
      </c>
      <c r="J112" s="330"/>
      <c r="K112" s="373"/>
      <c r="R112" s="152"/>
    </row>
    <row r="113" spans="1:18" s="176" customFormat="1" ht="110.25">
      <c r="A113" s="396"/>
      <c r="B113" s="193" t="s">
        <v>1068</v>
      </c>
      <c r="C113" s="236">
        <v>40</v>
      </c>
      <c r="D113" s="236">
        <v>20</v>
      </c>
      <c r="E113" s="236">
        <v>40</v>
      </c>
      <c r="F113" s="236">
        <v>40</v>
      </c>
      <c r="G113" s="236">
        <v>40</v>
      </c>
      <c r="H113" s="236">
        <v>40</v>
      </c>
      <c r="I113" s="236">
        <v>25</v>
      </c>
      <c r="J113" s="328"/>
      <c r="K113" s="373"/>
      <c r="R113" s="152"/>
    </row>
    <row r="114" spans="1:11" ht="78.75">
      <c r="A114" s="396"/>
      <c r="B114" s="163" t="s">
        <v>133</v>
      </c>
      <c r="C114" s="224">
        <v>1293.6</v>
      </c>
      <c r="D114" s="224">
        <v>580</v>
      </c>
      <c r="E114" s="224">
        <v>1293.6</v>
      </c>
      <c r="F114" s="224">
        <v>1293.6</v>
      </c>
      <c r="G114" s="224">
        <v>1293.6</v>
      </c>
      <c r="H114" s="224">
        <v>1293.6</v>
      </c>
      <c r="I114" s="224">
        <f>1317.5+351.1</f>
        <v>1668.6</v>
      </c>
      <c r="J114" s="328"/>
      <c r="K114" s="368"/>
    </row>
    <row r="115" spans="1:11" ht="78.75">
      <c r="A115" s="396"/>
      <c r="B115" s="163" t="s">
        <v>1021</v>
      </c>
      <c r="C115" s="224">
        <v>450</v>
      </c>
      <c r="D115" s="224">
        <v>280</v>
      </c>
      <c r="E115" s="224">
        <v>450</v>
      </c>
      <c r="F115" s="224">
        <v>450</v>
      </c>
      <c r="G115" s="224">
        <v>450</v>
      </c>
      <c r="H115" s="224">
        <v>450</v>
      </c>
      <c r="I115" s="224">
        <v>255</v>
      </c>
      <c r="K115" s="368"/>
    </row>
    <row r="116" spans="1:11" ht="94.5">
      <c r="A116" s="396"/>
      <c r="B116" s="163" t="s">
        <v>1022</v>
      </c>
      <c r="C116" s="224">
        <v>488.7</v>
      </c>
      <c r="D116" s="224">
        <v>288.3</v>
      </c>
      <c r="E116" s="224">
        <v>488.7</v>
      </c>
      <c r="F116" s="224">
        <v>488.7</v>
      </c>
      <c r="G116" s="224">
        <v>488.7</v>
      </c>
      <c r="H116" s="224">
        <v>488.7</v>
      </c>
      <c r="I116" s="224">
        <f>488.7+8</f>
        <v>496.7</v>
      </c>
      <c r="J116" s="328"/>
      <c r="K116" s="368"/>
    </row>
    <row r="117" spans="1:9" ht="94.5" customHeight="1" hidden="1">
      <c r="A117" s="396"/>
      <c r="B117" s="163" t="s">
        <v>929</v>
      </c>
      <c r="C117" s="224">
        <v>0.5</v>
      </c>
      <c r="D117" s="224">
        <v>0.5</v>
      </c>
      <c r="E117" s="224">
        <v>0.5</v>
      </c>
      <c r="F117" s="224">
        <v>0</v>
      </c>
      <c r="G117" s="224">
        <v>0</v>
      </c>
      <c r="H117" s="224">
        <v>0</v>
      </c>
      <c r="I117" s="224">
        <v>0</v>
      </c>
    </row>
    <row r="118" spans="1:9" ht="78.75" customHeight="1" hidden="1">
      <c r="A118" s="396"/>
      <c r="B118" s="248" t="s">
        <v>938</v>
      </c>
      <c r="C118" s="224"/>
      <c r="D118" s="224"/>
      <c r="E118" s="224"/>
      <c r="F118" s="224"/>
      <c r="G118" s="224"/>
      <c r="H118" s="224"/>
      <c r="I118" s="224">
        <v>0</v>
      </c>
    </row>
    <row r="119" spans="1:9" ht="94.5" customHeight="1" hidden="1">
      <c r="A119" s="396"/>
      <c r="B119" s="248" t="s">
        <v>942</v>
      </c>
      <c r="C119" s="224"/>
      <c r="D119" s="224"/>
      <c r="E119" s="224"/>
      <c r="F119" s="224"/>
      <c r="G119" s="224"/>
      <c r="H119" s="224"/>
      <c r="I119" s="224">
        <v>0</v>
      </c>
    </row>
    <row r="120" spans="1:11" s="252" customFormat="1" ht="47.25" customHeight="1" hidden="1">
      <c r="A120" s="396"/>
      <c r="B120" s="248" t="s">
        <v>950</v>
      </c>
      <c r="C120" s="256">
        <v>0</v>
      </c>
      <c r="D120" s="256">
        <v>0</v>
      </c>
      <c r="E120" s="256">
        <v>0</v>
      </c>
      <c r="F120" s="256">
        <f>SUM(E120-D120)</f>
        <v>0</v>
      </c>
      <c r="G120" s="256">
        <f>SUM(F120-E120)</f>
        <v>0</v>
      </c>
      <c r="H120" s="256">
        <f>SUM(G120-F120)</f>
        <v>0</v>
      </c>
      <c r="I120" s="256">
        <v>0</v>
      </c>
      <c r="J120" s="333"/>
      <c r="K120" s="374"/>
    </row>
    <row r="121" spans="1:11" s="252" customFormat="1" ht="78.75" customHeight="1" hidden="1">
      <c r="A121" s="396"/>
      <c r="B121" s="248" t="s">
        <v>979</v>
      </c>
      <c r="C121" s="256"/>
      <c r="D121" s="256"/>
      <c r="E121" s="256"/>
      <c r="F121" s="256"/>
      <c r="G121" s="256"/>
      <c r="H121" s="256"/>
      <c r="I121" s="256">
        <v>0</v>
      </c>
      <c r="J121" s="333"/>
      <c r="K121" s="374"/>
    </row>
    <row r="122" spans="1:11" s="252" customFormat="1" ht="142.5" customHeight="1">
      <c r="A122" s="396"/>
      <c r="B122" s="248" t="s">
        <v>980</v>
      </c>
      <c r="C122" s="256"/>
      <c r="D122" s="256"/>
      <c r="E122" s="256"/>
      <c r="F122" s="256"/>
      <c r="G122" s="256"/>
      <c r="H122" s="256"/>
      <c r="I122" s="256">
        <v>165.9</v>
      </c>
      <c r="J122" s="333"/>
      <c r="K122" s="374"/>
    </row>
    <row r="123" spans="1:11" s="252" customFormat="1" ht="31.5" customHeight="1" hidden="1">
      <c r="A123" s="396"/>
      <c r="B123" s="248" t="s">
        <v>982</v>
      </c>
      <c r="C123" s="256"/>
      <c r="D123" s="256"/>
      <c r="E123" s="256"/>
      <c r="F123" s="256"/>
      <c r="G123" s="256"/>
      <c r="H123" s="256"/>
      <c r="I123" s="256">
        <v>0</v>
      </c>
      <c r="J123" s="333"/>
      <c r="K123" s="374"/>
    </row>
    <row r="124" spans="1:11" s="252" customFormat="1" ht="144.75" customHeight="1">
      <c r="A124" s="397"/>
      <c r="B124" s="248" t="s">
        <v>1128</v>
      </c>
      <c r="C124" s="256"/>
      <c r="D124" s="256"/>
      <c r="E124" s="256"/>
      <c r="F124" s="256"/>
      <c r="G124" s="256"/>
      <c r="H124" s="256"/>
      <c r="I124" s="256">
        <v>136</v>
      </c>
      <c r="J124" s="329" t="s">
        <v>1095</v>
      </c>
      <c r="K124" s="374"/>
    </row>
    <row r="125" spans="1:11" s="252" customFormat="1" ht="127.5" customHeight="1">
      <c r="A125" s="379"/>
      <c r="B125" s="248" t="s">
        <v>1129</v>
      </c>
      <c r="C125" s="256"/>
      <c r="D125" s="256"/>
      <c r="E125" s="256"/>
      <c r="F125" s="256"/>
      <c r="G125" s="256"/>
      <c r="H125" s="256"/>
      <c r="I125" s="256">
        <f>10230.9-1562.1</f>
        <v>8668.8</v>
      </c>
      <c r="J125" s="329" t="s">
        <v>1239</v>
      </c>
      <c r="K125" s="375" t="s">
        <v>1231</v>
      </c>
    </row>
    <row r="126" spans="1:12" ht="18.75">
      <c r="A126" s="161" t="s">
        <v>1031</v>
      </c>
      <c r="B126" s="170" t="s">
        <v>134</v>
      </c>
      <c r="C126" s="223">
        <f aca="true" t="shared" si="40" ref="C126:H126">C146+C127</f>
        <v>153786.49999999997</v>
      </c>
      <c r="D126" s="223">
        <f t="shared" si="40"/>
        <v>126329.75700000001</v>
      </c>
      <c r="E126" s="223">
        <f t="shared" si="40"/>
        <v>153786.49999999997</v>
      </c>
      <c r="F126" s="223">
        <f t="shared" si="40"/>
        <v>151654.49999999997</v>
      </c>
      <c r="G126" s="223">
        <f t="shared" si="40"/>
        <v>151654.49999999997</v>
      </c>
      <c r="H126" s="223">
        <f t="shared" si="40"/>
        <v>151654.49999999997</v>
      </c>
      <c r="I126" s="223">
        <f>I146+I127+I143</f>
        <v>176061.13728999996</v>
      </c>
      <c r="L126" s="137"/>
    </row>
    <row r="127" spans="1:9" ht="31.5">
      <c r="A127" s="161" t="s">
        <v>1030</v>
      </c>
      <c r="B127" s="170" t="s">
        <v>135</v>
      </c>
      <c r="C127" s="223">
        <f aca="true" t="shared" si="41" ref="C127:H127">C128</f>
        <v>153084.69999999998</v>
      </c>
      <c r="D127" s="223">
        <f t="shared" si="41"/>
        <v>125634.50700000001</v>
      </c>
      <c r="E127" s="223">
        <f t="shared" si="41"/>
        <v>153084.69999999998</v>
      </c>
      <c r="F127" s="223">
        <f t="shared" si="41"/>
        <v>150952.69999999998</v>
      </c>
      <c r="G127" s="223">
        <f t="shared" si="41"/>
        <v>150952.69999999998</v>
      </c>
      <c r="H127" s="223">
        <f t="shared" si="41"/>
        <v>150952.69999999998</v>
      </c>
      <c r="I127" s="223">
        <f>I128</f>
        <v>175319.73728999996</v>
      </c>
    </row>
    <row r="128" spans="1:9" ht="31.5">
      <c r="A128" s="395" t="s">
        <v>1029</v>
      </c>
      <c r="B128" s="163" t="s">
        <v>136</v>
      </c>
      <c r="C128" s="224">
        <f aca="true" t="shared" si="42" ref="C128:H128">SUM(C130+C131+C132+C133+C134+C135+C136+C139+C140+C141+C142)</f>
        <v>153084.69999999998</v>
      </c>
      <c r="D128" s="224">
        <f t="shared" si="42"/>
        <v>125634.50700000001</v>
      </c>
      <c r="E128" s="224">
        <f t="shared" si="42"/>
        <v>153084.69999999998</v>
      </c>
      <c r="F128" s="224">
        <f t="shared" si="42"/>
        <v>150952.69999999998</v>
      </c>
      <c r="G128" s="224">
        <f t="shared" si="42"/>
        <v>150952.69999999998</v>
      </c>
      <c r="H128" s="224">
        <f t="shared" si="42"/>
        <v>150952.69999999998</v>
      </c>
      <c r="I128" s="224">
        <f>SUM(I130+I131+I132+I133+I134+I135+I136+I139+I140+I141+I142+I145)</f>
        <v>175319.73728999996</v>
      </c>
    </row>
    <row r="129" spans="1:9" ht="18.75">
      <c r="A129" s="396"/>
      <c r="B129" s="163" t="s">
        <v>137</v>
      </c>
      <c r="C129" s="224"/>
      <c r="D129" s="224"/>
      <c r="E129" s="224"/>
      <c r="F129" s="224"/>
      <c r="G129" s="224"/>
      <c r="H129" s="224"/>
      <c r="I129" s="224"/>
    </row>
    <row r="130" spans="1:11" ht="110.25">
      <c r="A130" s="396"/>
      <c r="B130" s="174" t="s">
        <v>778</v>
      </c>
      <c r="C130" s="234">
        <v>79753.6</v>
      </c>
      <c r="D130" s="234">
        <v>66712.5</v>
      </c>
      <c r="E130" s="234">
        <v>79753.6</v>
      </c>
      <c r="F130" s="234">
        <v>79753.6</v>
      </c>
      <c r="G130" s="234">
        <v>79753.6</v>
      </c>
      <c r="H130" s="234">
        <v>79753.6</v>
      </c>
      <c r="I130" s="234">
        <f>92921.9-359.1-7019.16271+2700+4319.2-1114.9</f>
        <v>91447.93728999999</v>
      </c>
      <c r="J130" s="328" t="s">
        <v>1236</v>
      </c>
      <c r="K130" s="380" t="s">
        <v>1235</v>
      </c>
    </row>
    <row r="131" spans="1:11" ht="78.75">
      <c r="A131" s="396"/>
      <c r="B131" s="163" t="s">
        <v>138</v>
      </c>
      <c r="C131" s="224">
        <f>58518.6-2198.6</f>
        <v>56320</v>
      </c>
      <c r="D131" s="224">
        <v>46863</v>
      </c>
      <c r="E131" s="224">
        <f>58518.6-2198.6</f>
        <v>56320</v>
      </c>
      <c r="F131" s="224">
        <f>58518.6-2198.6</f>
        <v>56320</v>
      </c>
      <c r="G131" s="224">
        <f>58518.6-2198.6</f>
        <v>56320</v>
      </c>
      <c r="H131" s="224">
        <f>58518.6-2198.6</f>
        <v>56320</v>
      </c>
      <c r="I131" s="224">
        <f>70227.1-7695.7+7695.7-2019.6</f>
        <v>68207.5</v>
      </c>
      <c r="J131" s="328" t="s">
        <v>1234</v>
      </c>
      <c r="K131" s="380" t="s">
        <v>1233</v>
      </c>
    </row>
    <row r="132" spans="1:11" ht="110.25">
      <c r="A132" s="396"/>
      <c r="B132" s="163" t="s">
        <v>768</v>
      </c>
      <c r="C132" s="224">
        <v>4932.5</v>
      </c>
      <c r="D132" s="224">
        <v>3043.057</v>
      </c>
      <c r="E132" s="224">
        <v>4932.5</v>
      </c>
      <c r="F132" s="224">
        <v>4932.5</v>
      </c>
      <c r="G132" s="224">
        <v>4932.5</v>
      </c>
      <c r="H132" s="224">
        <v>4932.5</v>
      </c>
      <c r="I132" s="224">
        <v>5112</v>
      </c>
      <c r="J132" s="328"/>
      <c r="K132" s="368"/>
    </row>
    <row r="133" spans="1:11" ht="110.25">
      <c r="A133" s="396"/>
      <c r="B133" s="163" t="s">
        <v>769</v>
      </c>
      <c r="C133" s="224">
        <v>1507.8</v>
      </c>
      <c r="D133" s="224">
        <v>1075.1</v>
      </c>
      <c r="E133" s="224">
        <v>1507.8</v>
      </c>
      <c r="F133" s="224">
        <v>1507.8</v>
      </c>
      <c r="G133" s="224">
        <v>1507.8</v>
      </c>
      <c r="H133" s="224">
        <v>1507.8</v>
      </c>
      <c r="I133" s="224">
        <f>1477.3-386+59.7+197.6</f>
        <v>1348.6</v>
      </c>
      <c r="J133" s="328" t="s">
        <v>1125</v>
      </c>
      <c r="K133" s="368"/>
    </row>
    <row r="134" spans="1:9" ht="110.25">
      <c r="A134" s="396"/>
      <c r="B134" s="163" t="s">
        <v>139</v>
      </c>
      <c r="C134" s="224">
        <v>1752.9</v>
      </c>
      <c r="D134" s="224">
        <v>1279.5</v>
      </c>
      <c r="E134" s="224">
        <v>1752.9</v>
      </c>
      <c r="F134" s="224">
        <v>1752.9</v>
      </c>
      <c r="G134" s="224">
        <v>1752.9</v>
      </c>
      <c r="H134" s="224">
        <v>1752.9</v>
      </c>
      <c r="I134" s="224">
        <v>1333.1</v>
      </c>
    </row>
    <row r="135" spans="1:11" ht="110.25">
      <c r="A135" s="396"/>
      <c r="B135" s="163" t="s">
        <v>140</v>
      </c>
      <c r="C135" s="224">
        <v>1281.4</v>
      </c>
      <c r="D135" s="224">
        <v>838.6</v>
      </c>
      <c r="E135" s="224">
        <v>1281.4</v>
      </c>
      <c r="F135" s="224">
        <v>1281.4</v>
      </c>
      <c r="G135" s="224">
        <v>1281.4</v>
      </c>
      <c r="H135" s="224">
        <v>1281.4</v>
      </c>
      <c r="I135" s="224">
        <f>1326.4-425.1-296.3</f>
        <v>605</v>
      </c>
      <c r="J135" s="328" t="s">
        <v>1229</v>
      </c>
      <c r="K135" s="368"/>
    </row>
    <row r="136" spans="1:9" ht="47.25">
      <c r="A136" s="396"/>
      <c r="B136" s="163" t="s">
        <v>141</v>
      </c>
      <c r="C136" s="224">
        <f aca="true" t="shared" si="43" ref="C136:I136">SUM(C137:C138)</f>
        <v>3148.5</v>
      </c>
      <c r="D136" s="224">
        <f t="shared" si="43"/>
        <v>2267.6</v>
      </c>
      <c r="E136" s="224">
        <f t="shared" si="43"/>
        <v>3148.5</v>
      </c>
      <c r="F136" s="224">
        <f t="shared" si="43"/>
        <v>3148.5</v>
      </c>
      <c r="G136" s="224">
        <f t="shared" si="43"/>
        <v>3148.5</v>
      </c>
      <c r="H136" s="224">
        <f t="shared" si="43"/>
        <v>3148.5</v>
      </c>
      <c r="I136" s="224">
        <f t="shared" si="43"/>
        <v>3263.9</v>
      </c>
    </row>
    <row r="137" spans="1:9" ht="31.5">
      <c r="A137" s="396"/>
      <c r="B137" s="177" t="s">
        <v>770</v>
      </c>
      <c r="C137" s="236">
        <v>2510</v>
      </c>
      <c r="D137" s="236">
        <v>1832.3</v>
      </c>
      <c r="E137" s="236">
        <v>2510</v>
      </c>
      <c r="F137" s="236">
        <v>2510</v>
      </c>
      <c r="G137" s="236">
        <v>2510</v>
      </c>
      <c r="H137" s="236">
        <v>2510</v>
      </c>
      <c r="I137" s="236">
        <v>2545.3</v>
      </c>
    </row>
    <row r="138" spans="1:9" ht="31.5">
      <c r="A138" s="396"/>
      <c r="B138" s="177" t="s">
        <v>771</v>
      </c>
      <c r="C138" s="236">
        <v>638.5</v>
      </c>
      <c r="D138" s="236">
        <v>435.3</v>
      </c>
      <c r="E138" s="236">
        <v>638.5</v>
      </c>
      <c r="F138" s="236">
        <v>638.5</v>
      </c>
      <c r="G138" s="236">
        <v>638.5</v>
      </c>
      <c r="H138" s="236">
        <v>638.5</v>
      </c>
      <c r="I138" s="236">
        <v>718.6</v>
      </c>
    </row>
    <row r="139" spans="1:9" ht="126">
      <c r="A139" s="396"/>
      <c r="B139" s="163" t="s">
        <v>1023</v>
      </c>
      <c r="C139" s="224">
        <v>263.3</v>
      </c>
      <c r="D139" s="224">
        <v>123.8</v>
      </c>
      <c r="E139" s="224">
        <v>263.3</v>
      </c>
      <c r="F139" s="224">
        <v>263.3</v>
      </c>
      <c r="G139" s="224">
        <v>263.3</v>
      </c>
      <c r="H139" s="224">
        <v>263.3</v>
      </c>
      <c r="I139" s="224">
        <v>273.7</v>
      </c>
    </row>
    <row r="140" spans="1:9" ht="126">
      <c r="A140" s="396"/>
      <c r="B140" s="163" t="s">
        <v>142</v>
      </c>
      <c r="C140" s="224">
        <v>886.5</v>
      </c>
      <c r="D140" s="224">
        <v>623.2</v>
      </c>
      <c r="E140" s="224">
        <v>886.5</v>
      </c>
      <c r="F140" s="224">
        <v>886.5</v>
      </c>
      <c r="G140" s="224">
        <v>886.5</v>
      </c>
      <c r="H140" s="224">
        <v>886.5</v>
      </c>
      <c r="I140" s="224">
        <v>946.8</v>
      </c>
    </row>
    <row r="141" spans="1:11" ht="47.25">
      <c r="A141" s="396"/>
      <c r="B141" s="163" t="s">
        <v>143</v>
      </c>
      <c r="C141" s="224">
        <v>1106.2</v>
      </c>
      <c r="D141" s="224">
        <v>676.15</v>
      </c>
      <c r="E141" s="224">
        <v>1106.2</v>
      </c>
      <c r="F141" s="224">
        <v>1106.2</v>
      </c>
      <c r="G141" s="224">
        <v>1106.2</v>
      </c>
      <c r="H141" s="224">
        <v>1106.2</v>
      </c>
      <c r="I141" s="224">
        <f>1106.2+11.1</f>
        <v>1117.3</v>
      </c>
      <c r="J141" s="376" t="s">
        <v>1230</v>
      </c>
      <c r="K141" s="368"/>
    </row>
    <row r="142" spans="1:11" ht="32.25" customHeight="1">
      <c r="A142" s="397"/>
      <c r="B142" s="163" t="s">
        <v>772</v>
      </c>
      <c r="C142" s="224">
        <v>2132</v>
      </c>
      <c r="D142" s="224">
        <v>2132</v>
      </c>
      <c r="E142" s="224">
        <v>2132</v>
      </c>
      <c r="F142" s="224">
        <v>0</v>
      </c>
      <c r="G142" s="224">
        <v>0</v>
      </c>
      <c r="H142" s="224">
        <v>0</v>
      </c>
      <c r="I142" s="224">
        <f>976-732</f>
        <v>244</v>
      </c>
      <c r="J142" s="328" t="s">
        <v>1123</v>
      </c>
      <c r="K142" s="368"/>
    </row>
    <row r="143" spans="1:9" ht="32.25" customHeight="1" hidden="1">
      <c r="A143" s="178" t="s">
        <v>918</v>
      </c>
      <c r="B143" s="170" t="s">
        <v>919</v>
      </c>
      <c r="C143" s="223"/>
      <c r="D143" s="223"/>
      <c r="E143" s="223"/>
      <c r="F143" s="223"/>
      <c r="G143" s="223"/>
      <c r="H143" s="223"/>
      <c r="I143" s="223">
        <f>I144</f>
        <v>0</v>
      </c>
    </row>
    <row r="144" spans="1:9" ht="32.25" customHeight="1" hidden="1">
      <c r="A144" s="379" t="s">
        <v>916</v>
      </c>
      <c r="B144" s="163" t="s">
        <v>917</v>
      </c>
      <c r="C144" s="224"/>
      <c r="D144" s="224"/>
      <c r="E144" s="224"/>
      <c r="F144" s="224"/>
      <c r="G144" s="224"/>
      <c r="H144" s="224"/>
      <c r="I144" s="224">
        <v>0</v>
      </c>
    </row>
    <row r="145" spans="1:10" ht="50.25" customHeight="1">
      <c r="A145" s="379"/>
      <c r="B145" s="163" t="s">
        <v>1124</v>
      </c>
      <c r="C145" s="224"/>
      <c r="D145" s="224"/>
      <c r="E145" s="224"/>
      <c r="F145" s="224"/>
      <c r="G145" s="224"/>
      <c r="H145" s="224"/>
      <c r="I145" s="224">
        <v>1419.9</v>
      </c>
      <c r="J145" s="328" t="s">
        <v>1117</v>
      </c>
    </row>
    <row r="146" spans="1:9" ht="31.5">
      <c r="A146" s="161" t="s">
        <v>1028</v>
      </c>
      <c r="B146" s="170" t="s">
        <v>144</v>
      </c>
      <c r="C146" s="223">
        <f aca="true" t="shared" si="44" ref="C146:I146">C147</f>
        <v>701.8</v>
      </c>
      <c r="D146" s="223">
        <f t="shared" si="44"/>
        <v>695.25</v>
      </c>
      <c r="E146" s="223">
        <f t="shared" si="44"/>
        <v>701.8</v>
      </c>
      <c r="F146" s="223">
        <f t="shared" si="44"/>
        <v>701.8</v>
      </c>
      <c r="G146" s="223">
        <f t="shared" si="44"/>
        <v>701.8</v>
      </c>
      <c r="H146" s="223">
        <f t="shared" si="44"/>
        <v>701.8</v>
      </c>
      <c r="I146" s="223">
        <f t="shared" si="44"/>
        <v>741.4</v>
      </c>
    </row>
    <row r="147" spans="1:11" ht="31.5">
      <c r="A147" s="284" t="s">
        <v>1027</v>
      </c>
      <c r="B147" s="163" t="s">
        <v>145</v>
      </c>
      <c r="C147" s="224">
        <v>701.8</v>
      </c>
      <c r="D147" s="224">
        <v>695.25</v>
      </c>
      <c r="E147" s="224">
        <v>701.8</v>
      </c>
      <c r="F147" s="224">
        <v>701.8</v>
      </c>
      <c r="G147" s="224">
        <v>701.8</v>
      </c>
      <c r="H147" s="224">
        <v>701.8</v>
      </c>
      <c r="I147" s="224">
        <f>715.9+25.5</f>
        <v>741.4</v>
      </c>
      <c r="J147" s="328" t="s">
        <v>1228</v>
      </c>
      <c r="K147" s="368"/>
    </row>
    <row r="148" spans="1:9" ht="18.75">
      <c r="A148" s="161" t="s">
        <v>1026</v>
      </c>
      <c r="B148" s="170" t="s">
        <v>146</v>
      </c>
      <c r="C148" s="223" t="e">
        <f>SUM(#REF!+C149)</f>
        <v>#REF!</v>
      </c>
      <c r="D148" s="223" t="e">
        <f>SUM(#REF!+D149)</f>
        <v>#REF!</v>
      </c>
      <c r="E148" s="223" t="e">
        <f>SUM(#REF!+E149)</f>
        <v>#REF!</v>
      </c>
      <c r="F148" s="223" t="e">
        <f>SUM(#REF!+F149)</f>
        <v>#REF!</v>
      </c>
      <c r="G148" s="223" t="e">
        <f>SUM(#REF!+G149)</f>
        <v>#REF!</v>
      </c>
      <c r="H148" s="223" t="e">
        <f>SUM(#REF!+H149)</f>
        <v>#REF!</v>
      </c>
      <c r="I148" s="223">
        <f>SUM(I149)</f>
        <v>12230.800000000001</v>
      </c>
    </row>
    <row r="149" spans="1:9" ht="18.75">
      <c r="A149" s="161" t="s">
        <v>1025</v>
      </c>
      <c r="B149" s="170" t="s">
        <v>147</v>
      </c>
      <c r="C149" s="223">
        <f aca="true" t="shared" si="45" ref="C149:H149">SUM(C150:C151)</f>
        <v>10920.8</v>
      </c>
      <c r="D149" s="223">
        <f t="shared" si="45"/>
        <v>7284.7</v>
      </c>
      <c r="E149" s="223">
        <f t="shared" si="45"/>
        <v>10920.8</v>
      </c>
      <c r="F149" s="223">
        <f t="shared" si="45"/>
        <v>10920.8</v>
      </c>
      <c r="G149" s="223">
        <f t="shared" si="45"/>
        <v>10920.8</v>
      </c>
      <c r="H149" s="223">
        <f t="shared" si="45"/>
        <v>10920.8</v>
      </c>
      <c r="I149" s="223">
        <f>SUM(I150:I153)</f>
        <v>12230.800000000001</v>
      </c>
    </row>
    <row r="150" spans="1:10" ht="110.25">
      <c r="A150" s="395" t="s">
        <v>1037</v>
      </c>
      <c r="B150" s="179" t="s">
        <v>944</v>
      </c>
      <c r="C150" s="237">
        <v>9227.5</v>
      </c>
      <c r="D150" s="237">
        <v>6274.7</v>
      </c>
      <c r="E150" s="237">
        <v>9227.5</v>
      </c>
      <c r="F150" s="237">
        <v>9227.5</v>
      </c>
      <c r="G150" s="237">
        <v>9227.5</v>
      </c>
      <c r="H150" s="237">
        <v>9227.5</v>
      </c>
      <c r="I150" s="237">
        <f>9652.9-813.5</f>
        <v>8839.4</v>
      </c>
      <c r="J150" s="328"/>
    </row>
    <row r="151" spans="1:9" ht="126">
      <c r="A151" s="396"/>
      <c r="B151" s="179" t="s">
        <v>945</v>
      </c>
      <c r="C151" s="237">
        <v>1693.3</v>
      </c>
      <c r="D151" s="237">
        <v>1010</v>
      </c>
      <c r="E151" s="237">
        <v>1693.3</v>
      </c>
      <c r="F151" s="237">
        <v>1693.3</v>
      </c>
      <c r="G151" s="237">
        <v>1693.3</v>
      </c>
      <c r="H151" s="237">
        <v>1693.3</v>
      </c>
      <c r="I151" s="237">
        <v>1673.7</v>
      </c>
    </row>
    <row r="152" spans="1:10" ht="110.25">
      <c r="A152" s="396"/>
      <c r="B152" s="179" t="s">
        <v>1076</v>
      </c>
      <c r="C152" s="237"/>
      <c r="D152" s="237"/>
      <c r="E152" s="237"/>
      <c r="F152" s="237"/>
      <c r="G152" s="237"/>
      <c r="H152" s="237"/>
      <c r="I152" s="237">
        <v>813.5</v>
      </c>
      <c r="J152" s="328"/>
    </row>
    <row r="153" spans="1:10" ht="67.5" customHeight="1">
      <c r="A153" s="397"/>
      <c r="B153" s="179" t="s">
        <v>1126</v>
      </c>
      <c r="C153" s="237"/>
      <c r="D153" s="237"/>
      <c r="E153" s="237"/>
      <c r="F153" s="237"/>
      <c r="G153" s="237"/>
      <c r="H153" s="237"/>
      <c r="I153" s="237">
        <v>904.2</v>
      </c>
      <c r="J153" s="328" t="s">
        <v>1121</v>
      </c>
    </row>
    <row r="154" spans="1:9" ht="18.75">
      <c r="A154" s="20" t="s">
        <v>930</v>
      </c>
      <c r="B154" s="249" t="s">
        <v>931</v>
      </c>
      <c r="C154" s="250">
        <v>0</v>
      </c>
      <c r="D154" s="250">
        <f>SUM(D158)</f>
        <v>-1324.9</v>
      </c>
      <c r="E154" s="250">
        <f>SUM(E158)</f>
        <v>-1324.9</v>
      </c>
      <c r="F154" s="250">
        <f>SUM(F158)</f>
        <v>0</v>
      </c>
      <c r="G154" s="250">
        <f>SUM(G158)</f>
        <v>0</v>
      </c>
      <c r="H154" s="250">
        <f>SUM(H158)</f>
        <v>0</v>
      </c>
      <c r="I154" s="250">
        <f>SUM(I155)</f>
        <v>73763.75</v>
      </c>
    </row>
    <row r="155" spans="1:9" ht="18.75">
      <c r="A155" s="20" t="s">
        <v>932</v>
      </c>
      <c r="B155" s="249" t="s">
        <v>933</v>
      </c>
      <c r="C155" s="250"/>
      <c r="D155" s="250"/>
      <c r="E155" s="250"/>
      <c r="F155" s="250"/>
      <c r="G155" s="250"/>
      <c r="H155" s="250"/>
      <c r="I155" s="250">
        <f>SUM(I156)</f>
        <v>73763.75</v>
      </c>
    </row>
    <row r="156" spans="1:9" ht="18.75">
      <c r="A156" s="398" t="s">
        <v>1093</v>
      </c>
      <c r="B156" s="253" t="s">
        <v>933</v>
      </c>
      <c r="C156" s="250"/>
      <c r="D156" s="250"/>
      <c r="E156" s="250"/>
      <c r="F156" s="250"/>
      <c r="G156" s="250"/>
      <c r="H156" s="250"/>
      <c r="I156" s="250">
        <f>SUM(I158:I162)</f>
        <v>73763.75</v>
      </c>
    </row>
    <row r="157" spans="1:9" ht="18.75">
      <c r="A157" s="399"/>
      <c r="B157" s="253" t="s">
        <v>132</v>
      </c>
      <c r="C157" s="250"/>
      <c r="D157" s="250"/>
      <c r="E157" s="250"/>
      <c r="F157" s="250"/>
      <c r="G157" s="250"/>
      <c r="H157" s="250"/>
      <c r="I157" s="250"/>
    </row>
    <row r="158" spans="1:9" ht="82.5" customHeight="1">
      <c r="A158" s="399"/>
      <c r="B158" s="251" t="s">
        <v>1079</v>
      </c>
      <c r="C158" s="237">
        <v>0</v>
      </c>
      <c r="D158" s="237">
        <v>-1324.9</v>
      </c>
      <c r="E158" s="237">
        <v>-1324.9</v>
      </c>
      <c r="F158" s="237">
        <v>0</v>
      </c>
      <c r="G158" s="237">
        <v>0</v>
      </c>
      <c r="H158" s="237">
        <v>0</v>
      </c>
      <c r="I158" s="237">
        <v>20500</v>
      </c>
    </row>
    <row r="159" spans="1:10" ht="78.75">
      <c r="A159" s="399"/>
      <c r="B159" s="251" t="s">
        <v>1080</v>
      </c>
      <c r="C159" s="237"/>
      <c r="D159" s="237"/>
      <c r="E159" s="237"/>
      <c r="F159" s="237"/>
      <c r="G159" s="237"/>
      <c r="H159" s="237"/>
      <c r="I159" s="237">
        <f>55213.33-5993.21</f>
        <v>49220.12</v>
      </c>
      <c r="J159" s="328" t="s">
        <v>1168</v>
      </c>
    </row>
    <row r="160" spans="1:9" ht="63" customHeight="1" hidden="1">
      <c r="A160" s="399"/>
      <c r="B160" s="251" t="s">
        <v>961</v>
      </c>
      <c r="C160" s="237">
        <v>0</v>
      </c>
      <c r="D160" s="237">
        <v>-1324.9</v>
      </c>
      <c r="E160" s="237">
        <v>-1324.9</v>
      </c>
      <c r="F160" s="237">
        <v>0</v>
      </c>
      <c r="G160" s="237">
        <v>0</v>
      </c>
      <c r="H160" s="237">
        <v>0</v>
      </c>
      <c r="I160" s="237">
        <v>0</v>
      </c>
    </row>
    <row r="161" spans="1:9" ht="78.75" customHeight="1" hidden="1">
      <c r="A161" s="399"/>
      <c r="B161" s="251" t="s">
        <v>960</v>
      </c>
      <c r="C161" s="237">
        <v>0</v>
      </c>
      <c r="D161" s="237">
        <v>-1324.9</v>
      </c>
      <c r="E161" s="237">
        <v>-1324.9</v>
      </c>
      <c r="F161" s="237">
        <v>0</v>
      </c>
      <c r="G161" s="237">
        <v>0</v>
      </c>
      <c r="H161" s="237">
        <v>0</v>
      </c>
      <c r="I161" s="237">
        <v>0</v>
      </c>
    </row>
    <row r="162" spans="1:10" ht="63">
      <c r="A162" s="400"/>
      <c r="B162" s="251" t="s">
        <v>1169</v>
      </c>
      <c r="C162" s="237"/>
      <c r="D162" s="237"/>
      <c r="E162" s="237"/>
      <c r="F162" s="237"/>
      <c r="G162" s="237"/>
      <c r="H162" s="237"/>
      <c r="I162" s="237">
        <v>4043.63</v>
      </c>
      <c r="J162" s="330" t="s">
        <v>1170</v>
      </c>
    </row>
    <row r="163" spans="1:18" ht="18.75">
      <c r="A163" s="284"/>
      <c r="B163" s="244" t="s">
        <v>148</v>
      </c>
      <c r="C163" s="223" t="e">
        <f aca="true" t="shared" si="46" ref="C163:H163">SUM(C90+C11+C154)</f>
        <v>#REF!</v>
      </c>
      <c r="D163" s="223" t="e">
        <f t="shared" si="46"/>
        <v>#REF!</v>
      </c>
      <c r="E163" s="223" t="e">
        <f t="shared" si="46"/>
        <v>#REF!</v>
      </c>
      <c r="F163" s="223" t="e">
        <f t="shared" si="46"/>
        <v>#REF!</v>
      </c>
      <c r="G163" s="223" t="e">
        <f t="shared" si="46"/>
        <v>#REF!</v>
      </c>
      <c r="H163" s="223" t="e">
        <f t="shared" si="46"/>
        <v>#REF!</v>
      </c>
      <c r="I163" s="223">
        <f>SUM(I11+I90)</f>
        <v>750515.79729</v>
      </c>
      <c r="M163" s="257"/>
      <c r="N163" s="137"/>
      <c r="R163" s="137"/>
    </row>
  </sheetData>
  <mergeCells count="11">
    <mergeCell ref="B3:I3"/>
    <mergeCell ref="B2:I2"/>
    <mergeCell ref="B1:I1"/>
    <mergeCell ref="A150:A153"/>
    <mergeCell ref="A156:A162"/>
    <mergeCell ref="A5:I5"/>
    <mergeCell ref="A6:I6"/>
    <mergeCell ref="A7:I7"/>
    <mergeCell ref="A128:A142"/>
    <mergeCell ref="B112:C112"/>
    <mergeCell ref="A106:A124"/>
  </mergeCells>
  <printOptions/>
  <pageMargins left="0.2362204724409449" right="0.03937007874015748" top="0.5511811023622047" bottom="0.5511811023622047" header="0.31496062992125984" footer="0.31496062992125984"/>
  <pageSetup fitToHeight="6" horizontalDpi="600" verticalDpi="600" orientation="portrait" paperSize="9" scale="80" r:id="rId1"/>
  <ignoredErrors>
    <ignoredError sqref="I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SheetLayoutView="100" workbookViewId="0" topLeftCell="A1">
      <selection activeCell="B1" sqref="B1:I3"/>
    </sheetView>
  </sheetViews>
  <sheetFormatPr defaultColWidth="9.140625" defaultRowHeight="15"/>
  <cols>
    <col min="1" max="1" width="80.7109375" style="0" customWidth="1"/>
    <col min="2" max="2" width="4.57421875" style="0" customWidth="1"/>
    <col min="3" max="3" width="6.140625" style="0" customWidth="1"/>
    <col min="4" max="4" width="13.8515625" style="0" hidden="1" customWidth="1"/>
    <col min="5" max="5" width="16.00390625" style="0" hidden="1" customWidth="1"/>
    <col min="6" max="6" width="11.421875" style="0" hidden="1" customWidth="1"/>
    <col min="7" max="7" width="12.421875" style="0" hidden="1" customWidth="1"/>
    <col min="8" max="8" width="13.28125" style="0" hidden="1" customWidth="1"/>
    <col min="9" max="9" width="13.140625" style="0" customWidth="1"/>
  </cols>
  <sheetData>
    <row r="1" spans="1:9" ht="18.75">
      <c r="A1" s="12"/>
      <c r="B1" s="431" t="s">
        <v>1050</v>
      </c>
      <c r="C1" s="431"/>
      <c r="D1" s="431"/>
      <c r="E1" s="431"/>
      <c r="F1" s="431"/>
      <c r="G1" s="431"/>
      <c r="H1" s="431"/>
      <c r="I1" s="431"/>
    </row>
    <row r="2" spans="1:9" ht="18.75">
      <c r="A2" s="12"/>
      <c r="B2" s="431" t="s">
        <v>0</v>
      </c>
      <c r="C2" s="431"/>
      <c r="D2" s="431"/>
      <c r="E2" s="431"/>
      <c r="F2" s="431"/>
      <c r="G2" s="431"/>
      <c r="H2" s="431"/>
      <c r="I2" s="431"/>
    </row>
    <row r="3" spans="1:9" ht="18.75">
      <c r="A3" s="12"/>
      <c r="B3" s="431" t="s">
        <v>1252</v>
      </c>
      <c r="C3" s="431"/>
      <c r="D3" s="431"/>
      <c r="E3" s="431"/>
      <c r="F3" s="431"/>
      <c r="G3" s="431"/>
      <c r="H3" s="431"/>
      <c r="I3" s="431"/>
    </row>
    <row r="4" spans="1:9" ht="16.5">
      <c r="A4" s="406" t="s">
        <v>737</v>
      </c>
      <c r="B4" s="406"/>
      <c r="C4" s="406"/>
      <c r="D4" s="406"/>
      <c r="E4" s="406"/>
      <c r="F4" s="406"/>
      <c r="G4" s="406"/>
      <c r="H4" s="406"/>
      <c r="I4" s="406"/>
    </row>
    <row r="5" spans="1:9" ht="16.5">
      <c r="A5" s="406" t="s">
        <v>738</v>
      </c>
      <c r="B5" s="406"/>
      <c r="C5" s="406"/>
      <c r="D5" s="406"/>
      <c r="E5" s="406"/>
      <c r="F5" s="406"/>
      <c r="G5" s="406"/>
      <c r="H5" s="406"/>
      <c r="I5" s="406"/>
    </row>
    <row r="6" spans="1:9" ht="16.5">
      <c r="A6" s="406" t="s">
        <v>1001</v>
      </c>
      <c r="B6" s="406"/>
      <c r="C6" s="406"/>
      <c r="D6" s="406"/>
      <c r="E6" s="406"/>
      <c r="F6" s="406"/>
      <c r="G6" s="406"/>
      <c r="H6" s="406"/>
      <c r="I6" s="406"/>
    </row>
    <row r="7" spans="1:4" ht="15.75">
      <c r="A7" s="404"/>
      <c r="B7" s="405"/>
      <c r="C7" s="405"/>
      <c r="D7" s="405"/>
    </row>
    <row r="8" spans="2:9" ht="15.75">
      <c r="B8" s="110"/>
      <c r="C8" s="110"/>
      <c r="D8" s="111" t="s">
        <v>3</v>
      </c>
      <c r="I8" s="240" t="s">
        <v>3</v>
      </c>
    </row>
    <row r="9" spans="1:9" ht="66" customHeight="1">
      <c r="A9" s="112" t="s">
        <v>739</v>
      </c>
      <c r="B9" s="112" t="s">
        <v>740</v>
      </c>
      <c r="C9" s="112" t="s">
        <v>741</v>
      </c>
      <c r="D9" s="76" t="s">
        <v>6</v>
      </c>
      <c r="E9" s="208" t="s">
        <v>857</v>
      </c>
      <c r="F9" s="221" t="s">
        <v>861</v>
      </c>
      <c r="G9" s="208" t="s">
        <v>858</v>
      </c>
      <c r="H9" s="208" t="s">
        <v>859</v>
      </c>
      <c r="I9" s="208" t="s">
        <v>1000</v>
      </c>
    </row>
    <row r="10" spans="1:9" ht="15.75">
      <c r="A10" s="49" t="s">
        <v>158</v>
      </c>
      <c r="B10" s="25" t="s">
        <v>159</v>
      </c>
      <c r="C10" s="113"/>
      <c r="D10" s="114" t="e">
        <f aca="true" t="shared" si="0" ref="D10:I10">D11+D12+D13+D14+D16</f>
        <v>#REF!</v>
      </c>
      <c r="E10" s="114" t="e">
        <f t="shared" si="0"/>
        <v>#REF!</v>
      </c>
      <c r="F10" s="114" t="e">
        <f t="shared" si="0"/>
        <v>#REF!</v>
      </c>
      <c r="G10" s="114" t="e">
        <f t="shared" si="0"/>
        <v>#REF!</v>
      </c>
      <c r="H10" s="114" t="e">
        <f t="shared" si="0"/>
        <v>#REF!</v>
      </c>
      <c r="I10" s="114">
        <f t="shared" si="0"/>
        <v>152339.69999999998</v>
      </c>
    </row>
    <row r="11" spans="1:10" ht="31.5">
      <c r="A11" s="33" t="s">
        <v>617</v>
      </c>
      <c r="B11" s="21" t="s">
        <v>159</v>
      </c>
      <c r="C11" s="21" t="s">
        <v>254</v>
      </c>
      <c r="D11" s="28" t="e">
        <f>'ПРил.№4 Рд,пр, ЦС,ВР'!F11</f>
        <v>#REF!</v>
      </c>
      <c r="E11" s="28" t="e">
        <f>'ПРил.№4 Рд,пр, ЦС,ВР'!G11</f>
        <v>#REF!</v>
      </c>
      <c r="F11" s="28" t="e">
        <f>'ПРил.№4 Рд,пр, ЦС,ВР'!H11</f>
        <v>#REF!</v>
      </c>
      <c r="G11" s="28" t="e">
        <f>'ПРил.№4 Рд,пр, ЦС,ВР'!I11</f>
        <v>#REF!</v>
      </c>
      <c r="H11" s="28" t="e">
        <f>'ПРил.№4 Рд,пр, ЦС,ВР'!J11</f>
        <v>#REF!</v>
      </c>
      <c r="I11" s="28">
        <f>'ПРил.№4 Рд,пр, ЦС,ВР'!K11</f>
        <v>4330.8</v>
      </c>
      <c r="J11" s="23"/>
    </row>
    <row r="12" spans="1:9" ht="47.25">
      <c r="A12" s="33" t="s">
        <v>620</v>
      </c>
      <c r="B12" s="21" t="s">
        <v>159</v>
      </c>
      <c r="C12" s="21" t="s">
        <v>256</v>
      </c>
      <c r="D12" s="28" t="e">
        <f>'ПРил.№4 Рд,пр, ЦС,ВР'!F19</f>
        <v>#REF!</v>
      </c>
      <c r="E12" s="28" t="e">
        <f>'ПРил.№4 Рд,пр, ЦС,ВР'!G19</f>
        <v>#REF!</v>
      </c>
      <c r="F12" s="28" t="e">
        <f>'ПРил.№4 Рд,пр, ЦС,ВР'!H19</f>
        <v>#REF!</v>
      </c>
      <c r="G12" s="28" t="e">
        <f>'ПРил.№4 Рд,пр, ЦС,ВР'!I19</f>
        <v>#REF!</v>
      </c>
      <c r="H12" s="28" t="e">
        <f>'ПРил.№4 Рд,пр, ЦС,ВР'!J19</f>
        <v>#REF!</v>
      </c>
      <c r="I12" s="28">
        <f>'ПРил.№4 Рд,пр, ЦС,ВР'!K19</f>
        <v>1116</v>
      </c>
    </row>
    <row r="13" spans="1:9" ht="47.25">
      <c r="A13" s="26" t="s">
        <v>190</v>
      </c>
      <c r="B13" s="21" t="s">
        <v>159</v>
      </c>
      <c r="C13" s="21" t="s">
        <v>191</v>
      </c>
      <c r="D13" s="28" t="e">
        <f>'ПРил.№4 Рд,пр, ЦС,ВР'!F29</f>
        <v>#REF!</v>
      </c>
      <c r="E13" s="28" t="e">
        <f>'ПРил.№4 Рд,пр, ЦС,ВР'!G29</f>
        <v>#REF!</v>
      </c>
      <c r="F13" s="28" t="e">
        <f>'ПРил.№4 Рд,пр, ЦС,ВР'!H29</f>
        <v>#REF!</v>
      </c>
      <c r="G13" s="28" t="e">
        <f>'ПРил.№4 Рд,пр, ЦС,ВР'!I29</f>
        <v>#REF!</v>
      </c>
      <c r="H13" s="28" t="e">
        <f>'ПРил.№4 Рд,пр, ЦС,ВР'!J29</f>
        <v>#REF!</v>
      </c>
      <c r="I13" s="28">
        <f>'ПРил.№4 Рд,пр, ЦС,ВР'!K29</f>
        <v>62541.69999999999</v>
      </c>
    </row>
    <row r="14" spans="1:9" ht="31.5">
      <c r="A14" s="26" t="s">
        <v>160</v>
      </c>
      <c r="B14" s="21" t="s">
        <v>159</v>
      </c>
      <c r="C14" s="21" t="s">
        <v>161</v>
      </c>
      <c r="D14" s="28" t="e">
        <f>'ПРил.№4 Рд,пр, ЦС,ВР'!F59</f>
        <v>#REF!</v>
      </c>
      <c r="E14" s="28" t="e">
        <f>'ПРил.№4 Рд,пр, ЦС,ВР'!G59</f>
        <v>#REF!</v>
      </c>
      <c r="F14" s="28" t="e">
        <f>'ПРил.№4 Рд,пр, ЦС,ВР'!H59</f>
        <v>#REF!</v>
      </c>
      <c r="G14" s="28" t="e">
        <f>'ПРил.№4 Рд,пр, ЦС,ВР'!I59</f>
        <v>#REF!</v>
      </c>
      <c r="H14" s="28" t="e">
        <f>'ПРил.№4 Рд,пр, ЦС,ВР'!J59</f>
        <v>#REF!</v>
      </c>
      <c r="I14" s="28">
        <f>'ПРил.№4 Рд,пр, ЦС,ВР'!K59</f>
        <v>16809.8</v>
      </c>
    </row>
    <row r="15" spans="1:9" ht="15.75" hidden="1">
      <c r="A15" s="26" t="s">
        <v>742</v>
      </c>
      <c r="B15" s="21" t="s">
        <v>159</v>
      </c>
      <c r="C15" s="21" t="s">
        <v>533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5.75">
      <c r="A16" s="115" t="s">
        <v>180</v>
      </c>
      <c r="B16" s="21" t="s">
        <v>159</v>
      </c>
      <c r="C16" s="21" t="s">
        <v>181</v>
      </c>
      <c r="D16" s="28" t="e">
        <f>'ПРил.№4 Рд,пр, ЦС,ВР'!F77</f>
        <v>#REF!</v>
      </c>
      <c r="E16" s="28" t="e">
        <f>'ПРил.№4 Рд,пр, ЦС,ВР'!G77</f>
        <v>#REF!</v>
      </c>
      <c r="F16" s="28" t="e">
        <f>'ПРил.№4 Рд,пр, ЦС,ВР'!H77</f>
        <v>#REF!</v>
      </c>
      <c r="G16" s="28" t="e">
        <f>'ПРил.№4 Рд,пр, ЦС,ВР'!I77</f>
        <v>#REF!</v>
      </c>
      <c r="H16" s="28" t="e">
        <f>'ПРил.№4 Рд,пр, ЦС,ВР'!J77</f>
        <v>#REF!</v>
      </c>
      <c r="I16" s="28">
        <f>'ПРил.№4 Рд,пр, ЦС,ВР'!K77</f>
        <v>67541.4</v>
      </c>
    </row>
    <row r="17" spans="1:9" ht="15.75" hidden="1">
      <c r="A17" s="20" t="s">
        <v>253</v>
      </c>
      <c r="B17" s="25" t="s">
        <v>254</v>
      </c>
      <c r="C17" s="21"/>
      <c r="D17" s="46" t="e">
        <f aca="true" t="shared" si="1" ref="D17:I17">D18</f>
        <v>#REF!</v>
      </c>
      <c r="E17" s="46" t="e">
        <f t="shared" si="1"/>
        <v>#REF!</v>
      </c>
      <c r="F17" s="46" t="e">
        <f t="shared" si="1"/>
        <v>#REF!</v>
      </c>
      <c r="G17" s="46" t="e">
        <f t="shared" si="1"/>
        <v>#REF!</v>
      </c>
      <c r="H17" s="46" t="e">
        <f t="shared" si="1"/>
        <v>#REF!</v>
      </c>
      <c r="I17" s="46">
        <f t="shared" si="1"/>
        <v>0</v>
      </c>
    </row>
    <row r="18" spans="1:9" ht="15.75" hidden="1">
      <c r="A18" s="26" t="s">
        <v>259</v>
      </c>
      <c r="B18" s="21" t="s">
        <v>254</v>
      </c>
      <c r="C18" s="21" t="s">
        <v>260</v>
      </c>
      <c r="D18" s="28" t="e">
        <f>'ПРил.№4 Рд,пр, ЦС,ВР'!F215</f>
        <v>#REF!</v>
      </c>
      <c r="E18" s="28" t="e">
        <f>'ПРил.№4 Рд,пр, ЦС,ВР'!G215</f>
        <v>#REF!</v>
      </c>
      <c r="F18" s="28" t="e">
        <f>'ПРил.№4 Рд,пр, ЦС,ВР'!H215</f>
        <v>#REF!</v>
      </c>
      <c r="G18" s="28" t="e">
        <f>'ПРил.№4 Рд,пр, ЦС,ВР'!I215</f>
        <v>#REF!</v>
      </c>
      <c r="H18" s="28" t="e">
        <f>'ПРил.№4 Рд,пр, ЦС,ВР'!J215</f>
        <v>#REF!</v>
      </c>
      <c r="I18" s="28">
        <f>'ПРил.№4 Рд,пр, ЦС,ВР'!K215</f>
        <v>0</v>
      </c>
    </row>
    <row r="19" spans="1:9" ht="18" customHeight="1">
      <c r="A19" s="36" t="s">
        <v>263</v>
      </c>
      <c r="B19" s="25" t="s">
        <v>256</v>
      </c>
      <c r="C19" s="25"/>
      <c r="D19" s="46" t="e">
        <f aca="true" t="shared" si="2" ref="D19:I19">D20</f>
        <v>#REF!</v>
      </c>
      <c r="E19" s="46" t="e">
        <f t="shared" si="2"/>
        <v>#REF!</v>
      </c>
      <c r="F19" s="46" t="e">
        <f t="shared" si="2"/>
        <v>#REF!</v>
      </c>
      <c r="G19" s="46" t="e">
        <f t="shared" si="2"/>
        <v>#REF!</v>
      </c>
      <c r="H19" s="46" t="e">
        <f t="shared" si="2"/>
        <v>#REF!</v>
      </c>
      <c r="I19" s="46">
        <f t="shared" si="2"/>
        <v>8416.8</v>
      </c>
    </row>
    <row r="20" spans="1:9" ht="31.5">
      <c r="A20" s="33" t="s">
        <v>264</v>
      </c>
      <c r="B20" s="21" t="s">
        <v>256</v>
      </c>
      <c r="C20" s="21" t="s">
        <v>260</v>
      </c>
      <c r="D20" s="28" t="e">
        <f>'ПРил.№4 Рд,пр, ЦС,ВР'!F226</f>
        <v>#REF!</v>
      </c>
      <c r="E20" s="28" t="e">
        <f>'ПРил.№4 Рд,пр, ЦС,ВР'!G226</f>
        <v>#REF!</v>
      </c>
      <c r="F20" s="28" t="e">
        <f>'ПРил.№4 Рд,пр, ЦС,ВР'!H226</f>
        <v>#REF!</v>
      </c>
      <c r="G20" s="28" t="e">
        <f>'ПРил.№4 Рд,пр, ЦС,ВР'!I226</f>
        <v>#REF!</v>
      </c>
      <c r="H20" s="28" t="e">
        <f>'ПРил.№4 Рд,пр, ЦС,ВР'!J226</f>
        <v>#REF!</v>
      </c>
      <c r="I20" s="28">
        <f>'ПРил.№4 Рд,пр, ЦС,ВР'!K226</f>
        <v>8416.8</v>
      </c>
    </row>
    <row r="21" spans="1:9" ht="15.75">
      <c r="A21" s="49" t="s">
        <v>273</v>
      </c>
      <c r="B21" s="25" t="s">
        <v>191</v>
      </c>
      <c r="C21" s="25"/>
      <c r="D21" s="46" t="e">
        <f aca="true" t="shared" si="3" ref="D21:I21">D22+D23+D24+D25</f>
        <v>#REF!</v>
      </c>
      <c r="E21" s="46" t="e">
        <f t="shared" si="3"/>
        <v>#REF!</v>
      </c>
      <c r="F21" s="46" t="e">
        <f t="shared" si="3"/>
        <v>#REF!</v>
      </c>
      <c r="G21" s="46" t="e">
        <f t="shared" si="3"/>
        <v>#REF!</v>
      </c>
      <c r="H21" s="46" t="e">
        <f t="shared" si="3"/>
        <v>#REF!</v>
      </c>
      <c r="I21" s="46">
        <f t="shared" si="3"/>
        <v>9104.9</v>
      </c>
    </row>
    <row r="22" spans="1:9" ht="15.75">
      <c r="A22" s="116" t="s">
        <v>274</v>
      </c>
      <c r="B22" s="21" t="s">
        <v>191</v>
      </c>
      <c r="C22" s="21" t="s">
        <v>275</v>
      </c>
      <c r="D22" s="28" t="e">
        <f>'ПРил.№4 Рд,пр, ЦС,ВР'!F244</f>
        <v>#REF!</v>
      </c>
      <c r="E22" s="28" t="e">
        <f>'ПРил.№4 Рд,пр, ЦС,ВР'!G244</f>
        <v>#REF!</v>
      </c>
      <c r="F22" s="28" t="e">
        <f>'ПРил.№4 Рд,пр, ЦС,ВР'!H244</f>
        <v>#REF!</v>
      </c>
      <c r="G22" s="28" t="e">
        <f>'ПРил.№4 Рд,пр, ЦС,ВР'!I244</f>
        <v>#REF!</v>
      </c>
      <c r="H22" s="28" t="e">
        <f>'ПРил.№4 Рд,пр, ЦС,ВР'!J244</f>
        <v>#REF!</v>
      </c>
      <c r="I22" s="28">
        <f>'ПРил.№4 Рд,пр, ЦС,ВР'!K244</f>
        <v>355</v>
      </c>
    </row>
    <row r="23" spans="1:9" ht="15.75">
      <c r="A23" s="115" t="s">
        <v>547</v>
      </c>
      <c r="B23" s="21" t="s">
        <v>191</v>
      </c>
      <c r="C23" s="21" t="s">
        <v>340</v>
      </c>
      <c r="D23" s="28" t="e">
        <f>'ПРил.№4 Рд,пр, ЦС,ВР'!F260</f>
        <v>#REF!</v>
      </c>
      <c r="E23" s="28" t="e">
        <f>'ПРил.№4 Рд,пр, ЦС,ВР'!G260</f>
        <v>#REF!</v>
      </c>
      <c r="F23" s="28" t="e">
        <f>'ПРил.№4 Рд,пр, ЦС,ВР'!H260</f>
        <v>#REF!</v>
      </c>
      <c r="G23" s="28" t="e">
        <f>'ПРил.№4 Рд,пр, ЦС,ВР'!I260</f>
        <v>#REF!</v>
      </c>
      <c r="H23" s="28" t="e">
        <f>'ПРил.№4 Рд,пр, ЦС,ВР'!J260</f>
        <v>#REF!</v>
      </c>
      <c r="I23" s="28">
        <f>'ПРил.№4 Рд,пр, ЦС,ВР'!K260</f>
        <v>3258.3</v>
      </c>
    </row>
    <row r="24" spans="1:9" ht="15.75">
      <c r="A24" s="115" t="s">
        <v>550</v>
      </c>
      <c r="B24" s="21" t="s">
        <v>191</v>
      </c>
      <c r="C24" s="21" t="s">
        <v>260</v>
      </c>
      <c r="D24" s="28" t="e">
        <f>'ПРил.№4 Рд,пр, ЦС,ВР'!F266</f>
        <v>#REF!</v>
      </c>
      <c r="E24" s="28" t="e">
        <f>'ПРил.№4 Рд,пр, ЦС,ВР'!G266</f>
        <v>#REF!</v>
      </c>
      <c r="F24" s="28" t="e">
        <f>'ПРил.№4 Рд,пр, ЦС,ВР'!H266</f>
        <v>#REF!</v>
      </c>
      <c r="G24" s="28" t="e">
        <f>'ПРил.№4 Рд,пр, ЦС,ВР'!I266</f>
        <v>#REF!</v>
      </c>
      <c r="H24" s="28" t="e">
        <f>'ПРил.№4 Рд,пр, ЦС,ВР'!J266</f>
        <v>#REF!</v>
      </c>
      <c r="I24" s="28">
        <f>'ПРил.№4 Рд,пр, ЦС,ВР'!K266</f>
        <v>4766.599999999999</v>
      </c>
    </row>
    <row r="25" spans="1:9" ht="15.75">
      <c r="A25" s="117" t="s">
        <v>278</v>
      </c>
      <c r="B25" s="21" t="s">
        <v>191</v>
      </c>
      <c r="C25" s="21" t="s">
        <v>279</v>
      </c>
      <c r="D25" s="28" t="e">
        <f>'ПРил.№4 Рд,пр, ЦС,ВР'!F273</f>
        <v>#REF!</v>
      </c>
      <c r="E25" s="28" t="e">
        <f>'ПРил.№4 Рд,пр, ЦС,ВР'!G273</f>
        <v>#REF!</v>
      </c>
      <c r="F25" s="28" t="e">
        <f>'ПРил.№4 Рд,пр, ЦС,ВР'!H273</f>
        <v>#REF!</v>
      </c>
      <c r="G25" s="28" t="e">
        <f>'ПРил.№4 Рд,пр, ЦС,ВР'!I273</f>
        <v>#REF!</v>
      </c>
      <c r="H25" s="28" t="e">
        <f>'ПРил.№4 Рд,пр, ЦС,ВР'!J273</f>
        <v>#REF!</v>
      </c>
      <c r="I25" s="28">
        <f>'ПРил.№4 Рд,пр, ЦС,ВР'!K273</f>
        <v>725</v>
      </c>
    </row>
    <row r="26" spans="1:9" ht="15.75">
      <c r="A26" s="49" t="s">
        <v>432</v>
      </c>
      <c r="B26" s="25" t="s">
        <v>275</v>
      </c>
      <c r="C26" s="25"/>
      <c r="D26" s="46" t="e">
        <f aca="true" t="shared" si="4" ref="D26:I26">SUM(D27:D30)</f>
        <v>#REF!</v>
      </c>
      <c r="E26" s="46" t="e">
        <f t="shared" si="4"/>
        <v>#REF!</v>
      </c>
      <c r="F26" s="46" t="e">
        <f t="shared" si="4"/>
        <v>#REF!</v>
      </c>
      <c r="G26" s="46" t="e">
        <f t="shared" si="4"/>
        <v>#REF!</v>
      </c>
      <c r="H26" s="46" t="e">
        <f t="shared" si="4"/>
        <v>#REF!</v>
      </c>
      <c r="I26" s="46">
        <f t="shared" si="4"/>
        <v>171990.05000000005</v>
      </c>
    </row>
    <row r="27" spans="1:10" ht="15.75">
      <c r="A27" s="116" t="s">
        <v>433</v>
      </c>
      <c r="B27" s="21" t="s">
        <v>275</v>
      </c>
      <c r="C27" s="21" t="s">
        <v>159</v>
      </c>
      <c r="D27" s="28" t="e">
        <f>'ПРил.№4 Рд,пр, ЦС,ВР'!F297</f>
        <v>#REF!</v>
      </c>
      <c r="E27" s="28" t="e">
        <f>'ПРил.№4 Рд,пр, ЦС,ВР'!G297</f>
        <v>#REF!</v>
      </c>
      <c r="F27" s="28" t="e">
        <f>'ПРил.№4 Рд,пр, ЦС,ВР'!H297</f>
        <v>#REF!</v>
      </c>
      <c r="G27" s="28" t="e">
        <f>'ПРил.№4 Рд,пр, ЦС,ВР'!I297</f>
        <v>#REF!</v>
      </c>
      <c r="H27" s="28" t="e">
        <f>'ПРил.№4 Рд,пр, ЦС,ВР'!J297</f>
        <v>#REF!</v>
      </c>
      <c r="I27" s="28">
        <f>'ПРил.№4 Рд,пр, ЦС,ВР'!K297</f>
        <v>24392</v>
      </c>
      <c r="J27" s="23"/>
    </row>
    <row r="28" spans="1:9" ht="15.75">
      <c r="A28" s="116" t="s">
        <v>559</v>
      </c>
      <c r="B28" s="21" t="s">
        <v>275</v>
      </c>
      <c r="C28" s="21" t="s">
        <v>254</v>
      </c>
      <c r="D28" s="28" t="e">
        <f>'ПРил.№4 Рд,пр, ЦС,ВР'!F322</f>
        <v>#REF!</v>
      </c>
      <c r="E28" s="28" t="e">
        <f>'ПРил.№4 Рд,пр, ЦС,ВР'!G322</f>
        <v>#REF!</v>
      </c>
      <c r="F28" s="28" t="e">
        <f>'ПРил.№4 Рд,пр, ЦС,ВР'!H322</f>
        <v>#REF!</v>
      </c>
      <c r="G28" s="28" t="e">
        <f>'ПРил.№4 Рд,пр, ЦС,ВР'!I322</f>
        <v>#REF!</v>
      </c>
      <c r="H28" s="28" t="e">
        <f>'ПРил.№4 Рд,пр, ЦС,ВР'!J322</f>
        <v>#REF!</v>
      </c>
      <c r="I28" s="28">
        <f>'ПРил.№4 Рд,пр, ЦС,ВР'!K322</f>
        <v>107017.96</v>
      </c>
    </row>
    <row r="29" spans="1:9" ht="15.75">
      <c r="A29" s="115" t="s">
        <v>583</v>
      </c>
      <c r="B29" s="21" t="s">
        <v>275</v>
      </c>
      <c r="C29" s="21" t="s">
        <v>256</v>
      </c>
      <c r="D29" s="28" t="e">
        <f>'ПРил.№4 Рд,пр, ЦС,ВР'!F404</f>
        <v>#REF!</v>
      </c>
      <c r="E29" s="28" t="e">
        <f>'ПРил.№4 Рд,пр, ЦС,ВР'!G404</f>
        <v>#REF!</v>
      </c>
      <c r="F29" s="28" t="e">
        <f>'ПРил.№4 Рд,пр, ЦС,ВР'!H404</f>
        <v>#REF!</v>
      </c>
      <c r="G29" s="28" t="e">
        <f>'ПРил.№4 Рд,пр, ЦС,ВР'!I404</f>
        <v>#REF!</v>
      </c>
      <c r="H29" s="28" t="e">
        <f>'ПРил.№4 Рд,пр, ЦС,ВР'!J404</f>
        <v>#REF!</v>
      </c>
      <c r="I29" s="28">
        <f>'ПРил.№4 Рд,пр, ЦС,ВР'!K404</f>
        <v>6792.79</v>
      </c>
    </row>
    <row r="30" spans="1:9" ht="15.75">
      <c r="A30" s="26" t="s">
        <v>611</v>
      </c>
      <c r="B30" s="21" t="s">
        <v>275</v>
      </c>
      <c r="C30" s="21" t="s">
        <v>275</v>
      </c>
      <c r="D30" s="28" t="e">
        <f>'ПРил.№4 Рд,пр, ЦС,ВР'!F470</f>
        <v>#REF!</v>
      </c>
      <c r="E30" s="28" t="e">
        <f>'ПРил.№4 Рд,пр, ЦС,ВР'!G470</f>
        <v>#REF!</v>
      </c>
      <c r="F30" s="28" t="e">
        <f>'ПРил.№4 Рд,пр, ЦС,ВР'!H470</f>
        <v>#REF!</v>
      </c>
      <c r="G30" s="28" t="e">
        <f>'ПРил.№4 Рд,пр, ЦС,ВР'!I470</f>
        <v>#REF!</v>
      </c>
      <c r="H30" s="28" t="e">
        <f>'ПРил.№4 Рд,пр, ЦС,ВР'!J470</f>
        <v>#REF!</v>
      </c>
      <c r="I30" s="28">
        <f>'ПРил.№4 Рд,пр, ЦС,ВР'!K470</f>
        <v>33787.3</v>
      </c>
    </row>
    <row r="31" spans="1:9" ht="15.75">
      <c r="A31" s="49" t="s">
        <v>304</v>
      </c>
      <c r="B31" s="25" t="s">
        <v>305</v>
      </c>
      <c r="C31" s="25"/>
      <c r="D31" s="46" t="e">
        <f aca="true" t="shared" si="5" ref="D31:I31">SUM(D32:D36)</f>
        <v>#REF!</v>
      </c>
      <c r="E31" s="46" t="e">
        <f t="shared" si="5"/>
        <v>#REF!</v>
      </c>
      <c r="F31" s="46" t="e">
        <f t="shared" si="5"/>
        <v>#REF!</v>
      </c>
      <c r="G31" s="46" t="e">
        <f t="shared" si="5"/>
        <v>#REF!</v>
      </c>
      <c r="H31" s="46" t="e">
        <f t="shared" si="5"/>
        <v>#REF!</v>
      </c>
      <c r="I31" s="46">
        <f t="shared" si="5"/>
        <v>318698.1</v>
      </c>
    </row>
    <row r="32" spans="1:9" ht="15.75">
      <c r="A32" s="115" t="s">
        <v>446</v>
      </c>
      <c r="B32" s="21" t="s">
        <v>305</v>
      </c>
      <c r="C32" s="21" t="s">
        <v>159</v>
      </c>
      <c r="D32" s="28" t="e">
        <f>'ПРил.№4 Рд,пр, ЦС,ВР'!F493</f>
        <v>#REF!</v>
      </c>
      <c r="E32" s="28" t="e">
        <f>'ПРил.№4 Рд,пр, ЦС,ВР'!G493</f>
        <v>#REF!</v>
      </c>
      <c r="F32" s="28" t="e">
        <f>'ПРил.№4 Рд,пр, ЦС,ВР'!H493</f>
        <v>#REF!</v>
      </c>
      <c r="G32" s="28" t="e">
        <f>'ПРил.№4 Рд,пр, ЦС,ВР'!I493</f>
        <v>#REF!</v>
      </c>
      <c r="H32" s="28" t="e">
        <f>'ПРил.№4 Рд,пр, ЦС,ВР'!J493</f>
        <v>#REF!</v>
      </c>
      <c r="I32" s="28">
        <f>'ПРил.№4 Рд,пр, ЦС,ВР'!K493</f>
        <v>98197.7</v>
      </c>
    </row>
    <row r="33" spans="1:9" ht="15.75">
      <c r="A33" s="115" t="s">
        <v>467</v>
      </c>
      <c r="B33" s="21" t="s">
        <v>305</v>
      </c>
      <c r="C33" s="21" t="s">
        <v>254</v>
      </c>
      <c r="D33" s="28" t="e">
        <f>'ПРил.№4 Рд,пр, ЦС,ВР'!F552</f>
        <v>#REF!</v>
      </c>
      <c r="E33" s="28" t="e">
        <f>'ПРил.№4 Рд,пр, ЦС,ВР'!G552</f>
        <v>#REF!</v>
      </c>
      <c r="F33" s="28" t="e">
        <f>'ПРил.№4 Рд,пр, ЦС,ВР'!H552</f>
        <v>#REF!</v>
      </c>
      <c r="G33" s="28" t="e">
        <f>'ПРил.№4 Рд,пр, ЦС,ВР'!I552</f>
        <v>#REF!</v>
      </c>
      <c r="H33" s="28" t="e">
        <f>'ПРил.№4 Рд,пр, ЦС,ВР'!J552</f>
        <v>#REF!</v>
      </c>
      <c r="I33" s="28">
        <f>'ПРил.№4 Рд,пр, ЦС,ВР'!K552</f>
        <v>142621.4</v>
      </c>
    </row>
    <row r="34" spans="1:9" ht="15.75">
      <c r="A34" s="115" t="s">
        <v>306</v>
      </c>
      <c r="B34" s="21" t="s">
        <v>305</v>
      </c>
      <c r="C34" s="21" t="s">
        <v>256</v>
      </c>
      <c r="D34" s="28" t="e">
        <f>'ПРил.№4 Рд,пр, ЦС,ВР'!F640</f>
        <v>#REF!</v>
      </c>
      <c r="E34" s="28" t="e">
        <f>'ПРил.№4 Рд,пр, ЦС,ВР'!G640</f>
        <v>#REF!</v>
      </c>
      <c r="F34" s="28" t="e">
        <f>'ПРил.№4 Рд,пр, ЦС,ВР'!H640</f>
        <v>#REF!</v>
      </c>
      <c r="G34" s="28" t="e">
        <f>'ПРил.№4 Рд,пр, ЦС,ВР'!I640</f>
        <v>#REF!</v>
      </c>
      <c r="H34" s="28" t="e">
        <f>'ПРил.№4 Рд,пр, ЦС,ВР'!J640</f>
        <v>#REF!</v>
      </c>
      <c r="I34" s="28">
        <f>'ПРил.№4 Рд,пр, ЦС,ВР'!K640</f>
        <v>50122.899999999994</v>
      </c>
    </row>
    <row r="35" spans="1:9" ht="15.75">
      <c r="A35" s="115" t="s">
        <v>508</v>
      </c>
      <c r="B35" s="21" t="s">
        <v>305</v>
      </c>
      <c r="C35" s="21" t="s">
        <v>305</v>
      </c>
      <c r="D35" s="28" t="e">
        <f>'ПРил.№4 Рд,пр, ЦС,ВР'!F737</f>
        <v>#REF!</v>
      </c>
      <c r="E35" s="28" t="e">
        <f>'ПРил.№4 Рд,пр, ЦС,ВР'!G737</f>
        <v>#REF!</v>
      </c>
      <c r="F35" s="28" t="e">
        <f>'ПРил.№4 Рд,пр, ЦС,ВР'!H737</f>
        <v>#REF!</v>
      </c>
      <c r="G35" s="28" t="e">
        <f>'ПРил.№4 Рд,пр, ЦС,ВР'!I737</f>
        <v>#REF!</v>
      </c>
      <c r="H35" s="28" t="e">
        <f>'ПРил.№4 Рд,пр, ЦС,ВР'!J737</f>
        <v>#REF!</v>
      </c>
      <c r="I35" s="28">
        <f>'ПРил.№4 Рд,пр, ЦС,ВР'!K737</f>
        <v>7736.3</v>
      </c>
    </row>
    <row r="36" spans="1:9" ht="15.75">
      <c r="A36" s="115" t="s">
        <v>336</v>
      </c>
      <c r="B36" s="21" t="s">
        <v>305</v>
      </c>
      <c r="C36" s="21" t="s">
        <v>260</v>
      </c>
      <c r="D36" s="28" t="e">
        <f>'ПРил.№4 Рд,пр, ЦС,ВР'!F760</f>
        <v>#REF!</v>
      </c>
      <c r="E36" s="28" t="e">
        <f>'ПРил.№4 Рд,пр, ЦС,ВР'!G760</f>
        <v>#REF!</v>
      </c>
      <c r="F36" s="28" t="e">
        <f>'ПРил.№4 Рд,пр, ЦС,ВР'!H760</f>
        <v>#REF!</v>
      </c>
      <c r="G36" s="28" t="e">
        <f>'ПРил.№4 Рд,пр, ЦС,ВР'!I760</f>
        <v>#REF!</v>
      </c>
      <c r="H36" s="28" t="e">
        <f>'ПРил.№4 Рд,пр, ЦС,ВР'!J760</f>
        <v>#REF!</v>
      </c>
      <c r="I36" s="28">
        <f>'ПРил.№4 Рд,пр, ЦС,ВР'!K760</f>
        <v>20019.8</v>
      </c>
    </row>
    <row r="37" spans="1:9" ht="15.75">
      <c r="A37" s="118" t="s">
        <v>339</v>
      </c>
      <c r="B37" s="25" t="s">
        <v>340</v>
      </c>
      <c r="C37" s="21"/>
      <c r="D37" s="46" t="e">
        <f aca="true" t="shared" si="6" ref="D37:I37">D38+D39</f>
        <v>#REF!</v>
      </c>
      <c r="E37" s="46" t="e">
        <f t="shared" si="6"/>
        <v>#REF!</v>
      </c>
      <c r="F37" s="46" t="e">
        <f t="shared" si="6"/>
        <v>#REF!</v>
      </c>
      <c r="G37" s="46" t="e">
        <f t="shared" si="6"/>
        <v>#REF!</v>
      </c>
      <c r="H37" s="46" t="e">
        <f t="shared" si="6"/>
        <v>#REF!</v>
      </c>
      <c r="I37" s="46">
        <f t="shared" si="6"/>
        <v>68235.29999999999</v>
      </c>
    </row>
    <row r="38" spans="1:9" ht="15.75">
      <c r="A38" s="117" t="s">
        <v>341</v>
      </c>
      <c r="B38" s="21" t="s">
        <v>340</v>
      </c>
      <c r="C38" s="21" t="s">
        <v>159</v>
      </c>
      <c r="D38" s="28" t="e">
        <f>'ПРил.№4 Рд,пр, ЦС,ВР'!F793</f>
        <v>#REF!</v>
      </c>
      <c r="E38" s="28" t="e">
        <f>'ПРил.№4 Рд,пр, ЦС,ВР'!G793</f>
        <v>#REF!</v>
      </c>
      <c r="F38" s="28" t="e">
        <f>'ПРил.№4 Рд,пр, ЦС,ВР'!H793</f>
        <v>#REF!</v>
      </c>
      <c r="G38" s="28" t="e">
        <f>'ПРил.№4 Рд,пр, ЦС,ВР'!I793</f>
        <v>#REF!</v>
      </c>
      <c r="H38" s="28" t="e">
        <f>'ПРил.№4 Рд,пр, ЦС,ВР'!J793</f>
        <v>#REF!</v>
      </c>
      <c r="I38" s="28">
        <f>'ПРил.№4 Рд,пр, ЦС,ВР'!K793</f>
        <v>49157.2</v>
      </c>
    </row>
    <row r="39" spans="1:9" ht="15.75">
      <c r="A39" s="117" t="s">
        <v>374</v>
      </c>
      <c r="B39" s="21" t="s">
        <v>340</v>
      </c>
      <c r="C39" s="21" t="s">
        <v>191</v>
      </c>
      <c r="D39" s="28" t="e">
        <f>'ПРил.№4 Рд,пр, ЦС,ВР'!F851</f>
        <v>#REF!</v>
      </c>
      <c r="E39" s="28" t="e">
        <f>'ПРил.№4 Рд,пр, ЦС,ВР'!G851</f>
        <v>#REF!</v>
      </c>
      <c r="F39" s="28" t="e">
        <f>'ПРил.№4 Рд,пр, ЦС,ВР'!H851</f>
        <v>#REF!</v>
      </c>
      <c r="G39" s="28" t="e">
        <f>'ПРил.№4 Рд,пр, ЦС,ВР'!I851</f>
        <v>#REF!</v>
      </c>
      <c r="H39" s="28" t="e">
        <f>'ПРил.№4 Рд,пр, ЦС,ВР'!J851</f>
        <v>#REF!</v>
      </c>
      <c r="I39" s="28">
        <f>'ПРил.№4 Рд,пр, ЦС,ВР'!K851</f>
        <v>19078.1</v>
      </c>
    </row>
    <row r="40" spans="1:9" ht="15.75">
      <c r="A40" s="49" t="s">
        <v>284</v>
      </c>
      <c r="B40" s="25" t="s">
        <v>285</v>
      </c>
      <c r="C40" s="25"/>
      <c r="D40" s="46" t="e">
        <f aca="true" t="shared" si="7" ref="D40:I40">D41+D42+D43+D44</f>
        <v>#REF!</v>
      </c>
      <c r="E40" s="46" t="e">
        <f t="shared" si="7"/>
        <v>#REF!</v>
      </c>
      <c r="F40" s="46" t="e">
        <f t="shared" si="7"/>
        <v>#REF!</v>
      </c>
      <c r="G40" s="46" t="e">
        <f t="shared" si="7"/>
        <v>#REF!</v>
      </c>
      <c r="H40" s="46" t="e">
        <f t="shared" si="7"/>
        <v>#REF!</v>
      </c>
      <c r="I40" s="46">
        <f t="shared" si="7"/>
        <v>14804.4</v>
      </c>
    </row>
    <row r="41" spans="1:9" ht="15.75">
      <c r="A41" s="115" t="s">
        <v>286</v>
      </c>
      <c r="B41" s="21" t="s">
        <v>285</v>
      </c>
      <c r="C41" s="21" t="s">
        <v>159</v>
      </c>
      <c r="D41" s="28" t="e">
        <f>'ПРил.№4 Рд,пр, ЦС,ВР'!F887</f>
        <v>#REF!</v>
      </c>
      <c r="E41" s="28" t="e">
        <f>'ПРил.№4 Рд,пр, ЦС,ВР'!G887</f>
        <v>#REF!</v>
      </c>
      <c r="F41" s="28" t="e">
        <f>'ПРил.№4 Рд,пр, ЦС,ВР'!H887</f>
        <v>#REF!</v>
      </c>
      <c r="G41" s="28" t="e">
        <f>'ПРил.№4 Рд,пр, ЦС,ВР'!I887</f>
        <v>#REF!</v>
      </c>
      <c r="H41" s="28" t="e">
        <f>'ПРил.№4 Рд,пр, ЦС,ВР'!J887</f>
        <v>#REF!</v>
      </c>
      <c r="I41" s="28">
        <f>'ПРил.№4 Рд,пр, ЦС,ВР'!K887</f>
        <v>9066.4</v>
      </c>
    </row>
    <row r="42" spans="1:9" ht="15.75">
      <c r="A42" s="26" t="s">
        <v>293</v>
      </c>
      <c r="B42" s="21" t="s">
        <v>285</v>
      </c>
      <c r="C42" s="21" t="s">
        <v>256</v>
      </c>
      <c r="D42" s="28" t="e">
        <f>'ПРил.№4 Рд,пр, ЦС,ВР'!F893</f>
        <v>#REF!</v>
      </c>
      <c r="E42" s="28" t="e">
        <f>'ПРил.№4 Рд,пр, ЦС,ВР'!G893</f>
        <v>#REF!</v>
      </c>
      <c r="F42" s="28" t="e">
        <f>'ПРил.№4 Рд,пр, ЦС,ВР'!H893</f>
        <v>#REF!</v>
      </c>
      <c r="G42" s="28" t="e">
        <f>'ПРил.№4 Рд,пр, ЦС,ВР'!I893</f>
        <v>#REF!</v>
      </c>
      <c r="H42" s="28" t="e">
        <f>'ПРил.№4 Рд,пр, ЦС,ВР'!J893</f>
        <v>#REF!</v>
      </c>
      <c r="I42" s="28">
        <f>'ПРил.№4 Рд,пр, ЦС,ВР'!K893</f>
        <v>2387</v>
      </c>
    </row>
    <row r="43" spans="1:9" ht="15.75" hidden="1">
      <c r="A43" s="117" t="s">
        <v>442</v>
      </c>
      <c r="B43" s="21" t="s">
        <v>285</v>
      </c>
      <c r="C43" s="21" t="s">
        <v>191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f>'ПРил.№4 Рд,пр, ЦС,ВР'!K971</f>
        <v>0</v>
      </c>
    </row>
    <row r="44" spans="1:9" ht="15.75">
      <c r="A44" s="26" t="s">
        <v>299</v>
      </c>
      <c r="B44" s="21" t="s">
        <v>285</v>
      </c>
      <c r="C44" s="21" t="s">
        <v>161</v>
      </c>
      <c r="D44" s="28" t="e">
        <f>'ПРил.№4 Рд,пр, ЦС,ВР'!F979</f>
        <v>#REF!</v>
      </c>
      <c r="E44" s="28" t="e">
        <f>'ПРил.№4 Рд,пр, ЦС,ВР'!G979</f>
        <v>#REF!</v>
      </c>
      <c r="F44" s="28" t="e">
        <f>'ПРил.№4 Рд,пр, ЦС,ВР'!H979</f>
        <v>#REF!</v>
      </c>
      <c r="G44" s="28" t="e">
        <f>'ПРил.№4 Рд,пр, ЦС,ВР'!I979</f>
        <v>#REF!</v>
      </c>
      <c r="H44" s="28" t="e">
        <f>'ПРил.№4 Рд,пр, ЦС,ВР'!J979</f>
        <v>#REF!</v>
      </c>
      <c r="I44" s="28">
        <f>'ПРил.№4 Рд,пр, ЦС,ВР'!K979</f>
        <v>3351</v>
      </c>
    </row>
    <row r="45" spans="1:9" ht="15.75">
      <c r="A45" s="118" t="s">
        <v>532</v>
      </c>
      <c r="B45" s="25" t="s">
        <v>533</v>
      </c>
      <c r="C45" s="21"/>
      <c r="D45" s="46" t="e">
        <f aca="true" t="shared" si="8" ref="D45:I45">D46+D47</f>
        <v>#REF!</v>
      </c>
      <c r="E45" s="46" t="e">
        <f t="shared" si="8"/>
        <v>#REF!</v>
      </c>
      <c r="F45" s="46" t="e">
        <f t="shared" si="8"/>
        <v>#REF!</v>
      </c>
      <c r="G45" s="46" t="e">
        <f t="shared" si="8"/>
        <v>#REF!</v>
      </c>
      <c r="H45" s="46" t="e">
        <f t="shared" si="8"/>
        <v>#REF!</v>
      </c>
      <c r="I45" s="46">
        <f t="shared" si="8"/>
        <v>59348.2</v>
      </c>
    </row>
    <row r="46" spans="1:9" ht="15.75">
      <c r="A46" s="117" t="s">
        <v>534</v>
      </c>
      <c r="B46" s="21" t="s">
        <v>533</v>
      </c>
      <c r="C46" s="21" t="s">
        <v>159</v>
      </c>
      <c r="D46" s="28" t="e">
        <f>'ПРил.№4 Рд,пр, ЦС,ВР'!F996</f>
        <v>#REF!</v>
      </c>
      <c r="E46" s="28" t="e">
        <f>'ПРил.№4 Рд,пр, ЦС,ВР'!G996</f>
        <v>#REF!</v>
      </c>
      <c r="F46" s="28" t="e">
        <f>'ПРил.№4 Рд,пр, ЦС,ВР'!H996</f>
        <v>#REF!</v>
      </c>
      <c r="G46" s="28" t="e">
        <f>'ПРил.№4 Рд,пр, ЦС,ВР'!I996</f>
        <v>#REF!</v>
      </c>
      <c r="H46" s="28" t="e">
        <f>'ПРил.№4 Рд,пр, ЦС,ВР'!J996</f>
        <v>#REF!</v>
      </c>
      <c r="I46" s="28">
        <f>'ПРил.№4 Рд,пр, ЦС,ВР'!K996</f>
        <v>47122.59999999999</v>
      </c>
    </row>
    <row r="47" spans="1:9" ht="15.75">
      <c r="A47" s="117" t="s">
        <v>542</v>
      </c>
      <c r="B47" s="21" t="s">
        <v>533</v>
      </c>
      <c r="C47" s="21" t="s">
        <v>275</v>
      </c>
      <c r="D47" s="28" t="e">
        <f>'ПРил.№4 Рд,пр, ЦС,ВР'!F1048</f>
        <v>#REF!</v>
      </c>
      <c r="E47" s="28" t="e">
        <f>'ПРил.№4 Рд,пр, ЦС,ВР'!G1048</f>
        <v>#REF!</v>
      </c>
      <c r="F47" s="28" t="e">
        <f>'ПРил.№4 Рд,пр, ЦС,ВР'!H1048</f>
        <v>#REF!</v>
      </c>
      <c r="G47" s="28" t="e">
        <f>'ПРил.№4 Рд,пр, ЦС,ВР'!I1048</f>
        <v>#REF!</v>
      </c>
      <c r="H47" s="28" t="e">
        <f>'ПРил.№4 Рд,пр, ЦС,ВР'!J1048</f>
        <v>#REF!</v>
      </c>
      <c r="I47" s="28">
        <f>'ПРил.№4 Рд,пр, ЦС,ВР'!K1048</f>
        <v>12225.600000000002</v>
      </c>
    </row>
    <row r="48" spans="1:9" ht="15.75">
      <c r="A48" s="20" t="s">
        <v>624</v>
      </c>
      <c r="B48" s="25" t="s">
        <v>279</v>
      </c>
      <c r="C48" s="21"/>
      <c r="D48" s="46" t="e">
        <f aca="true" t="shared" si="9" ref="D48:I48">D49</f>
        <v>#REF!</v>
      </c>
      <c r="E48" s="46" t="e">
        <f t="shared" si="9"/>
        <v>#REF!</v>
      </c>
      <c r="F48" s="46" t="e">
        <f t="shared" si="9"/>
        <v>#REF!</v>
      </c>
      <c r="G48" s="46" t="e">
        <f t="shared" si="9"/>
        <v>#REF!</v>
      </c>
      <c r="H48" s="46" t="e">
        <f t="shared" si="9"/>
        <v>#REF!</v>
      </c>
      <c r="I48" s="46">
        <f t="shared" si="9"/>
        <v>7450.900000000001</v>
      </c>
    </row>
    <row r="49" spans="1:9" ht="15.75">
      <c r="A49" s="33" t="s">
        <v>625</v>
      </c>
      <c r="B49" s="21" t="s">
        <v>279</v>
      </c>
      <c r="C49" s="21" t="s">
        <v>254</v>
      </c>
      <c r="D49" s="28" t="e">
        <f>'ПРил.№4 Рд,пр, ЦС,ВР'!F1072</f>
        <v>#REF!</v>
      </c>
      <c r="E49" s="28" t="e">
        <f>'ПРил.№4 Рд,пр, ЦС,ВР'!G1072</f>
        <v>#REF!</v>
      </c>
      <c r="F49" s="28" t="e">
        <f>'ПРил.№4 Рд,пр, ЦС,ВР'!H1072</f>
        <v>#REF!</v>
      </c>
      <c r="G49" s="28" t="e">
        <f>'ПРил.№4 Рд,пр, ЦС,ВР'!I1072</f>
        <v>#REF!</v>
      </c>
      <c r="H49" s="28" t="e">
        <f>'ПРил.№4 Рд,пр, ЦС,ВР'!J1072</f>
        <v>#REF!</v>
      </c>
      <c r="I49" s="28">
        <f>'ПРил.№4 Рд,пр, ЦС,ВР'!K1072</f>
        <v>7450.900000000001</v>
      </c>
    </row>
    <row r="50" spans="1:10" ht="15.75">
      <c r="A50" s="113" t="s">
        <v>743</v>
      </c>
      <c r="B50" s="25"/>
      <c r="C50" s="25"/>
      <c r="D50" s="46" t="e">
        <f aca="true" t="shared" si="10" ref="D50:I50">D10+D19+D21+D26+D31+D37+D40+D45+D48+D17</f>
        <v>#REF!</v>
      </c>
      <c r="E50" s="46" t="e">
        <f t="shared" si="10"/>
        <v>#REF!</v>
      </c>
      <c r="F50" s="46" t="e">
        <f t="shared" si="10"/>
        <v>#REF!</v>
      </c>
      <c r="G50" s="46" t="e">
        <f t="shared" si="10"/>
        <v>#REF!</v>
      </c>
      <c r="H50" s="46" t="e">
        <f t="shared" si="10"/>
        <v>#REF!</v>
      </c>
      <c r="I50" s="46">
        <f t="shared" si="10"/>
        <v>810388.3500000001</v>
      </c>
      <c r="J50" s="23">
        <f>I50-'Прил.№5 ведомств.'!G1322</f>
        <v>0</v>
      </c>
    </row>
    <row r="51" spans="4:9" ht="15" hidden="1"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>
        <f>'Прил.№5 ведомств.'!G1322</f>
        <v>810388.35</v>
      </c>
    </row>
    <row r="52" spans="4:9" ht="15" hidden="1">
      <c r="D52" s="23" t="e">
        <f aca="true" t="shared" si="11" ref="D52:I52">D51-D50</f>
        <v>#REF!</v>
      </c>
      <c r="E52" s="23" t="e">
        <f t="shared" si="11"/>
        <v>#REF!</v>
      </c>
      <c r="F52" s="23" t="e">
        <f t="shared" si="11"/>
        <v>#REF!</v>
      </c>
      <c r="G52" s="23" t="e">
        <f t="shared" si="11"/>
        <v>#REF!</v>
      </c>
      <c r="H52" s="23" t="e">
        <f t="shared" si="11"/>
        <v>#REF!</v>
      </c>
      <c r="I52" s="23">
        <f t="shared" si="11"/>
        <v>0</v>
      </c>
    </row>
    <row r="54" ht="15">
      <c r="I54" s="23"/>
    </row>
  </sheetData>
  <mergeCells count="7">
    <mergeCell ref="B3:I3"/>
    <mergeCell ref="B2:I2"/>
    <mergeCell ref="B1:I1"/>
    <mergeCell ref="A7:D7"/>
    <mergeCell ref="A4:I4"/>
    <mergeCell ref="A5:I5"/>
    <mergeCell ref="A6:I6"/>
  </mergeCells>
  <printOptions/>
  <pageMargins left="0.25" right="0.25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0"/>
  <sheetViews>
    <sheetView tabSelected="1" view="pageBreakPreview" zoomScaleSheetLayoutView="100" workbookViewId="0" topLeftCell="A37">
      <selection activeCell="E45" sqref="E45"/>
    </sheetView>
  </sheetViews>
  <sheetFormatPr defaultColWidth="9.140625" defaultRowHeight="15"/>
  <cols>
    <col min="1" max="1" width="52.28125" style="0" customWidth="1"/>
    <col min="2" max="2" width="5.8515625" style="0" customWidth="1"/>
    <col min="3" max="3" width="7.28125" style="0" customWidth="1"/>
    <col min="4" max="4" width="15.421875" style="0" customWidth="1"/>
    <col min="5" max="5" width="9.8515625" style="0" customWidth="1"/>
    <col min="6" max="6" width="11.7109375" style="0" hidden="1" customWidth="1"/>
    <col min="7" max="7" width="12.00390625" style="0" hidden="1" customWidth="1"/>
    <col min="8" max="8" width="10.8515625" style="0" hidden="1" customWidth="1"/>
    <col min="9" max="9" width="12.28125" style="0" hidden="1" customWidth="1"/>
    <col min="10" max="10" width="11.7109375" style="0" hidden="1" customWidth="1"/>
    <col min="11" max="11" width="14.28125" style="0" customWidth="1"/>
  </cols>
  <sheetData>
    <row r="1" spans="1:11" ht="18.75" customHeight="1">
      <c r="A1" s="58"/>
      <c r="B1" s="29"/>
      <c r="C1" s="29"/>
      <c r="D1" s="436" t="s">
        <v>1257</v>
      </c>
      <c r="E1" s="436"/>
      <c r="F1" s="436"/>
      <c r="G1" s="436"/>
      <c r="H1" s="436"/>
      <c r="I1" s="436"/>
      <c r="J1" s="436"/>
      <c r="K1" s="436"/>
    </row>
    <row r="2" spans="1:11" ht="18.75" customHeight="1">
      <c r="A2" s="58"/>
      <c r="B2" s="29"/>
      <c r="C2" s="29"/>
      <c r="D2" s="436" t="s">
        <v>1254</v>
      </c>
      <c r="E2" s="436"/>
      <c r="F2" s="436"/>
      <c r="G2" s="436"/>
      <c r="H2" s="436"/>
      <c r="I2" s="436"/>
      <c r="J2" s="436"/>
      <c r="K2" s="436"/>
    </row>
    <row r="3" spans="1:11" ht="18.75" customHeight="1">
      <c r="A3" s="58"/>
      <c r="B3" s="435"/>
      <c r="C3" s="29"/>
      <c r="D3" s="436" t="s">
        <v>1253</v>
      </c>
      <c r="E3" s="436"/>
      <c r="F3" s="436"/>
      <c r="G3" s="436"/>
      <c r="H3" s="436"/>
      <c r="I3" s="436"/>
      <c r="J3" s="436"/>
      <c r="K3" s="436"/>
    </row>
    <row r="4" spans="1:11" ht="15">
      <c r="A4" s="58"/>
      <c r="B4" s="29"/>
      <c r="C4" s="29"/>
      <c r="D4" s="29"/>
      <c r="E4" s="29"/>
      <c r="F4" s="58"/>
      <c r="G4" s="285"/>
      <c r="H4" s="285"/>
      <c r="I4" s="285"/>
      <c r="J4" s="285"/>
      <c r="K4" s="285"/>
    </row>
    <row r="5" spans="1:11" ht="63.75" customHeight="1">
      <c r="A5" s="408" t="s">
        <v>1002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6" spans="1:11" ht="15.75">
      <c r="A6" s="58"/>
      <c r="B6" s="29"/>
      <c r="C6" s="29"/>
      <c r="D6" s="29"/>
      <c r="E6" s="29"/>
      <c r="F6" s="60" t="s">
        <v>3</v>
      </c>
      <c r="K6" s="240" t="s">
        <v>3</v>
      </c>
    </row>
    <row r="7" spans="1:11" ht="30" customHeight="1">
      <c r="A7" s="409" t="s">
        <v>634</v>
      </c>
      <c r="B7" s="410" t="s">
        <v>153</v>
      </c>
      <c r="C7" s="410" t="s">
        <v>154</v>
      </c>
      <c r="D7" s="410" t="s">
        <v>155</v>
      </c>
      <c r="E7" s="410" t="s">
        <v>156</v>
      </c>
      <c r="F7" s="407" t="s">
        <v>6</v>
      </c>
      <c r="G7" s="407" t="s">
        <v>857</v>
      </c>
      <c r="H7" s="407" t="s">
        <v>861</v>
      </c>
      <c r="I7" s="407" t="s">
        <v>858</v>
      </c>
      <c r="J7" s="407" t="s">
        <v>859</v>
      </c>
      <c r="K7" s="407" t="s">
        <v>1003</v>
      </c>
    </row>
    <row r="8" spans="1:11" ht="36" customHeight="1">
      <c r="A8" s="409"/>
      <c r="B8" s="410"/>
      <c r="C8" s="410"/>
      <c r="D8" s="410"/>
      <c r="E8" s="410"/>
      <c r="F8" s="407"/>
      <c r="G8" s="407"/>
      <c r="H8" s="407"/>
      <c r="I8" s="407"/>
      <c r="J8" s="407"/>
      <c r="K8" s="407"/>
    </row>
    <row r="9" spans="1:11" ht="15.75">
      <c r="A9" s="6">
        <v>1</v>
      </c>
      <c r="B9" s="2">
        <v>2</v>
      </c>
      <c r="C9" s="2">
        <v>3</v>
      </c>
      <c r="D9" s="2">
        <v>4</v>
      </c>
      <c r="E9" s="2">
        <v>5</v>
      </c>
      <c r="F9" s="61">
        <v>6</v>
      </c>
      <c r="G9" s="61">
        <v>7</v>
      </c>
      <c r="H9" s="61">
        <v>6</v>
      </c>
      <c r="I9" s="61">
        <v>9</v>
      </c>
      <c r="J9" s="61">
        <v>10</v>
      </c>
      <c r="K9" s="61">
        <v>6</v>
      </c>
    </row>
    <row r="10" spans="1:13" ht="15.75">
      <c r="A10" s="43" t="s">
        <v>158</v>
      </c>
      <c r="B10" s="8" t="s">
        <v>159</v>
      </c>
      <c r="C10" s="8"/>
      <c r="D10" s="8"/>
      <c r="E10" s="8"/>
      <c r="F10" s="4" t="e">
        <f aca="true" t="shared" si="0" ref="F10:K10">F11+F19+F29+F59+F77</f>
        <v>#REF!</v>
      </c>
      <c r="G10" s="4" t="e">
        <f t="shared" si="0"/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>
        <f t="shared" si="0"/>
        <v>152339.69999999998</v>
      </c>
      <c r="L10" s="23"/>
      <c r="M10" s="23"/>
    </row>
    <row r="11" spans="1:11" ht="47.25">
      <c r="A11" s="43" t="s">
        <v>617</v>
      </c>
      <c r="B11" s="8" t="s">
        <v>159</v>
      </c>
      <c r="C11" s="8" t="s">
        <v>254</v>
      </c>
      <c r="D11" s="8"/>
      <c r="E11" s="8"/>
      <c r="F11" s="4" t="e">
        <f>F12</f>
        <v>#REF!</v>
      </c>
      <c r="G11" s="4" t="e">
        <f aca="true" t="shared" si="1" ref="G11:K13">G12</f>
        <v>#REF!</v>
      </c>
      <c r="H11" s="4" t="e">
        <f t="shared" si="1"/>
        <v>#REF!</v>
      </c>
      <c r="I11" s="4" t="e">
        <f t="shared" si="1"/>
        <v>#REF!</v>
      </c>
      <c r="J11" s="4" t="e">
        <f t="shared" si="1"/>
        <v>#REF!</v>
      </c>
      <c r="K11" s="4">
        <f t="shared" si="1"/>
        <v>4330.8</v>
      </c>
    </row>
    <row r="12" spans="1:11" ht="15.75">
      <c r="A12" s="31" t="s">
        <v>162</v>
      </c>
      <c r="B12" s="42" t="s">
        <v>159</v>
      </c>
      <c r="C12" s="42" t="s">
        <v>254</v>
      </c>
      <c r="D12" s="42" t="s">
        <v>163</v>
      </c>
      <c r="E12" s="42"/>
      <c r="F12" s="7" t="e">
        <f>F13</f>
        <v>#REF!</v>
      </c>
      <c r="G12" s="7" t="e">
        <f t="shared" si="1"/>
        <v>#REF!</v>
      </c>
      <c r="H12" s="7" t="e">
        <f t="shared" si="1"/>
        <v>#REF!</v>
      </c>
      <c r="I12" s="7" t="e">
        <f t="shared" si="1"/>
        <v>#REF!</v>
      </c>
      <c r="J12" s="7" t="e">
        <f t="shared" si="1"/>
        <v>#REF!</v>
      </c>
      <c r="K12" s="7">
        <f t="shared" si="1"/>
        <v>4330.8</v>
      </c>
    </row>
    <row r="13" spans="1:11" ht="31.5">
      <c r="A13" s="31" t="s">
        <v>164</v>
      </c>
      <c r="B13" s="42" t="s">
        <v>159</v>
      </c>
      <c r="C13" s="42" t="s">
        <v>254</v>
      </c>
      <c r="D13" s="42" t="s">
        <v>165</v>
      </c>
      <c r="E13" s="42"/>
      <c r="F13" s="7" t="e">
        <f>F14</f>
        <v>#REF!</v>
      </c>
      <c r="G13" s="7" t="e">
        <f t="shared" si="1"/>
        <v>#REF!</v>
      </c>
      <c r="H13" s="7" t="e">
        <f t="shared" si="1"/>
        <v>#REF!</v>
      </c>
      <c r="I13" s="7" t="e">
        <f t="shared" si="1"/>
        <v>#REF!</v>
      </c>
      <c r="J13" s="7" t="e">
        <f t="shared" si="1"/>
        <v>#REF!</v>
      </c>
      <c r="K13" s="7">
        <f t="shared" si="1"/>
        <v>4330.8</v>
      </c>
    </row>
    <row r="14" spans="1:11" ht="31.5">
      <c r="A14" s="31" t="s">
        <v>618</v>
      </c>
      <c r="B14" s="42" t="s">
        <v>159</v>
      </c>
      <c r="C14" s="42" t="s">
        <v>254</v>
      </c>
      <c r="D14" s="42" t="s">
        <v>619</v>
      </c>
      <c r="E14" s="42"/>
      <c r="F14" s="7" t="e">
        <f aca="true" t="shared" si="2" ref="F14:K14">F15+F17</f>
        <v>#REF!</v>
      </c>
      <c r="G14" s="7" t="e">
        <f t="shared" si="2"/>
        <v>#REF!</v>
      </c>
      <c r="H14" s="7" t="e">
        <f t="shared" si="2"/>
        <v>#REF!</v>
      </c>
      <c r="I14" s="7" t="e">
        <f t="shared" si="2"/>
        <v>#REF!</v>
      </c>
      <c r="J14" s="7" t="e">
        <f t="shared" si="2"/>
        <v>#REF!</v>
      </c>
      <c r="K14" s="7">
        <f t="shared" si="2"/>
        <v>4330.8</v>
      </c>
    </row>
    <row r="15" spans="1:11" ht="78.75">
      <c r="A15" s="31" t="s">
        <v>168</v>
      </c>
      <c r="B15" s="42" t="s">
        <v>159</v>
      </c>
      <c r="C15" s="42" t="s">
        <v>254</v>
      </c>
      <c r="D15" s="42" t="s">
        <v>619</v>
      </c>
      <c r="E15" s="42" t="s">
        <v>169</v>
      </c>
      <c r="F15" s="62" t="e">
        <f aca="true" t="shared" si="3" ref="F15:K15">F16</f>
        <v>#REF!</v>
      </c>
      <c r="G15" s="62" t="e">
        <f t="shared" si="3"/>
        <v>#REF!</v>
      </c>
      <c r="H15" s="62" t="e">
        <f t="shared" si="3"/>
        <v>#REF!</v>
      </c>
      <c r="I15" s="62" t="e">
        <f t="shared" si="3"/>
        <v>#REF!</v>
      </c>
      <c r="J15" s="62" t="e">
        <f t="shared" si="3"/>
        <v>#REF!</v>
      </c>
      <c r="K15" s="62">
        <f t="shared" si="3"/>
        <v>4309.8</v>
      </c>
    </row>
    <row r="16" spans="1:11" ht="31.5">
      <c r="A16" s="31" t="s">
        <v>170</v>
      </c>
      <c r="B16" s="42" t="s">
        <v>159</v>
      </c>
      <c r="C16" s="42" t="s">
        <v>254</v>
      </c>
      <c r="D16" s="42" t="s">
        <v>619</v>
      </c>
      <c r="E16" s="42" t="s">
        <v>171</v>
      </c>
      <c r="F16" s="62" t="e">
        <f>#REF!</f>
        <v>#REF!</v>
      </c>
      <c r="G16" s="62" t="e">
        <f>#REF!</f>
        <v>#REF!</v>
      </c>
      <c r="H16" s="62" t="e">
        <f>#REF!</f>
        <v>#REF!</v>
      </c>
      <c r="I16" s="62" t="e">
        <f>#REF!</f>
        <v>#REF!</v>
      </c>
      <c r="J16" s="62" t="e">
        <f>#REF!</f>
        <v>#REF!</v>
      </c>
      <c r="K16" s="62">
        <f>'Прил.№5 ведомств.'!G1269</f>
        <v>4309.8</v>
      </c>
    </row>
    <row r="17" spans="1:11" ht="31.5">
      <c r="A17" s="31" t="s">
        <v>172</v>
      </c>
      <c r="B17" s="42" t="s">
        <v>159</v>
      </c>
      <c r="C17" s="42" t="s">
        <v>254</v>
      </c>
      <c r="D17" s="42" t="s">
        <v>619</v>
      </c>
      <c r="E17" s="42" t="s">
        <v>173</v>
      </c>
      <c r="F17" s="30" t="e">
        <f aca="true" t="shared" si="4" ref="F17:K17">F18</f>
        <v>#REF!</v>
      </c>
      <c r="G17" s="30" t="e">
        <f t="shared" si="4"/>
        <v>#REF!</v>
      </c>
      <c r="H17" s="30" t="e">
        <f t="shared" si="4"/>
        <v>#REF!</v>
      </c>
      <c r="I17" s="30" t="e">
        <f t="shared" si="4"/>
        <v>#REF!</v>
      </c>
      <c r="J17" s="30" t="e">
        <f t="shared" si="4"/>
        <v>#REF!</v>
      </c>
      <c r="K17" s="30">
        <f t="shared" si="4"/>
        <v>21</v>
      </c>
    </row>
    <row r="18" spans="1:11" ht="47.25">
      <c r="A18" s="31" t="s">
        <v>174</v>
      </c>
      <c r="B18" s="42" t="s">
        <v>159</v>
      </c>
      <c r="C18" s="42" t="s">
        <v>254</v>
      </c>
      <c r="D18" s="42" t="s">
        <v>619</v>
      </c>
      <c r="E18" s="42" t="s">
        <v>175</v>
      </c>
      <c r="F18" s="30" t="e">
        <f>#REF!</f>
        <v>#REF!</v>
      </c>
      <c r="G18" s="30" t="e">
        <f>#REF!</f>
        <v>#REF!</v>
      </c>
      <c r="H18" s="30" t="e">
        <f>#REF!</f>
        <v>#REF!</v>
      </c>
      <c r="I18" s="30" t="e">
        <f>#REF!</f>
        <v>#REF!</v>
      </c>
      <c r="J18" s="30" t="e">
        <f>#REF!</f>
        <v>#REF!</v>
      </c>
      <c r="K18" s="30">
        <f>'Прил.№5 ведомств.'!G1271</f>
        <v>21</v>
      </c>
    </row>
    <row r="19" spans="1:11" ht="63">
      <c r="A19" s="43" t="s">
        <v>620</v>
      </c>
      <c r="B19" s="8" t="s">
        <v>159</v>
      </c>
      <c r="C19" s="8" t="s">
        <v>256</v>
      </c>
      <c r="D19" s="8"/>
      <c r="E19" s="8"/>
      <c r="F19" s="4" t="e">
        <f>F20</f>
        <v>#REF!</v>
      </c>
      <c r="G19" s="4" t="e">
        <f aca="true" t="shared" si="5" ref="G19:K21">G20</f>
        <v>#REF!</v>
      </c>
      <c r="H19" s="4" t="e">
        <f t="shared" si="5"/>
        <v>#REF!</v>
      </c>
      <c r="I19" s="4" t="e">
        <f t="shared" si="5"/>
        <v>#REF!</v>
      </c>
      <c r="J19" s="4" t="e">
        <f t="shared" si="5"/>
        <v>#REF!</v>
      </c>
      <c r="K19" s="4">
        <f t="shared" si="5"/>
        <v>1116</v>
      </c>
    </row>
    <row r="20" spans="1:11" ht="15.75">
      <c r="A20" s="31" t="s">
        <v>162</v>
      </c>
      <c r="B20" s="42" t="s">
        <v>159</v>
      </c>
      <c r="C20" s="42" t="s">
        <v>256</v>
      </c>
      <c r="D20" s="42" t="s">
        <v>163</v>
      </c>
      <c r="E20" s="8"/>
      <c r="F20" s="7" t="e">
        <f>F21</f>
        <v>#REF!</v>
      </c>
      <c r="G20" s="7" t="e">
        <f t="shared" si="5"/>
        <v>#REF!</v>
      </c>
      <c r="H20" s="7" t="e">
        <f t="shared" si="5"/>
        <v>#REF!</v>
      </c>
      <c r="I20" s="7" t="e">
        <f t="shared" si="5"/>
        <v>#REF!</v>
      </c>
      <c r="J20" s="7" t="e">
        <f t="shared" si="5"/>
        <v>#REF!</v>
      </c>
      <c r="K20" s="7">
        <f t="shared" si="5"/>
        <v>1116</v>
      </c>
    </row>
    <row r="21" spans="1:11" ht="31.5">
      <c r="A21" s="31" t="s">
        <v>164</v>
      </c>
      <c r="B21" s="42" t="s">
        <v>159</v>
      </c>
      <c r="C21" s="42" t="s">
        <v>256</v>
      </c>
      <c r="D21" s="42" t="s">
        <v>165</v>
      </c>
      <c r="E21" s="8"/>
      <c r="F21" s="7" t="e">
        <f>F22</f>
        <v>#REF!</v>
      </c>
      <c r="G21" s="7" t="e">
        <f t="shared" si="5"/>
        <v>#REF!</v>
      </c>
      <c r="H21" s="7" t="e">
        <f t="shared" si="5"/>
        <v>#REF!</v>
      </c>
      <c r="I21" s="7" t="e">
        <f t="shared" si="5"/>
        <v>#REF!</v>
      </c>
      <c r="J21" s="7" t="e">
        <f t="shared" si="5"/>
        <v>#REF!</v>
      </c>
      <c r="K21" s="7">
        <f t="shared" si="5"/>
        <v>1116</v>
      </c>
    </row>
    <row r="22" spans="1:11" ht="47.25">
      <c r="A22" s="31" t="s">
        <v>621</v>
      </c>
      <c r="B22" s="42" t="s">
        <v>159</v>
      </c>
      <c r="C22" s="42" t="s">
        <v>256</v>
      </c>
      <c r="D22" s="42" t="s">
        <v>622</v>
      </c>
      <c r="E22" s="42"/>
      <c r="F22" s="7" t="e">
        <f aca="true" t="shared" si="6" ref="F22:K22">F23+F25</f>
        <v>#REF!</v>
      </c>
      <c r="G22" s="7" t="e">
        <f t="shared" si="6"/>
        <v>#REF!</v>
      </c>
      <c r="H22" s="7" t="e">
        <f t="shared" si="6"/>
        <v>#REF!</v>
      </c>
      <c r="I22" s="7" t="e">
        <f t="shared" si="6"/>
        <v>#REF!</v>
      </c>
      <c r="J22" s="7" t="e">
        <f t="shared" si="6"/>
        <v>#REF!</v>
      </c>
      <c r="K22" s="7">
        <f t="shared" si="6"/>
        <v>1116</v>
      </c>
    </row>
    <row r="23" spans="1:11" ht="78.75">
      <c r="A23" s="31" t="s">
        <v>168</v>
      </c>
      <c r="B23" s="42" t="s">
        <v>159</v>
      </c>
      <c r="C23" s="42" t="s">
        <v>256</v>
      </c>
      <c r="D23" s="42" t="s">
        <v>622</v>
      </c>
      <c r="E23" s="42" t="s">
        <v>169</v>
      </c>
      <c r="F23" s="62" t="e">
        <f aca="true" t="shared" si="7" ref="F23:K23">F24</f>
        <v>#REF!</v>
      </c>
      <c r="G23" s="62" t="e">
        <f t="shared" si="7"/>
        <v>#REF!</v>
      </c>
      <c r="H23" s="62" t="e">
        <f t="shared" si="7"/>
        <v>#REF!</v>
      </c>
      <c r="I23" s="62" t="e">
        <f t="shared" si="7"/>
        <v>#REF!</v>
      </c>
      <c r="J23" s="62" t="e">
        <f t="shared" si="7"/>
        <v>#REF!</v>
      </c>
      <c r="K23" s="62">
        <f t="shared" si="7"/>
        <v>1023</v>
      </c>
    </row>
    <row r="24" spans="1:11" ht="31.5">
      <c r="A24" s="31" t="s">
        <v>170</v>
      </c>
      <c r="B24" s="42" t="s">
        <v>159</v>
      </c>
      <c r="C24" s="42" t="s">
        <v>256</v>
      </c>
      <c r="D24" s="42" t="s">
        <v>622</v>
      </c>
      <c r="E24" s="42" t="s">
        <v>171</v>
      </c>
      <c r="F24" s="62" t="e">
        <f>#REF!</f>
        <v>#REF!</v>
      </c>
      <c r="G24" s="62" t="e">
        <f>#REF!</f>
        <v>#REF!</v>
      </c>
      <c r="H24" s="62" t="e">
        <f>#REF!</f>
        <v>#REF!</v>
      </c>
      <c r="I24" s="62" t="e">
        <f>#REF!</f>
        <v>#REF!</v>
      </c>
      <c r="J24" s="62" t="e">
        <f>#REF!</f>
        <v>#REF!</v>
      </c>
      <c r="K24" s="62">
        <f>'Прил.№5 ведомств.'!G1277</f>
        <v>1023</v>
      </c>
    </row>
    <row r="25" spans="1:11" ht="31.5">
      <c r="A25" s="31" t="s">
        <v>172</v>
      </c>
      <c r="B25" s="42" t="s">
        <v>159</v>
      </c>
      <c r="C25" s="42" t="s">
        <v>256</v>
      </c>
      <c r="D25" s="42" t="s">
        <v>622</v>
      </c>
      <c r="E25" s="42" t="s">
        <v>173</v>
      </c>
      <c r="F25" s="7" t="e">
        <f aca="true" t="shared" si="8" ref="F25:K25">F26</f>
        <v>#REF!</v>
      </c>
      <c r="G25" s="7" t="e">
        <f t="shared" si="8"/>
        <v>#REF!</v>
      </c>
      <c r="H25" s="7" t="e">
        <f t="shared" si="8"/>
        <v>#REF!</v>
      </c>
      <c r="I25" s="7" t="e">
        <f t="shared" si="8"/>
        <v>#REF!</v>
      </c>
      <c r="J25" s="7" t="e">
        <f t="shared" si="8"/>
        <v>#REF!</v>
      </c>
      <c r="K25" s="7">
        <f t="shared" si="8"/>
        <v>93</v>
      </c>
    </row>
    <row r="26" spans="1:11" ht="47.25">
      <c r="A26" s="31" t="s">
        <v>174</v>
      </c>
      <c r="B26" s="42" t="s">
        <v>159</v>
      </c>
      <c r="C26" s="42" t="s">
        <v>256</v>
      </c>
      <c r="D26" s="42" t="s">
        <v>622</v>
      </c>
      <c r="E26" s="42" t="s">
        <v>175</v>
      </c>
      <c r="F26" s="7" t="e">
        <f>#REF!</f>
        <v>#REF!</v>
      </c>
      <c r="G26" s="7" t="e">
        <f>#REF!</f>
        <v>#REF!</v>
      </c>
      <c r="H26" s="7" t="e">
        <f>#REF!</f>
        <v>#REF!</v>
      </c>
      <c r="I26" s="7" t="e">
        <f>#REF!</f>
        <v>#REF!</v>
      </c>
      <c r="J26" s="7" t="e">
        <f>#REF!</f>
        <v>#REF!</v>
      </c>
      <c r="K26" s="7">
        <f>'Прил.№5 ведомств.'!G1279</f>
        <v>93</v>
      </c>
    </row>
    <row r="27" spans="1:11" ht="15.75" customHeight="1" hidden="1">
      <c r="A27" s="31" t="s">
        <v>176</v>
      </c>
      <c r="B27" s="42" t="s">
        <v>159</v>
      </c>
      <c r="C27" s="42" t="s">
        <v>256</v>
      </c>
      <c r="D27" s="42" t="s">
        <v>622</v>
      </c>
      <c r="E27" s="42" t="s">
        <v>186</v>
      </c>
      <c r="F27" s="7">
        <f aca="true" t="shared" si="9" ref="F27:K27">F28</f>
        <v>0</v>
      </c>
      <c r="G27" s="7">
        <f t="shared" si="9"/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customHeight="1" hidden="1">
      <c r="A28" s="31" t="s">
        <v>178</v>
      </c>
      <c r="B28" s="42" t="s">
        <v>159</v>
      </c>
      <c r="C28" s="42" t="s">
        <v>256</v>
      </c>
      <c r="D28" s="42" t="s">
        <v>622</v>
      </c>
      <c r="E28" s="42" t="s">
        <v>179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>
      <c r="A29" s="43" t="s">
        <v>190</v>
      </c>
      <c r="B29" s="8" t="s">
        <v>159</v>
      </c>
      <c r="C29" s="8" t="s">
        <v>191</v>
      </c>
      <c r="D29" s="8"/>
      <c r="E29" s="8"/>
      <c r="F29" s="4" t="e">
        <f aca="true" t="shared" si="10" ref="F29:K29">F30</f>
        <v>#REF!</v>
      </c>
      <c r="G29" s="4" t="e">
        <f t="shared" si="10"/>
        <v>#REF!</v>
      </c>
      <c r="H29" s="4" t="e">
        <f t="shared" si="10"/>
        <v>#REF!</v>
      </c>
      <c r="I29" s="4" t="e">
        <f t="shared" si="10"/>
        <v>#REF!</v>
      </c>
      <c r="J29" s="4" t="e">
        <f t="shared" si="10"/>
        <v>#REF!</v>
      </c>
      <c r="K29" s="4">
        <f t="shared" si="10"/>
        <v>62541.69999999999</v>
      </c>
    </row>
    <row r="30" spans="1:11" ht="15.75">
      <c r="A30" s="31" t="s">
        <v>162</v>
      </c>
      <c r="B30" s="42" t="s">
        <v>159</v>
      </c>
      <c r="C30" s="42" t="s">
        <v>191</v>
      </c>
      <c r="D30" s="42" t="s">
        <v>163</v>
      </c>
      <c r="E30" s="42"/>
      <c r="F30" s="7" t="e">
        <f aca="true" t="shared" si="11" ref="F30:K30">F31+F53</f>
        <v>#REF!</v>
      </c>
      <c r="G30" s="7" t="e">
        <f t="shared" si="11"/>
        <v>#REF!</v>
      </c>
      <c r="H30" s="7" t="e">
        <f t="shared" si="11"/>
        <v>#REF!</v>
      </c>
      <c r="I30" s="7" t="e">
        <f t="shared" si="11"/>
        <v>#REF!</v>
      </c>
      <c r="J30" s="7" t="e">
        <f t="shared" si="11"/>
        <v>#REF!</v>
      </c>
      <c r="K30" s="7">
        <f t="shared" si="11"/>
        <v>62541.69999999999</v>
      </c>
    </row>
    <row r="31" spans="1:11" ht="31.5">
      <c r="A31" s="31" t="s">
        <v>164</v>
      </c>
      <c r="B31" s="42" t="s">
        <v>159</v>
      </c>
      <c r="C31" s="42" t="s">
        <v>191</v>
      </c>
      <c r="D31" s="42" t="s">
        <v>165</v>
      </c>
      <c r="E31" s="42"/>
      <c r="F31" s="7" t="e">
        <f>F32+F42</f>
        <v>#REF!</v>
      </c>
      <c r="G31" s="7" t="e">
        <f>G32+G42</f>
        <v>#REF!</v>
      </c>
      <c r="H31" s="7" t="e">
        <f>H32+H42</f>
        <v>#REF!</v>
      </c>
      <c r="I31" s="7" t="e">
        <f>I32+I42</f>
        <v>#REF!</v>
      </c>
      <c r="J31" s="7" t="e">
        <f>J32+J42</f>
        <v>#REF!</v>
      </c>
      <c r="K31" s="7">
        <f>K32+K42+K48+K45</f>
        <v>62541.69999999999</v>
      </c>
    </row>
    <row r="32" spans="1:11" ht="47.25">
      <c r="A32" s="31" t="s">
        <v>166</v>
      </c>
      <c r="B32" s="42" t="s">
        <v>159</v>
      </c>
      <c r="C32" s="42" t="s">
        <v>191</v>
      </c>
      <c r="D32" s="42" t="s">
        <v>167</v>
      </c>
      <c r="E32" s="42"/>
      <c r="F32" s="7" t="e">
        <f>F33+F35+F39</f>
        <v>#REF!</v>
      </c>
      <c r="G32" s="7" t="e">
        <f>G33+G35+G39</f>
        <v>#REF!</v>
      </c>
      <c r="H32" s="7" t="e">
        <f>H33+H35+H39</f>
        <v>#REF!</v>
      </c>
      <c r="I32" s="7" t="e">
        <f>I33+I35+I39</f>
        <v>#REF!</v>
      </c>
      <c r="J32" s="7" t="e">
        <f>J33+J35+J39</f>
        <v>#REF!</v>
      </c>
      <c r="K32" s="7">
        <f>K33+K35+K39+K37</f>
        <v>53491.599999999984</v>
      </c>
    </row>
    <row r="33" spans="1:11" ht="78.75">
      <c r="A33" s="31" t="s">
        <v>168</v>
      </c>
      <c r="B33" s="42" t="s">
        <v>159</v>
      </c>
      <c r="C33" s="42" t="s">
        <v>191</v>
      </c>
      <c r="D33" s="42" t="s">
        <v>167</v>
      </c>
      <c r="E33" s="42" t="s">
        <v>169</v>
      </c>
      <c r="F33" s="62" t="e">
        <f aca="true" t="shared" si="12" ref="F33:K33">F34</f>
        <v>#REF!</v>
      </c>
      <c r="G33" s="62" t="e">
        <f t="shared" si="12"/>
        <v>#REF!</v>
      </c>
      <c r="H33" s="62" t="e">
        <f t="shared" si="12"/>
        <v>#REF!</v>
      </c>
      <c r="I33" s="62" t="e">
        <f t="shared" si="12"/>
        <v>#REF!</v>
      </c>
      <c r="J33" s="62" t="e">
        <f t="shared" si="12"/>
        <v>#REF!</v>
      </c>
      <c r="K33" s="62">
        <f t="shared" si="12"/>
        <v>45218.999999999985</v>
      </c>
    </row>
    <row r="34" spans="1:11" ht="31.5">
      <c r="A34" s="31" t="s">
        <v>170</v>
      </c>
      <c r="B34" s="42" t="s">
        <v>159</v>
      </c>
      <c r="C34" s="42" t="s">
        <v>191</v>
      </c>
      <c r="D34" s="42" t="s">
        <v>167</v>
      </c>
      <c r="E34" s="42" t="s">
        <v>171</v>
      </c>
      <c r="F34" s="62" t="e">
        <f>#REF!+#REF!</f>
        <v>#REF!</v>
      </c>
      <c r="G34" s="62" t="e">
        <f>#REF!+#REF!</f>
        <v>#REF!</v>
      </c>
      <c r="H34" s="62" t="e">
        <f>#REF!+#REF!</f>
        <v>#REF!</v>
      </c>
      <c r="I34" s="62" t="e">
        <f>#REF!+#REF!</f>
        <v>#REF!</v>
      </c>
      <c r="J34" s="62" t="e">
        <f>#REF!+#REF!</f>
        <v>#REF!</v>
      </c>
      <c r="K34" s="62">
        <f>'Прил.№5 ведомств.'!G624+'Прил.№5 ведомств.'!G34</f>
        <v>45218.999999999985</v>
      </c>
    </row>
    <row r="35" spans="1:11" ht="31.5">
      <c r="A35" s="31" t="s">
        <v>172</v>
      </c>
      <c r="B35" s="42" t="s">
        <v>159</v>
      </c>
      <c r="C35" s="42" t="s">
        <v>191</v>
      </c>
      <c r="D35" s="42" t="s">
        <v>167</v>
      </c>
      <c r="E35" s="42" t="s">
        <v>173</v>
      </c>
      <c r="F35" s="7" t="e">
        <f aca="true" t="shared" si="13" ref="F35:K35">F36</f>
        <v>#REF!</v>
      </c>
      <c r="G35" s="7" t="e">
        <f t="shared" si="13"/>
        <v>#REF!</v>
      </c>
      <c r="H35" s="7" t="e">
        <f t="shared" si="13"/>
        <v>#REF!</v>
      </c>
      <c r="I35" s="7" t="e">
        <f t="shared" si="13"/>
        <v>#REF!</v>
      </c>
      <c r="J35" s="7" t="e">
        <f t="shared" si="13"/>
        <v>#REF!</v>
      </c>
      <c r="K35" s="7">
        <f t="shared" si="13"/>
        <v>7311</v>
      </c>
    </row>
    <row r="36" spans="1:11" ht="47.25">
      <c r="A36" s="31" t="s">
        <v>174</v>
      </c>
      <c r="B36" s="42" t="s">
        <v>159</v>
      </c>
      <c r="C36" s="42" t="s">
        <v>191</v>
      </c>
      <c r="D36" s="42" t="s">
        <v>167</v>
      </c>
      <c r="E36" s="42" t="s">
        <v>175</v>
      </c>
      <c r="F36" s="7" t="e">
        <f>#REF!+#REF!</f>
        <v>#REF!</v>
      </c>
      <c r="G36" s="7" t="e">
        <f>#REF!+#REF!</f>
        <v>#REF!</v>
      </c>
      <c r="H36" s="7" t="e">
        <f>#REF!+#REF!</f>
        <v>#REF!</v>
      </c>
      <c r="I36" s="7" t="e">
        <f>#REF!+#REF!</f>
        <v>#REF!</v>
      </c>
      <c r="J36" s="7" t="e">
        <f>#REF!+#REF!</f>
        <v>#REF!</v>
      </c>
      <c r="K36" s="7">
        <f>'Прил.№5 ведомств.'!G36+'Прил.№5 ведомств.'!G626</f>
        <v>7311</v>
      </c>
    </row>
    <row r="37" spans="1:11" s="285" customFormat="1" ht="31.5">
      <c r="A37" s="26" t="s">
        <v>289</v>
      </c>
      <c r="B37" s="42" t="s">
        <v>159</v>
      </c>
      <c r="C37" s="42" t="s">
        <v>191</v>
      </c>
      <c r="D37" s="42" t="s">
        <v>167</v>
      </c>
      <c r="E37" s="42" t="s">
        <v>290</v>
      </c>
      <c r="F37" s="7"/>
      <c r="G37" s="7"/>
      <c r="H37" s="7"/>
      <c r="I37" s="7"/>
      <c r="J37" s="7"/>
      <c r="K37" s="7">
        <f>K38</f>
        <v>755</v>
      </c>
    </row>
    <row r="38" spans="1:11" s="285" customFormat="1" ht="31.5">
      <c r="A38" s="26" t="s">
        <v>291</v>
      </c>
      <c r="B38" s="42" t="s">
        <v>159</v>
      </c>
      <c r="C38" s="42" t="s">
        <v>191</v>
      </c>
      <c r="D38" s="42" t="s">
        <v>167</v>
      </c>
      <c r="E38" s="42" t="s">
        <v>292</v>
      </c>
      <c r="F38" s="7"/>
      <c r="G38" s="7"/>
      <c r="H38" s="7"/>
      <c r="I38" s="7"/>
      <c r="J38" s="7"/>
      <c r="K38" s="7">
        <f>'Прил.№5 ведомств.'!G38</f>
        <v>755</v>
      </c>
    </row>
    <row r="39" spans="1:11" ht="15.75">
      <c r="A39" s="31" t="s">
        <v>176</v>
      </c>
      <c r="B39" s="42" t="s">
        <v>159</v>
      </c>
      <c r="C39" s="42" t="s">
        <v>191</v>
      </c>
      <c r="D39" s="42" t="s">
        <v>167</v>
      </c>
      <c r="E39" s="42" t="s">
        <v>186</v>
      </c>
      <c r="F39" s="7" t="e">
        <f aca="true" t="shared" si="14" ref="F39:K39">F40</f>
        <v>#REF!</v>
      </c>
      <c r="G39" s="7" t="e">
        <f t="shared" si="14"/>
        <v>#REF!</v>
      </c>
      <c r="H39" s="7" t="e">
        <f t="shared" si="14"/>
        <v>#REF!</v>
      </c>
      <c r="I39" s="7" t="e">
        <f t="shared" si="14"/>
        <v>#REF!</v>
      </c>
      <c r="J39" s="7" t="e">
        <f t="shared" si="14"/>
        <v>#REF!</v>
      </c>
      <c r="K39" s="7">
        <f t="shared" si="14"/>
        <v>206.60000000000002</v>
      </c>
    </row>
    <row r="40" spans="1:11" ht="15.75">
      <c r="A40" s="31" t="s">
        <v>610</v>
      </c>
      <c r="B40" s="42" t="s">
        <v>159</v>
      </c>
      <c r="C40" s="42" t="s">
        <v>191</v>
      </c>
      <c r="D40" s="42" t="s">
        <v>167</v>
      </c>
      <c r="E40" s="42" t="s">
        <v>179</v>
      </c>
      <c r="F40" s="7" t="e">
        <f>#REF!+#REF!</f>
        <v>#REF!</v>
      </c>
      <c r="G40" s="7" t="e">
        <f>#REF!+#REF!</f>
        <v>#REF!</v>
      </c>
      <c r="H40" s="7" t="e">
        <f>#REF!+#REF!</f>
        <v>#REF!</v>
      </c>
      <c r="I40" s="7" t="e">
        <f>#REF!+#REF!</f>
        <v>#REF!</v>
      </c>
      <c r="J40" s="7" t="e">
        <f>#REF!+#REF!</f>
        <v>#REF!</v>
      </c>
      <c r="K40" s="7">
        <f>'Прил.№5 ведомств.'!G628+'Прил.№5 ведомств.'!G40</f>
        <v>206.60000000000002</v>
      </c>
    </row>
    <row r="41" spans="1:11" ht="31.5">
      <c r="A41" s="26" t="s">
        <v>635</v>
      </c>
      <c r="B41" s="42" t="s">
        <v>159</v>
      </c>
      <c r="C41" s="42" t="s">
        <v>191</v>
      </c>
      <c r="D41" s="42" t="s">
        <v>193</v>
      </c>
      <c r="E41" s="42"/>
      <c r="F41" s="7" t="e">
        <f>F42</f>
        <v>#REF!</v>
      </c>
      <c r="G41" s="7" t="e">
        <f aca="true" t="shared" si="15" ref="G41:K43">G42</f>
        <v>#REF!</v>
      </c>
      <c r="H41" s="7" t="e">
        <f t="shared" si="15"/>
        <v>#REF!</v>
      </c>
      <c r="I41" s="7" t="e">
        <f t="shared" si="15"/>
        <v>#REF!</v>
      </c>
      <c r="J41" s="7" t="e">
        <f t="shared" si="15"/>
        <v>#REF!</v>
      </c>
      <c r="K41" s="7">
        <f t="shared" si="15"/>
        <v>3727.9</v>
      </c>
    </row>
    <row r="42" spans="1:11" ht="31.5">
      <c r="A42" s="31" t="s">
        <v>192</v>
      </c>
      <c r="B42" s="42" t="s">
        <v>159</v>
      </c>
      <c r="C42" s="42" t="s">
        <v>191</v>
      </c>
      <c r="D42" s="42" t="s">
        <v>193</v>
      </c>
      <c r="E42" s="42"/>
      <c r="F42" s="7" t="e">
        <f>F43</f>
        <v>#REF!</v>
      </c>
      <c r="G42" s="7" t="e">
        <f t="shared" si="15"/>
        <v>#REF!</v>
      </c>
      <c r="H42" s="7" t="e">
        <f t="shared" si="15"/>
        <v>#REF!</v>
      </c>
      <c r="I42" s="7" t="e">
        <f t="shared" si="15"/>
        <v>#REF!</v>
      </c>
      <c r="J42" s="7" t="e">
        <f t="shared" si="15"/>
        <v>#REF!</v>
      </c>
      <c r="K42" s="7">
        <f t="shared" si="15"/>
        <v>3727.9</v>
      </c>
    </row>
    <row r="43" spans="1:11" ht="78.75">
      <c r="A43" s="31" t="s">
        <v>168</v>
      </c>
      <c r="B43" s="42" t="s">
        <v>159</v>
      </c>
      <c r="C43" s="42" t="s">
        <v>191</v>
      </c>
      <c r="D43" s="42" t="s">
        <v>193</v>
      </c>
      <c r="E43" s="42" t="s">
        <v>169</v>
      </c>
      <c r="F43" s="62" t="e">
        <f>F44</f>
        <v>#REF!</v>
      </c>
      <c r="G43" s="62" t="e">
        <f t="shared" si="15"/>
        <v>#REF!</v>
      </c>
      <c r="H43" s="62" t="e">
        <f t="shared" si="15"/>
        <v>#REF!</v>
      </c>
      <c r="I43" s="62" t="e">
        <f t="shared" si="15"/>
        <v>#REF!</v>
      </c>
      <c r="J43" s="62" t="e">
        <f t="shared" si="15"/>
        <v>#REF!</v>
      </c>
      <c r="K43" s="62">
        <f t="shared" si="15"/>
        <v>3727.9</v>
      </c>
    </row>
    <row r="44" spans="1:11" ht="31.5">
      <c r="A44" s="31" t="s">
        <v>170</v>
      </c>
      <c r="B44" s="42" t="s">
        <v>159</v>
      </c>
      <c r="C44" s="42" t="s">
        <v>191</v>
      </c>
      <c r="D44" s="42" t="s">
        <v>193</v>
      </c>
      <c r="E44" s="42" t="s">
        <v>171</v>
      </c>
      <c r="F44" s="62" t="e">
        <f>#REF!</f>
        <v>#REF!</v>
      </c>
      <c r="G44" s="62" t="e">
        <f>#REF!</f>
        <v>#REF!</v>
      </c>
      <c r="H44" s="62" t="e">
        <f>#REF!</f>
        <v>#REF!</v>
      </c>
      <c r="I44" s="62" t="e">
        <f>#REF!</f>
        <v>#REF!</v>
      </c>
      <c r="J44" s="62" t="e">
        <f>#REF!</f>
        <v>#REF!</v>
      </c>
      <c r="K44" s="62">
        <f>'Прил.№5 ведомств.'!G43</f>
        <v>3727.9</v>
      </c>
    </row>
    <row r="45" spans="1:11" ht="31.5">
      <c r="A45" s="26" t="s">
        <v>194</v>
      </c>
      <c r="B45" s="21" t="s">
        <v>159</v>
      </c>
      <c r="C45" s="21" t="s">
        <v>191</v>
      </c>
      <c r="D45" s="21" t="s">
        <v>987</v>
      </c>
      <c r="E45" s="21"/>
      <c r="F45" s="28">
        <f>F46</f>
        <v>2553.5</v>
      </c>
      <c r="G45" s="62"/>
      <c r="H45" s="62"/>
      <c r="I45" s="62"/>
      <c r="J45" s="62"/>
      <c r="K45" s="62">
        <f>K46</f>
        <v>2437.8</v>
      </c>
    </row>
    <row r="46" spans="1:11" ht="78.75">
      <c r="A46" s="26" t="s">
        <v>168</v>
      </c>
      <c r="B46" s="21" t="s">
        <v>159</v>
      </c>
      <c r="C46" s="21" t="s">
        <v>191</v>
      </c>
      <c r="D46" s="21" t="s">
        <v>987</v>
      </c>
      <c r="E46" s="21" t="s">
        <v>169</v>
      </c>
      <c r="F46" s="28">
        <f>F47</f>
        <v>2553.5</v>
      </c>
      <c r="G46" s="62"/>
      <c r="H46" s="62"/>
      <c r="I46" s="62"/>
      <c r="J46" s="62"/>
      <c r="K46" s="62">
        <f>K47</f>
        <v>2437.8</v>
      </c>
    </row>
    <row r="47" spans="1:11" ht="31.5">
      <c r="A47" s="26" t="s">
        <v>170</v>
      </c>
      <c r="B47" s="21" t="s">
        <v>159</v>
      </c>
      <c r="C47" s="21" t="s">
        <v>191</v>
      </c>
      <c r="D47" s="21" t="s">
        <v>987</v>
      </c>
      <c r="E47" s="21" t="s">
        <v>171</v>
      </c>
      <c r="F47" s="28">
        <v>2553.5</v>
      </c>
      <c r="G47" s="62"/>
      <c r="H47" s="62"/>
      <c r="I47" s="62"/>
      <c r="J47" s="62"/>
      <c r="K47" s="62">
        <f>'Прил.№5 ведомств.'!G46</f>
        <v>2437.8</v>
      </c>
    </row>
    <row r="48" spans="1:11" ht="47.25">
      <c r="A48" s="31" t="s">
        <v>251</v>
      </c>
      <c r="B48" s="42" t="s">
        <v>159</v>
      </c>
      <c r="C48" s="42" t="s">
        <v>191</v>
      </c>
      <c r="D48" s="42" t="s">
        <v>934</v>
      </c>
      <c r="E48" s="42"/>
      <c r="F48" s="62"/>
      <c r="G48" s="62"/>
      <c r="H48" s="62"/>
      <c r="I48" s="62"/>
      <c r="J48" s="62"/>
      <c r="K48" s="62">
        <f>K49+K51</f>
        <v>2884.3999999999996</v>
      </c>
    </row>
    <row r="49" spans="1:11" ht="78.75">
      <c r="A49" s="31" t="s">
        <v>168</v>
      </c>
      <c r="B49" s="42" t="s">
        <v>159</v>
      </c>
      <c r="C49" s="42" t="s">
        <v>191</v>
      </c>
      <c r="D49" s="42" t="s">
        <v>934</v>
      </c>
      <c r="E49" s="42" t="s">
        <v>169</v>
      </c>
      <c r="F49" s="62"/>
      <c r="G49" s="62"/>
      <c r="H49" s="62"/>
      <c r="I49" s="62"/>
      <c r="J49" s="62"/>
      <c r="K49" s="62">
        <f>K50</f>
        <v>2269.3999999999996</v>
      </c>
    </row>
    <row r="50" spans="1:11" ht="31.5">
      <c r="A50" s="31" t="s">
        <v>170</v>
      </c>
      <c r="B50" s="42" t="s">
        <v>159</v>
      </c>
      <c r="C50" s="42" t="s">
        <v>191</v>
      </c>
      <c r="D50" s="42" t="s">
        <v>934</v>
      </c>
      <c r="E50" s="42" t="s">
        <v>171</v>
      </c>
      <c r="F50" s="62"/>
      <c r="G50" s="62"/>
      <c r="H50" s="62"/>
      <c r="I50" s="62"/>
      <c r="J50" s="62"/>
      <c r="K50" s="62">
        <f>'Прил.№5 ведомств.'!G49</f>
        <v>2269.3999999999996</v>
      </c>
    </row>
    <row r="51" spans="1:11" ht="31.5">
      <c r="A51" s="31" t="s">
        <v>172</v>
      </c>
      <c r="B51" s="42" t="s">
        <v>159</v>
      </c>
      <c r="C51" s="42" t="s">
        <v>191</v>
      </c>
      <c r="D51" s="42" t="s">
        <v>934</v>
      </c>
      <c r="E51" s="42" t="s">
        <v>173</v>
      </c>
      <c r="F51" s="62"/>
      <c r="G51" s="62"/>
      <c r="H51" s="62"/>
      <c r="I51" s="62"/>
      <c r="J51" s="62"/>
      <c r="K51" s="62">
        <f>K52</f>
        <v>615</v>
      </c>
    </row>
    <row r="52" spans="1:11" ht="48" customHeight="1">
      <c r="A52" s="31" t="s">
        <v>174</v>
      </c>
      <c r="B52" s="42" t="s">
        <v>159</v>
      </c>
      <c r="C52" s="42" t="s">
        <v>191</v>
      </c>
      <c r="D52" s="42" t="s">
        <v>934</v>
      </c>
      <c r="E52" s="42" t="s">
        <v>175</v>
      </c>
      <c r="F52" s="62"/>
      <c r="G52" s="62"/>
      <c r="H52" s="62"/>
      <c r="I52" s="62"/>
      <c r="J52" s="62"/>
      <c r="K52" s="62">
        <f>'Прил.№5 ведомств.'!G51</f>
        <v>615</v>
      </c>
    </row>
    <row r="53" spans="1:11" ht="15.75" hidden="1">
      <c r="A53" s="26" t="s">
        <v>182</v>
      </c>
      <c r="B53" s="21" t="s">
        <v>159</v>
      </c>
      <c r="C53" s="21" t="s">
        <v>191</v>
      </c>
      <c r="D53" s="21" t="s">
        <v>183</v>
      </c>
      <c r="E53" s="21"/>
      <c r="F53" s="30" t="e">
        <f aca="true" t="shared" si="16" ref="F53:K53">F54</f>
        <v>#REF!</v>
      </c>
      <c r="G53" s="30" t="e">
        <f t="shared" si="16"/>
        <v>#REF!</v>
      </c>
      <c r="H53" s="30" t="e">
        <f t="shared" si="16"/>
        <v>#REF!</v>
      </c>
      <c r="I53" s="30" t="e">
        <f t="shared" si="16"/>
        <v>#REF!</v>
      </c>
      <c r="J53" s="30" t="e">
        <f t="shared" si="16"/>
        <v>#REF!</v>
      </c>
      <c r="K53" s="30">
        <f t="shared" si="16"/>
        <v>0</v>
      </c>
    </row>
    <row r="54" spans="1:11" ht="36.75" customHeight="1" hidden="1">
      <c r="A54" s="26" t="s">
        <v>194</v>
      </c>
      <c r="B54" s="21" t="s">
        <v>159</v>
      </c>
      <c r="C54" s="21" t="s">
        <v>191</v>
      </c>
      <c r="D54" s="21" t="s">
        <v>195</v>
      </c>
      <c r="E54" s="21"/>
      <c r="F54" s="27" t="e">
        <f aca="true" t="shared" si="17" ref="F54:K54">F55+F57</f>
        <v>#REF!</v>
      </c>
      <c r="G54" s="27" t="e">
        <f t="shared" si="17"/>
        <v>#REF!</v>
      </c>
      <c r="H54" s="27" t="e">
        <f t="shared" si="17"/>
        <v>#REF!</v>
      </c>
      <c r="I54" s="27" t="e">
        <f t="shared" si="17"/>
        <v>#REF!</v>
      </c>
      <c r="J54" s="27" t="e">
        <f t="shared" si="17"/>
        <v>#REF!</v>
      </c>
      <c r="K54" s="27">
        <f t="shared" si="17"/>
        <v>0</v>
      </c>
    </row>
    <row r="55" spans="1:11" ht="84" customHeight="1" hidden="1">
      <c r="A55" s="26" t="s">
        <v>168</v>
      </c>
      <c r="B55" s="21" t="s">
        <v>159</v>
      </c>
      <c r="C55" s="21" t="s">
        <v>191</v>
      </c>
      <c r="D55" s="21" t="s">
        <v>195</v>
      </c>
      <c r="E55" s="21" t="s">
        <v>169</v>
      </c>
      <c r="F55" s="27" t="e">
        <f aca="true" t="shared" si="18" ref="F55:K55">F56</f>
        <v>#REF!</v>
      </c>
      <c r="G55" s="27" t="e">
        <f t="shared" si="18"/>
        <v>#REF!</v>
      </c>
      <c r="H55" s="27" t="e">
        <f t="shared" si="18"/>
        <v>#REF!</v>
      </c>
      <c r="I55" s="27" t="e">
        <f t="shared" si="18"/>
        <v>#REF!</v>
      </c>
      <c r="J55" s="27" t="e">
        <f t="shared" si="18"/>
        <v>#REF!</v>
      </c>
      <c r="K55" s="27">
        <f t="shared" si="18"/>
        <v>0</v>
      </c>
    </row>
    <row r="56" spans="1:11" ht="31.5" hidden="1">
      <c r="A56" s="26" t="s">
        <v>170</v>
      </c>
      <c r="B56" s="21" t="s">
        <v>159</v>
      </c>
      <c r="C56" s="21" t="s">
        <v>191</v>
      </c>
      <c r="D56" s="21" t="s">
        <v>195</v>
      </c>
      <c r="E56" s="21" t="s">
        <v>171</v>
      </c>
      <c r="F56" s="28" t="e">
        <f>#REF!</f>
        <v>#REF!</v>
      </c>
      <c r="G56" s="28" t="e">
        <f>#REF!</f>
        <v>#REF!</v>
      </c>
      <c r="H56" s="28" t="e">
        <f>#REF!</f>
        <v>#REF!</v>
      </c>
      <c r="I56" s="28" t="e">
        <f>#REF!</f>
        <v>#REF!</v>
      </c>
      <c r="J56" s="28" t="e">
        <f>#REF!</f>
        <v>#REF!</v>
      </c>
      <c r="K56" s="28">
        <f>'Прил.№5 ведомств.'!G55</f>
        <v>0</v>
      </c>
    </row>
    <row r="57" spans="1:11" ht="31.5" hidden="1">
      <c r="A57" s="26" t="s">
        <v>172</v>
      </c>
      <c r="B57" s="21" t="s">
        <v>159</v>
      </c>
      <c r="C57" s="21" t="s">
        <v>191</v>
      </c>
      <c r="D57" s="21" t="s">
        <v>195</v>
      </c>
      <c r="E57" s="21" t="s">
        <v>173</v>
      </c>
      <c r="F57" s="27" t="e">
        <f aca="true" t="shared" si="19" ref="F57:K57">F58</f>
        <v>#REF!</v>
      </c>
      <c r="G57" s="27" t="e">
        <f t="shared" si="19"/>
        <v>#REF!</v>
      </c>
      <c r="H57" s="27" t="e">
        <f t="shared" si="19"/>
        <v>#REF!</v>
      </c>
      <c r="I57" s="27" t="e">
        <f t="shared" si="19"/>
        <v>#REF!</v>
      </c>
      <c r="J57" s="27" t="e">
        <f t="shared" si="19"/>
        <v>#REF!</v>
      </c>
      <c r="K57" s="27">
        <f t="shared" si="19"/>
        <v>0</v>
      </c>
    </row>
    <row r="58" spans="1:11" ht="47.25" hidden="1">
      <c r="A58" s="26" t="s">
        <v>174</v>
      </c>
      <c r="B58" s="21" t="s">
        <v>159</v>
      </c>
      <c r="C58" s="21" t="s">
        <v>191</v>
      </c>
      <c r="D58" s="21" t="s">
        <v>195</v>
      </c>
      <c r="E58" s="21" t="s">
        <v>175</v>
      </c>
      <c r="F58" s="28" t="e">
        <f>#REF!</f>
        <v>#REF!</v>
      </c>
      <c r="G58" s="2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>
        <f>'Прил.№5 ведомств.'!G57</f>
        <v>0</v>
      </c>
    </row>
    <row r="59" spans="1:11" ht="47.25">
      <c r="A59" s="43" t="s">
        <v>160</v>
      </c>
      <c r="B59" s="8" t="s">
        <v>159</v>
      </c>
      <c r="C59" s="8" t="s">
        <v>161</v>
      </c>
      <c r="D59" s="8"/>
      <c r="E59" s="8"/>
      <c r="F59" s="4" t="e">
        <f>F60</f>
        <v>#REF!</v>
      </c>
      <c r="G59" s="4" t="e">
        <f aca="true" t="shared" si="20" ref="G59:K61">G60</f>
        <v>#REF!</v>
      </c>
      <c r="H59" s="4" t="e">
        <f t="shared" si="20"/>
        <v>#REF!</v>
      </c>
      <c r="I59" s="4" t="e">
        <f t="shared" si="20"/>
        <v>#REF!</v>
      </c>
      <c r="J59" s="4" t="e">
        <f t="shared" si="20"/>
        <v>#REF!</v>
      </c>
      <c r="K59" s="4">
        <f t="shared" si="20"/>
        <v>16809.8</v>
      </c>
    </row>
    <row r="60" spans="1:11" ht="15.75">
      <c r="A60" s="31" t="s">
        <v>162</v>
      </c>
      <c r="B60" s="42" t="s">
        <v>159</v>
      </c>
      <c r="C60" s="42" t="s">
        <v>161</v>
      </c>
      <c r="D60" s="42" t="s">
        <v>163</v>
      </c>
      <c r="E60" s="42"/>
      <c r="F60" s="7" t="e">
        <f>F61</f>
        <v>#REF!</v>
      </c>
      <c r="G60" s="7" t="e">
        <f t="shared" si="20"/>
        <v>#REF!</v>
      </c>
      <c r="H60" s="7" t="e">
        <f t="shared" si="20"/>
        <v>#REF!</v>
      </c>
      <c r="I60" s="7" t="e">
        <f t="shared" si="20"/>
        <v>#REF!</v>
      </c>
      <c r="J60" s="7" t="e">
        <f t="shared" si="20"/>
        <v>#REF!</v>
      </c>
      <c r="K60" s="7">
        <f t="shared" si="20"/>
        <v>16809.8</v>
      </c>
    </row>
    <row r="61" spans="1:11" ht="31.5">
      <c r="A61" s="31" t="s">
        <v>164</v>
      </c>
      <c r="B61" s="42" t="s">
        <v>159</v>
      </c>
      <c r="C61" s="42" t="s">
        <v>161</v>
      </c>
      <c r="D61" s="42" t="s">
        <v>165</v>
      </c>
      <c r="E61" s="42"/>
      <c r="F61" s="7" t="e">
        <f>F62</f>
        <v>#REF!</v>
      </c>
      <c r="G61" s="7" t="e">
        <f t="shared" si="20"/>
        <v>#REF!</v>
      </c>
      <c r="H61" s="7" t="e">
        <f t="shared" si="20"/>
        <v>#REF!</v>
      </c>
      <c r="I61" s="7" t="e">
        <f t="shared" si="20"/>
        <v>#REF!</v>
      </c>
      <c r="J61" s="7" t="e">
        <f t="shared" si="20"/>
        <v>#REF!</v>
      </c>
      <c r="K61" s="7">
        <f t="shared" si="20"/>
        <v>16809.8</v>
      </c>
    </row>
    <row r="62" spans="1:11" ht="47.25">
      <c r="A62" s="31" t="s">
        <v>166</v>
      </c>
      <c r="B62" s="42" t="s">
        <v>159</v>
      </c>
      <c r="C62" s="42" t="s">
        <v>161</v>
      </c>
      <c r="D62" s="42" t="s">
        <v>167</v>
      </c>
      <c r="E62" s="42"/>
      <c r="F62" s="7" t="e">
        <f aca="true" t="shared" si="21" ref="F62:K62">F63+F65+F67</f>
        <v>#REF!</v>
      </c>
      <c r="G62" s="7" t="e">
        <f t="shared" si="21"/>
        <v>#REF!</v>
      </c>
      <c r="H62" s="7" t="e">
        <f t="shared" si="21"/>
        <v>#REF!</v>
      </c>
      <c r="I62" s="7" t="e">
        <f t="shared" si="21"/>
        <v>#REF!</v>
      </c>
      <c r="J62" s="7" t="e">
        <f t="shared" si="21"/>
        <v>#REF!</v>
      </c>
      <c r="K62" s="7">
        <f t="shared" si="21"/>
        <v>16809.8</v>
      </c>
    </row>
    <row r="63" spans="1:11" ht="78.75">
      <c r="A63" s="31" t="s">
        <v>168</v>
      </c>
      <c r="B63" s="42" t="s">
        <v>159</v>
      </c>
      <c r="C63" s="42" t="s">
        <v>161</v>
      </c>
      <c r="D63" s="42" t="s">
        <v>167</v>
      </c>
      <c r="E63" s="42" t="s">
        <v>169</v>
      </c>
      <c r="F63" s="7" t="e">
        <f aca="true" t="shared" si="22" ref="F63:K63">F64</f>
        <v>#REF!</v>
      </c>
      <c r="G63" s="7" t="e">
        <f t="shared" si="22"/>
        <v>#REF!</v>
      </c>
      <c r="H63" s="7" t="e">
        <f t="shared" si="22"/>
        <v>#REF!</v>
      </c>
      <c r="I63" s="7" t="e">
        <f t="shared" si="22"/>
        <v>#REF!</v>
      </c>
      <c r="J63" s="7" t="e">
        <f t="shared" si="22"/>
        <v>#REF!</v>
      </c>
      <c r="K63" s="7">
        <f t="shared" si="22"/>
        <v>15585.7</v>
      </c>
    </row>
    <row r="64" spans="1:11" ht="31.5">
      <c r="A64" s="31" t="s">
        <v>170</v>
      </c>
      <c r="B64" s="42" t="s">
        <v>159</v>
      </c>
      <c r="C64" s="42" t="s">
        <v>161</v>
      </c>
      <c r="D64" s="42" t="s">
        <v>167</v>
      </c>
      <c r="E64" s="42" t="s">
        <v>171</v>
      </c>
      <c r="F64" s="62" t="e">
        <f>#REF!+#REF!+#REF!</f>
        <v>#REF!</v>
      </c>
      <c r="G64" s="62" t="e">
        <f>#REF!+#REF!+#REF!</f>
        <v>#REF!</v>
      </c>
      <c r="H64" s="62" t="e">
        <f>#REF!+#REF!+#REF!</f>
        <v>#REF!</v>
      </c>
      <c r="I64" s="62" t="e">
        <f>#REF!+#REF!+#REF!</f>
        <v>#REF!</v>
      </c>
      <c r="J64" s="62" t="e">
        <f>#REF!+#REF!+#REF!</f>
        <v>#REF!</v>
      </c>
      <c r="K64" s="62">
        <f>'Прил.№5 ведомств.'!G17+'Прил.№5 ведомств.'!G63+'Прил.№5 ведомств.'!G1287</f>
        <v>15585.7</v>
      </c>
    </row>
    <row r="65" spans="1:11" ht="31.5">
      <c r="A65" s="31" t="s">
        <v>172</v>
      </c>
      <c r="B65" s="42" t="s">
        <v>159</v>
      </c>
      <c r="C65" s="42" t="s">
        <v>161</v>
      </c>
      <c r="D65" s="42" t="s">
        <v>167</v>
      </c>
      <c r="E65" s="42" t="s">
        <v>173</v>
      </c>
      <c r="F65" s="7" t="e">
        <f aca="true" t="shared" si="23" ref="F65:K65">F66</f>
        <v>#REF!</v>
      </c>
      <c r="G65" s="7" t="e">
        <f t="shared" si="23"/>
        <v>#REF!</v>
      </c>
      <c r="H65" s="7" t="e">
        <f t="shared" si="23"/>
        <v>#REF!</v>
      </c>
      <c r="I65" s="7" t="e">
        <f t="shared" si="23"/>
        <v>#REF!</v>
      </c>
      <c r="J65" s="7" t="e">
        <f t="shared" si="23"/>
        <v>#REF!</v>
      </c>
      <c r="K65" s="7">
        <f t="shared" si="23"/>
        <v>1196.1</v>
      </c>
    </row>
    <row r="66" spans="1:11" ht="47.25">
      <c r="A66" s="31" t="s">
        <v>174</v>
      </c>
      <c r="B66" s="42" t="s">
        <v>159</v>
      </c>
      <c r="C66" s="42" t="s">
        <v>161</v>
      </c>
      <c r="D66" s="42" t="s">
        <v>167</v>
      </c>
      <c r="E66" s="42" t="s">
        <v>175</v>
      </c>
      <c r="F66" s="7" t="e">
        <f>#REF!+#REF!</f>
        <v>#REF!</v>
      </c>
      <c r="G66" s="7" t="e">
        <f>#REF!+#REF!</f>
        <v>#REF!</v>
      </c>
      <c r="H66" s="7" t="e">
        <f>#REF!+#REF!</f>
        <v>#REF!</v>
      </c>
      <c r="I66" s="7" t="e">
        <f>#REF!+#REF!</f>
        <v>#REF!</v>
      </c>
      <c r="J66" s="7" t="e">
        <f>#REF!+#REF!</f>
        <v>#REF!</v>
      </c>
      <c r="K66" s="7">
        <f>'Прил.№5 ведомств.'!G1289+'Прил.№5 ведомств.'!G19</f>
        <v>1196.1</v>
      </c>
    </row>
    <row r="67" spans="1:11" ht="15.75">
      <c r="A67" s="31" t="s">
        <v>176</v>
      </c>
      <c r="B67" s="42" t="s">
        <v>159</v>
      </c>
      <c r="C67" s="42" t="s">
        <v>161</v>
      </c>
      <c r="D67" s="42" t="s">
        <v>167</v>
      </c>
      <c r="E67" s="42" t="s">
        <v>186</v>
      </c>
      <c r="F67" s="7" t="e">
        <f aca="true" t="shared" si="24" ref="F67:K67">F68</f>
        <v>#REF!</v>
      </c>
      <c r="G67" s="7" t="e">
        <f t="shared" si="24"/>
        <v>#REF!</v>
      </c>
      <c r="H67" s="7" t="e">
        <f t="shared" si="24"/>
        <v>#REF!</v>
      </c>
      <c r="I67" s="7" t="e">
        <f t="shared" si="24"/>
        <v>#REF!</v>
      </c>
      <c r="J67" s="7" t="e">
        <f t="shared" si="24"/>
        <v>#REF!</v>
      </c>
      <c r="K67" s="7">
        <f t="shared" si="24"/>
        <v>28</v>
      </c>
    </row>
    <row r="68" spans="1:11" ht="15.75">
      <c r="A68" s="31" t="s">
        <v>610</v>
      </c>
      <c r="B68" s="42" t="s">
        <v>159</v>
      </c>
      <c r="C68" s="42" t="s">
        <v>161</v>
      </c>
      <c r="D68" s="42" t="s">
        <v>167</v>
      </c>
      <c r="E68" s="42" t="s">
        <v>179</v>
      </c>
      <c r="F68" s="7" t="e">
        <f>#REF!</f>
        <v>#REF!</v>
      </c>
      <c r="G68" s="7" t="e">
        <f>#REF!</f>
        <v>#REF!</v>
      </c>
      <c r="H68" s="7" t="e">
        <f>#REF!</f>
        <v>#REF!</v>
      </c>
      <c r="I68" s="7" t="e">
        <f>#REF!</f>
        <v>#REF!</v>
      </c>
      <c r="J68" s="7" t="e">
        <f>#REF!</f>
        <v>#REF!</v>
      </c>
      <c r="K68" s="7">
        <f>'Прил.№5 ведомств.'!G21</f>
        <v>28</v>
      </c>
    </row>
    <row r="69" spans="1:11" ht="31.5" customHeight="1" hidden="1">
      <c r="A69" s="63" t="s">
        <v>636</v>
      </c>
      <c r="B69" s="9" t="s">
        <v>159</v>
      </c>
      <c r="C69" s="9" t="s">
        <v>305</v>
      </c>
      <c r="D69" s="9"/>
      <c r="E69" s="9"/>
      <c r="F69" s="7">
        <f aca="true" t="shared" si="25" ref="F69:K73">F70</f>
        <v>0</v>
      </c>
      <c r="G69" s="7">
        <f t="shared" si="25"/>
        <v>0</v>
      </c>
      <c r="H69" s="7">
        <f t="shared" si="25"/>
        <v>0</v>
      </c>
      <c r="I69" s="7">
        <f t="shared" si="25"/>
        <v>0</v>
      </c>
      <c r="J69" s="7">
        <f t="shared" si="25"/>
        <v>0</v>
      </c>
      <c r="K69" s="7">
        <f t="shared" si="25"/>
        <v>0</v>
      </c>
    </row>
    <row r="70" spans="1:11" ht="15.75" customHeight="1" hidden="1">
      <c r="A70" s="47" t="s">
        <v>162</v>
      </c>
      <c r="B70" s="10" t="s">
        <v>159</v>
      </c>
      <c r="C70" s="10" t="s">
        <v>305</v>
      </c>
      <c r="D70" s="10" t="s">
        <v>637</v>
      </c>
      <c r="E70" s="10"/>
      <c r="F70" s="7">
        <f t="shared" si="25"/>
        <v>0</v>
      </c>
      <c r="G70" s="7">
        <f t="shared" si="25"/>
        <v>0</v>
      </c>
      <c r="H70" s="7">
        <f t="shared" si="25"/>
        <v>0</v>
      </c>
      <c r="I70" s="7">
        <f t="shared" si="25"/>
        <v>0</v>
      </c>
      <c r="J70" s="7">
        <f t="shared" si="25"/>
        <v>0</v>
      </c>
      <c r="K70" s="7">
        <f t="shared" si="25"/>
        <v>0</v>
      </c>
    </row>
    <row r="71" spans="1:11" ht="15.75" customHeight="1" hidden="1">
      <c r="A71" s="47" t="s">
        <v>182</v>
      </c>
      <c r="B71" s="10" t="s">
        <v>159</v>
      </c>
      <c r="C71" s="10" t="s">
        <v>305</v>
      </c>
      <c r="D71" s="10" t="s">
        <v>638</v>
      </c>
      <c r="E71" s="10"/>
      <c r="F71" s="7">
        <f t="shared" si="25"/>
        <v>0</v>
      </c>
      <c r="G71" s="7">
        <f t="shared" si="25"/>
        <v>0</v>
      </c>
      <c r="H71" s="7">
        <f t="shared" si="25"/>
        <v>0</v>
      </c>
      <c r="I71" s="7">
        <f t="shared" si="25"/>
        <v>0</v>
      </c>
      <c r="J71" s="7">
        <f t="shared" si="25"/>
        <v>0</v>
      </c>
      <c r="K71" s="7">
        <f t="shared" si="25"/>
        <v>0</v>
      </c>
    </row>
    <row r="72" spans="1:11" ht="15.75" customHeight="1" hidden="1">
      <c r="A72" s="47" t="s">
        <v>639</v>
      </c>
      <c r="B72" s="10" t="s">
        <v>159</v>
      </c>
      <c r="C72" s="10" t="s">
        <v>305</v>
      </c>
      <c r="D72" s="6" t="s">
        <v>640</v>
      </c>
      <c r="E72" s="6"/>
      <c r="F72" s="7">
        <f aca="true" t="shared" si="26" ref="F72:K72">F73+F75</f>
        <v>0</v>
      </c>
      <c r="G72" s="7">
        <f t="shared" si="26"/>
        <v>0</v>
      </c>
      <c r="H72" s="7">
        <f t="shared" si="26"/>
        <v>0</v>
      </c>
      <c r="I72" s="7">
        <f t="shared" si="26"/>
        <v>0</v>
      </c>
      <c r="J72" s="7">
        <f t="shared" si="26"/>
        <v>0</v>
      </c>
      <c r="K72" s="7">
        <f t="shared" si="26"/>
        <v>0</v>
      </c>
    </row>
    <row r="73" spans="1:11" ht="31.5" customHeight="1" hidden="1">
      <c r="A73" s="47" t="s">
        <v>172</v>
      </c>
      <c r="B73" s="10" t="s">
        <v>159</v>
      </c>
      <c r="C73" s="10" t="s">
        <v>305</v>
      </c>
      <c r="D73" s="6" t="s">
        <v>640</v>
      </c>
      <c r="E73" s="10" t="s">
        <v>173</v>
      </c>
      <c r="F73" s="7">
        <f t="shared" si="25"/>
        <v>0</v>
      </c>
      <c r="G73" s="7">
        <f t="shared" si="25"/>
        <v>0</v>
      </c>
      <c r="H73" s="7">
        <f t="shared" si="25"/>
        <v>0</v>
      </c>
      <c r="I73" s="7">
        <f t="shared" si="25"/>
        <v>0</v>
      </c>
      <c r="J73" s="7">
        <f t="shared" si="25"/>
        <v>0</v>
      </c>
      <c r="K73" s="7">
        <f t="shared" si="25"/>
        <v>0</v>
      </c>
    </row>
    <row r="74" spans="1:11" ht="47.25" customHeight="1" hidden="1">
      <c r="A74" s="47" t="s">
        <v>174</v>
      </c>
      <c r="B74" s="10" t="s">
        <v>159</v>
      </c>
      <c r="C74" s="10" t="s">
        <v>305</v>
      </c>
      <c r="D74" s="6" t="s">
        <v>640</v>
      </c>
      <c r="E74" s="10" t="s">
        <v>175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customHeight="1" hidden="1">
      <c r="A75" s="31" t="s">
        <v>176</v>
      </c>
      <c r="B75" s="10" t="s">
        <v>159</v>
      </c>
      <c r="C75" s="10" t="s">
        <v>305</v>
      </c>
      <c r="D75" s="6" t="s">
        <v>640</v>
      </c>
      <c r="E75" s="10" t="s">
        <v>186</v>
      </c>
      <c r="F75" s="7">
        <f aca="true" t="shared" si="27" ref="F75:K75">F76</f>
        <v>0</v>
      </c>
      <c r="G75" s="7">
        <f t="shared" si="27"/>
        <v>0</v>
      </c>
      <c r="H75" s="7">
        <f t="shared" si="27"/>
        <v>0</v>
      </c>
      <c r="I75" s="7">
        <f t="shared" si="27"/>
        <v>0</v>
      </c>
      <c r="J75" s="7">
        <f t="shared" si="27"/>
        <v>0</v>
      </c>
      <c r="K75" s="7">
        <f t="shared" si="27"/>
        <v>0</v>
      </c>
    </row>
    <row r="76" spans="1:11" ht="15.75" customHeight="1" hidden="1">
      <c r="A76" s="31" t="s">
        <v>178</v>
      </c>
      <c r="B76" s="10" t="s">
        <v>159</v>
      </c>
      <c r="C76" s="10" t="s">
        <v>305</v>
      </c>
      <c r="D76" s="6" t="s">
        <v>640</v>
      </c>
      <c r="E76" s="10" t="s">
        <v>179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5" ht="15.75">
      <c r="A77" s="43" t="s">
        <v>180</v>
      </c>
      <c r="B77" s="8" t="s">
        <v>159</v>
      </c>
      <c r="C77" s="8" t="s">
        <v>181</v>
      </c>
      <c r="D77" s="8"/>
      <c r="E77" s="8"/>
      <c r="F77" s="4" t="e">
        <f>F78+F86+#REF!+F101+F148+F127+F105</f>
        <v>#REF!</v>
      </c>
      <c r="G77" s="4" t="e">
        <f>G78+G86+#REF!+G101+G148+G127+G105</f>
        <v>#REF!</v>
      </c>
      <c r="H77" s="4" t="e">
        <f>H78+H86+#REF!+H101+H148+H127+H105</f>
        <v>#REF!</v>
      </c>
      <c r="I77" s="4" t="e">
        <f>I78+I86+#REF!+I101+I148+I127+I105</f>
        <v>#REF!</v>
      </c>
      <c r="J77" s="4" t="e">
        <f>J78+J86+#REF!+J101+J148+J127+J105</f>
        <v>#REF!</v>
      </c>
      <c r="K77" s="4">
        <f>K78+K86+K101+K148+K127+K105+K140+K144+K221</f>
        <v>67541.4</v>
      </c>
      <c r="M77" s="23"/>
      <c r="O77" s="23"/>
    </row>
    <row r="78" spans="1:12" ht="47.25">
      <c r="A78" s="26" t="s">
        <v>384</v>
      </c>
      <c r="B78" s="42" t="s">
        <v>159</v>
      </c>
      <c r="C78" s="42" t="s">
        <v>181</v>
      </c>
      <c r="D78" s="42" t="s">
        <v>385</v>
      </c>
      <c r="E78" s="42"/>
      <c r="F78" s="7" t="e">
        <f aca="true" t="shared" si="28" ref="F78:J78">F81</f>
        <v>#REF!</v>
      </c>
      <c r="G78" s="7" t="e">
        <f t="shared" si="28"/>
        <v>#REF!</v>
      </c>
      <c r="H78" s="7" t="e">
        <f t="shared" si="28"/>
        <v>#REF!</v>
      </c>
      <c r="I78" s="7" t="e">
        <f t="shared" si="28"/>
        <v>#REF!</v>
      </c>
      <c r="J78" s="7" t="e">
        <f t="shared" si="28"/>
        <v>#REF!</v>
      </c>
      <c r="K78" s="7">
        <f>K79</f>
        <v>350</v>
      </c>
      <c r="L78" s="23"/>
    </row>
    <row r="79" spans="1:12" ht="94.5">
      <c r="A79" s="31" t="s">
        <v>421</v>
      </c>
      <c r="B79" s="42" t="s">
        <v>159</v>
      </c>
      <c r="C79" s="42" t="s">
        <v>181</v>
      </c>
      <c r="D79" s="42" t="s">
        <v>422</v>
      </c>
      <c r="E79" s="42"/>
      <c r="F79" s="7"/>
      <c r="G79" s="7"/>
      <c r="H79" s="7"/>
      <c r="I79" s="7"/>
      <c r="J79" s="7"/>
      <c r="K79" s="7">
        <f>K80+K83</f>
        <v>350</v>
      </c>
      <c r="L79" s="23"/>
    </row>
    <row r="80" spans="1:11" ht="31.5">
      <c r="A80" s="31" t="s">
        <v>198</v>
      </c>
      <c r="B80" s="42" t="s">
        <v>159</v>
      </c>
      <c r="C80" s="42" t="s">
        <v>181</v>
      </c>
      <c r="D80" s="42" t="s">
        <v>423</v>
      </c>
      <c r="E80" s="42"/>
      <c r="F80" s="7" t="e">
        <f>F81</f>
        <v>#REF!</v>
      </c>
      <c r="G80" s="7" t="e">
        <f aca="true" t="shared" si="29" ref="G80:K81">G81</f>
        <v>#REF!</v>
      </c>
      <c r="H80" s="7" t="e">
        <f t="shared" si="29"/>
        <v>#REF!</v>
      </c>
      <c r="I80" s="7" t="e">
        <f t="shared" si="29"/>
        <v>#REF!</v>
      </c>
      <c r="J80" s="7" t="e">
        <f t="shared" si="29"/>
        <v>#REF!</v>
      </c>
      <c r="K80" s="7">
        <f t="shared" si="29"/>
        <v>342.8</v>
      </c>
    </row>
    <row r="81" spans="1:11" ht="31.5">
      <c r="A81" s="31" t="s">
        <v>172</v>
      </c>
      <c r="B81" s="42" t="s">
        <v>159</v>
      </c>
      <c r="C81" s="42" t="s">
        <v>181</v>
      </c>
      <c r="D81" s="42" t="s">
        <v>423</v>
      </c>
      <c r="E81" s="42" t="s">
        <v>173</v>
      </c>
      <c r="F81" s="7" t="e">
        <f>F82</f>
        <v>#REF!</v>
      </c>
      <c r="G81" s="7" t="e">
        <f t="shared" si="29"/>
        <v>#REF!</v>
      </c>
      <c r="H81" s="7" t="e">
        <f t="shared" si="29"/>
        <v>#REF!</v>
      </c>
      <c r="I81" s="7" t="e">
        <f t="shared" si="29"/>
        <v>#REF!</v>
      </c>
      <c r="J81" s="7" t="e">
        <f t="shared" si="29"/>
        <v>#REF!</v>
      </c>
      <c r="K81" s="7">
        <f t="shared" si="29"/>
        <v>342.8</v>
      </c>
    </row>
    <row r="82" spans="1:11" ht="47.25">
      <c r="A82" s="31" t="s">
        <v>174</v>
      </c>
      <c r="B82" s="42" t="s">
        <v>159</v>
      </c>
      <c r="C82" s="42" t="s">
        <v>181</v>
      </c>
      <c r="D82" s="42" t="s">
        <v>423</v>
      </c>
      <c r="E82" s="42" t="s">
        <v>175</v>
      </c>
      <c r="F82" s="7" t="e">
        <f>#REF!</f>
        <v>#REF!</v>
      </c>
      <c r="G82" s="7" t="e">
        <f>#REF!</f>
        <v>#REF!</v>
      </c>
      <c r="H82" s="7" t="e">
        <f>#REF!</f>
        <v>#REF!</v>
      </c>
      <c r="I82" s="7" t="e">
        <f>#REF!</f>
        <v>#REF!</v>
      </c>
      <c r="J82" s="7" t="e">
        <f>#REF!</f>
        <v>#REF!</v>
      </c>
      <c r="K82" s="7">
        <f>'Прил.№5 ведомств.'!G252</f>
        <v>342.8</v>
      </c>
    </row>
    <row r="83" spans="1:11" s="285" customFormat="1" ht="47.25">
      <c r="A83" s="315" t="s">
        <v>1134</v>
      </c>
      <c r="B83" s="42" t="s">
        <v>159</v>
      </c>
      <c r="C83" s="42" t="s">
        <v>181</v>
      </c>
      <c r="D83" s="42" t="s">
        <v>1135</v>
      </c>
      <c r="E83" s="42"/>
      <c r="F83" s="7"/>
      <c r="G83" s="7"/>
      <c r="H83" s="7"/>
      <c r="I83" s="7"/>
      <c r="J83" s="7"/>
      <c r="K83" s="7">
        <f>K84</f>
        <v>7.2</v>
      </c>
    </row>
    <row r="84" spans="1:11" s="285" customFormat="1" ht="31.5">
      <c r="A84" s="31" t="s">
        <v>172</v>
      </c>
      <c r="B84" s="42" t="s">
        <v>159</v>
      </c>
      <c r="C84" s="42" t="s">
        <v>181</v>
      </c>
      <c r="D84" s="42" t="s">
        <v>1135</v>
      </c>
      <c r="E84" s="42" t="s">
        <v>173</v>
      </c>
      <c r="F84" s="7"/>
      <c r="G84" s="7"/>
      <c r="H84" s="7"/>
      <c r="I84" s="7"/>
      <c r="J84" s="7"/>
      <c r="K84" s="7">
        <f>K85</f>
        <v>7.2</v>
      </c>
    </row>
    <row r="85" spans="1:11" s="285" customFormat="1" ht="47.25">
      <c r="A85" s="315" t="s">
        <v>174</v>
      </c>
      <c r="B85" s="42" t="s">
        <v>159</v>
      </c>
      <c r="C85" s="42" t="s">
        <v>181</v>
      </c>
      <c r="D85" s="42" t="s">
        <v>1135</v>
      </c>
      <c r="E85" s="42" t="s">
        <v>175</v>
      </c>
      <c r="F85" s="7"/>
      <c r="G85" s="7"/>
      <c r="H85" s="7"/>
      <c r="I85" s="7"/>
      <c r="J85" s="7"/>
      <c r="K85" s="7">
        <f>'Прил.№5 ведомств.'!G255</f>
        <v>7.2</v>
      </c>
    </row>
    <row r="86" spans="1:11" ht="47.25">
      <c r="A86" s="31" t="s">
        <v>966</v>
      </c>
      <c r="B86" s="42" t="s">
        <v>159</v>
      </c>
      <c r="C86" s="42" t="s">
        <v>181</v>
      </c>
      <c r="D86" s="42" t="s">
        <v>203</v>
      </c>
      <c r="E86" s="42"/>
      <c r="F86" s="7" t="e">
        <f aca="true" t="shared" si="30" ref="F86:K86">F87+F90+F95+F98</f>
        <v>#REF!</v>
      </c>
      <c r="G86" s="7" t="e">
        <f t="shared" si="30"/>
        <v>#REF!</v>
      </c>
      <c r="H86" s="7" t="e">
        <f t="shared" si="30"/>
        <v>#REF!</v>
      </c>
      <c r="I86" s="7" t="e">
        <f t="shared" si="30"/>
        <v>#REF!</v>
      </c>
      <c r="J86" s="7" t="e">
        <f t="shared" si="30"/>
        <v>#REF!</v>
      </c>
      <c r="K86" s="7">
        <f t="shared" si="30"/>
        <v>741</v>
      </c>
    </row>
    <row r="87" spans="1:15" ht="31.5">
      <c r="A87" s="31" t="s">
        <v>204</v>
      </c>
      <c r="B87" s="42" t="s">
        <v>159</v>
      </c>
      <c r="C87" s="42" t="s">
        <v>181</v>
      </c>
      <c r="D87" s="42" t="s">
        <v>205</v>
      </c>
      <c r="E87" s="42"/>
      <c r="F87" s="7" t="e">
        <f>F88</f>
        <v>#REF!</v>
      </c>
      <c r="G87" s="7" t="e">
        <f aca="true" t="shared" si="31" ref="G87:K88">G88</f>
        <v>#REF!</v>
      </c>
      <c r="H87" s="7" t="e">
        <f t="shared" si="31"/>
        <v>#REF!</v>
      </c>
      <c r="I87" s="7" t="e">
        <f t="shared" si="31"/>
        <v>#REF!</v>
      </c>
      <c r="J87" s="7" t="e">
        <f t="shared" si="31"/>
        <v>#REF!</v>
      </c>
      <c r="K87" s="7">
        <f t="shared" si="31"/>
        <v>491</v>
      </c>
      <c r="O87" s="23"/>
    </row>
    <row r="88" spans="1:11" ht="31.5">
      <c r="A88" s="31" t="s">
        <v>172</v>
      </c>
      <c r="B88" s="42" t="s">
        <v>159</v>
      </c>
      <c r="C88" s="42" t="s">
        <v>181</v>
      </c>
      <c r="D88" s="42" t="s">
        <v>205</v>
      </c>
      <c r="E88" s="42" t="s">
        <v>173</v>
      </c>
      <c r="F88" s="7" t="e">
        <f>F89</f>
        <v>#REF!</v>
      </c>
      <c r="G88" s="7" t="e">
        <f t="shared" si="31"/>
        <v>#REF!</v>
      </c>
      <c r="H88" s="7" t="e">
        <f t="shared" si="31"/>
        <v>#REF!</v>
      </c>
      <c r="I88" s="7" t="e">
        <f t="shared" si="31"/>
        <v>#REF!</v>
      </c>
      <c r="J88" s="7" t="e">
        <f t="shared" si="31"/>
        <v>#REF!</v>
      </c>
      <c r="K88" s="7">
        <f t="shared" si="31"/>
        <v>491</v>
      </c>
    </row>
    <row r="89" spans="1:11" ht="47.25">
      <c r="A89" s="31" t="s">
        <v>174</v>
      </c>
      <c r="B89" s="42" t="s">
        <v>159</v>
      </c>
      <c r="C89" s="42" t="s">
        <v>181</v>
      </c>
      <c r="D89" s="42" t="s">
        <v>205</v>
      </c>
      <c r="E89" s="42" t="s">
        <v>175</v>
      </c>
      <c r="F89" s="7" t="e">
        <f>#REF!</f>
        <v>#REF!</v>
      </c>
      <c r="G89" s="7" t="e">
        <f>#REF!</f>
        <v>#REF!</v>
      </c>
      <c r="H89" s="7" t="e">
        <f>#REF!</f>
        <v>#REF!</v>
      </c>
      <c r="I89" s="7" t="e">
        <f>#REF!</f>
        <v>#REF!</v>
      </c>
      <c r="J89" s="7" t="e">
        <f>#REF!</f>
        <v>#REF!</v>
      </c>
      <c r="K89" s="7">
        <f>'Прил.№5 ведомств.'!G74</f>
        <v>491</v>
      </c>
    </row>
    <row r="90" spans="1:11" ht="51.75" customHeight="1">
      <c r="A90" s="119" t="s">
        <v>206</v>
      </c>
      <c r="B90" s="42" t="s">
        <v>159</v>
      </c>
      <c r="C90" s="42" t="s">
        <v>181</v>
      </c>
      <c r="D90" s="42" t="s">
        <v>207</v>
      </c>
      <c r="E90" s="42"/>
      <c r="F90" s="7" t="e">
        <f aca="true" t="shared" si="32" ref="F90:K90">F91+F93</f>
        <v>#REF!</v>
      </c>
      <c r="G90" s="7" t="e">
        <f t="shared" si="32"/>
        <v>#REF!</v>
      </c>
      <c r="H90" s="7" t="e">
        <f t="shared" si="32"/>
        <v>#REF!</v>
      </c>
      <c r="I90" s="7" t="e">
        <f t="shared" si="32"/>
        <v>#REF!</v>
      </c>
      <c r="J90" s="7" t="e">
        <f t="shared" si="32"/>
        <v>#REF!</v>
      </c>
      <c r="K90" s="7">
        <f t="shared" si="32"/>
        <v>249</v>
      </c>
    </row>
    <row r="91" spans="1:11" ht="78.75">
      <c r="A91" s="31" t="s">
        <v>168</v>
      </c>
      <c r="B91" s="42" t="s">
        <v>159</v>
      </c>
      <c r="C91" s="42" t="s">
        <v>181</v>
      </c>
      <c r="D91" s="42" t="s">
        <v>207</v>
      </c>
      <c r="E91" s="42" t="s">
        <v>169</v>
      </c>
      <c r="F91" s="7" t="e">
        <f aca="true" t="shared" si="33" ref="F91:K91">F92</f>
        <v>#REF!</v>
      </c>
      <c r="G91" s="7" t="e">
        <f t="shared" si="33"/>
        <v>#REF!</v>
      </c>
      <c r="H91" s="7" t="e">
        <f t="shared" si="33"/>
        <v>#REF!</v>
      </c>
      <c r="I91" s="7" t="e">
        <f t="shared" si="33"/>
        <v>#REF!</v>
      </c>
      <c r="J91" s="7" t="e">
        <f t="shared" si="33"/>
        <v>#REF!</v>
      </c>
      <c r="K91" s="7">
        <f t="shared" si="33"/>
        <v>159.7</v>
      </c>
    </row>
    <row r="92" spans="1:11" ht="31.5">
      <c r="A92" s="31" t="s">
        <v>170</v>
      </c>
      <c r="B92" s="42" t="s">
        <v>159</v>
      </c>
      <c r="C92" s="42" t="s">
        <v>181</v>
      </c>
      <c r="D92" s="42" t="s">
        <v>207</v>
      </c>
      <c r="E92" s="42" t="s">
        <v>171</v>
      </c>
      <c r="F92" s="7" t="e">
        <f>#REF!</f>
        <v>#REF!</v>
      </c>
      <c r="G92" s="7" t="e">
        <f>#REF!</f>
        <v>#REF!</v>
      </c>
      <c r="H92" s="7" t="e">
        <f>#REF!</f>
        <v>#REF!</v>
      </c>
      <c r="I92" s="7" t="e">
        <f>#REF!</f>
        <v>#REF!</v>
      </c>
      <c r="J92" s="7" t="e">
        <f>#REF!</f>
        <v>#REF!</v>
      </c>
      <c r="K92" s="7">
        <f>'Прил.№5 ведомств.'!G77</f>
        <v>159.7</v>
      </c>
    </row>
    <row r="93" spans="1:11" ht="31.5">
      <c r="A93" s="26" t="s">
        <v>172</v>
      </c>
      <c r="B93" s="42" t="s">
        <v>159</v>
      </c>
      <c r="C93" s="42" t="s">
        <v>181</v>
      </c>
      <c r="D93" s="42" t="s">
        <v>207</v>
      </c>
      <c r="E93" s="42" t="s">
        <v>173</v>
      </c>
      <c r="F93" s="7" t="e">
        <f aca="true" t="shared" si="34" ref="F93:K93">F94</f>
        <v>#REF!</v>
      </c>
      <c r="G93" s="7" t="e">
        <f t="shared" si="34"/>
        <v>#REF!</v>
      </c>
      <c r="H93" s="7" t="e">
        <f t="shared" si="34"/>
        <v>#REF!</v>
      </c>
      <c r="I93" s="7" t="e">
        <f t="shared" si="34"/>
        <v>#REF!</v>
      </c>
      <c r="J93" s="7" t="e">
        <f t="shared" si="34"/>
        <v>#REF!</v>
      </c>
      <c r="K93" s="7">
        <f t="shared" si="34"/>
        <v>89.30000000000001</v>
      </c>
    </row>
    <row r="94" spans="1:11" ht="47.25">
      <c r="A94" s="26" t="s">
        <v>174</v>
      </c>
      <c r="B94" s="42" t="s">
        <v>159</v>
      </c>
      <c r="C94" s="42" t="s">
        <v>181</v>
      </c>
      <c r="D94" s="42" t="s">
        <v>207</v>
      </c>
      <c r="E94" s="42" t="s">
        <v>175</v>
      </c>
      <c r="F94" s="7" t="e">
        <f>#REF!</f>
        <v>#REF!</v>
      </c>
      <c r="G94" s="7" t="e">
        <f>#REF!</f>
        <v>#REF!</v>
      </c>
      <c r="H94" s="7" t="e">
        <f>#REF!</f>
        <v>#REF!</v>
      </c>
      <c r="I94" s="7" t="e">
        <f>#REF!</f>
        <v>#REF!</v>
      </c>
      <c r="J94" s="7" t="e">
        <f>#REF!</f>
        <v>#REF!</v>
      </c>
      <c r="K94" s="7">
        <f>'Прил.№5 ведомств.'!G79</f>
        <v>89.30000000000001</v>
      </c>
    </row>
    <row r="95" spans="1:11" ht="50.25" customHeight="1">
      <c r="A95" s="33" t="s">
        <v>760</v>
      </c>
      <c r="B95" s="42" t="s">
        <v>159</v>
      </c>
      <c r="C95" s="42" t="s">
        <v>181</v>
      </c>
      <c r="D95" s="42" t="s">
        <v>761</v>
      </c>
      <c r="E95" s="42"/>
      <c r="F95" s="7" t="e">
        <f>F96</f>
        <v>#REF!</v>
      </c>
      <c r="G95" s="7" t="e">
        <f aca="true" t="shared" si="35" ref="G95:K96">G96</f>
        <v>#REF!</v>
      </c>
      <c r="H95" s="7" t="e">
        <f t="shared" si="35"/>
        <v>#REF!</v>
      </c>
      <c r="I95" s="7" t="e">
        <f t="shared" si="35"/>
        <v>#REF!</v>
      </c>
      <c r="J95" s="7" t="e">
        <f t="shared" si="35"/>
        <v>#REF!</v>
      </c>
      <c r="K95" s="7">
        <f t="shared" si="35"/>
        <v>0.5</v>
      </c>
    </row>
    <row r="96" spans="1:11" ht="31.5">
      <c r="A96" s="26" t="s">
        <v>172</v>
      </c>
      <c r="B96" s="42" t="s">
        <v>159</v>
      </c>
      <c r="C96" s="42" t="s">
        <v>181</v>
      </c>
      <c r="D96" s="42" t="s">
        <v>761</v>
      </c>
      <c r="E96" s="42" t="s">
        <v>173</v>
      </c>
      <c r="F96" s="7" t="e">
        <f>F97</f>
        <v>#REF!</v>
      </c>
      <c r="G96" s="7" t="e">
        <f t="shared" si="35"/>
        <v>#REF!</v>
      </c>
      <c r="H96" s="7" t="e">
        <f t="shared" si="35"/>
        <v>#REF!</v>
      </c>
      <c r="I96" s="7" t="e">
        <f t="shared" si="35"/>
        <v>#REF!</v>
      </c>
      <c r="J96" s="7" t="e">
        <f t="shared" si="35"/>
        <v>#REF!</v>
      </c>
      <c r="K96" s="7">
        <f t="shared" si="35"/>
        <v>0.5</v>
      </c>
    </row>
    <row r="97" spans="1:11" ht="47.25">
      <c r="A97" s="26" t="s">
        <v>174</v>
      </c>
      <c r="B97" s="42" t="s">
        <v>159</v>
      </c>
      <c r="C97" s="42" t="s">
        <v>181</v>
      </c>
      <c r="D97" s="42" t="s">
        <v>761</v>
      </c>
      <c r="E97" s="42" t="s">
        <v>175</v>
      </c>
      <c r="F97" s="7" t="e">
        <f>#REF!</f>
        <v>#REF!</v>
      </c>
      <c r="G97" s="7" t="e">
        <f>#REF!</f>
        <v>#REF!</v>
      </c>
      <c r="H97" s="7" t="e">
        <f>#REF!</f>
        <v>#REF!</v>
      </c>
      <c r="I97" s="7" t="e">
        <f>#REF!</f>
        <v>#REF!</v>
      </c>
      <c r="J97" s="7" t="e">
        <f>#REF!</f>
        <v>#REF!</v>
      </c>
      <c r="K97" s="7">
        <f>'Прил.№5 ведомств.'!G1294</f>
        <v>0.5</v>
      </c>
    </row>
    <row r="98" spans="1:11" ht="47.25">
      <c r="A98" s="33" t="s">
        <v>232</v>
      </c>
      <c r="B98" s="42" t="s">
        <v>159</v>
      </c>
      <c r="C98" s="42" t="s">
        <v>181</v>
      </c>
      <c r="D98" s="42" t="s">
        <v>747</v>
      </c>
      <c r="E98" s="42"/>
      <c r="F98" s="7" t="e">
        <f>F99</f>
        <v>#REF!</v>
      </c>
      <c r="G98" s="7" t="e">
        <f aca="true" t="shared" si="36" ref="G98:K99">G99</f>
        <v>#REF!</v>
      </c>
      <c r="H98" s="7" t="e">
        <f t="shared" si="36"/>
        <v>#REF!</v>
      </c>
      <c r="I98" s="7" t="e">
        <f t="shared" si="36"/>
        <v>#REF!</v>
      </c>
      <c r="J98" s="7" t="e">
        <f t="shared" si="36"/>
        <v>#REF!</v>
      </c>
      <c r="K98" s="7">
        <f t="shared" si="36"/>
        <v>0.5</v>
      </c>
    </row>
    <row r="99" spans="1:11" ht="31.5">
      <c r="A99" s="26" t="s">
        <v>172</v>
      </c>
      <c r="B99" s="42" t="s">
        <v>159</v>
      </c>
      <c r="C99" s="42" t="s">
        <v>181</v>
      </c>
      <c r="D99" s="42" t="s">
        <v>747</v>
      </c>
      <c r="E99" s="42" t="s">
        <v>173</v>
      </c>
      <c r="F99" s="7" t="e">
        <f>F100</f>
        <v>#REF!</v>
      </c>
      <c r="G99" s="7" t="e">
        <f t="shared" si="36"/>
        <v>#REF!</v>
      </c>
      <c r="H99" s="7" t="e">
        <f t="shared" si="36"/>
        <v>#REF!</v>
      </c>
      <c r="I99" s="7" t="e">
        <f t="shared" si="36"/>
        <v>#REF!</v>
      </c>
      <c r="J99" s="7" t="e">
        <f t="shared" si="36"/>
        <v>#REF!</v>
      </c>
      <c r="K99" s="7">
        <f t="shared" si="36"/>
        <v>0.5</v>
      </c>
    </row>
    <row r="100" spans="1:11" ht="47.25">
      <c r="A100" s="26" t="s">
        <v>174</v>
      </c>
      <c r="B100" s="42" t="s">
        <v>159</v>
      </c>
      <c r="C100" s="42" t="s">
        <v>181</v>
      </c>
      <c r="D100" s="42" t="s">
        <v>747</v>
      </c>
      <c r="E100" s="42" t="s">
        <v>175</v>
      </c>
      <c r="F100" s="7" t="e">
        <f>#REF!</f>
        <v>#REF!</v>
      </c>
      <c r="G100" s="7" t="e">
        <f>#REF!</f>
        <v>#REF!</v>
      </c>
      <c r="H100" s="7" t="e">
        <f>#REF!</f>
        <v>#REF!</v>
      </c>
      <c r="I100" s="7" t="e">
        <f>#REF!</f>
        <v>#REF!</v>
      </c>
      <c r="J100" s="7" t="e">
        <f>#REF!</f>
        <v>#REF!</v>
      </c>
      <c r="K100" s="7">
        <f>'Прил.№5 ведомств.'!G82</f>
        <v>0.5</v>
      </c>
    </row>
    <row r="101" spans="1:11" ht="47.25" hidden="1">
      <c r="A101" s="33" t="s">
        <v>222</v>
      </c>
      <c r="B101" s="10" t="s">
        <v>159</v>
      </c>
      <c r="C101" s="10" t="s">
        <v>181</v>
      </c>
      <c r="D101" s="6" t="s">
        <v>223</v>
      </c>
      <c r="E101" s="34"/>
      <c r="F101" s="11" t="e">
        <f>F102</f>
        <v>#REF!</v>
      </c>
      <c r="G101" s="11" t="e">
        <f aca="true" t="shared" si="37" ref="G101:K103">G102</f>
        <v>#REF!</v>
      </c>
      <c r="H101" s="11" t="e">
        <f t="shared" si="37"/>
        <v>#REF!</v>
      </c>
      <c r="I101" s="11" t="e">
        <f t="shared" si="37"/>
        <v>#REF!</v>
      </c>
      <c r="J101" s="11" t="e">
        <f t="shared" si="37"/>
        <v>#REF!</v>
      </c>
      <c r="K101" s="11">
        <f t="shared" si="37"/>
        <v>0</v>
      </c>
    </row>
    <row r="102" spans="1:11" ht="31.5" hidden="1">
      <c r="A102" s="26" t="s">
        <v>198</v>
      </c>
      <c r="B102" s="10" t="s">
        <v>159</v>
      </c>
      <c r="C102" s="10" t="s">
        <v>181</v>
      </c>
      <c r="D102" s="21" t="s">
        <v>224</v>
      </c>
      <c r="E102" s="34"/>
      <c r="F102" s="11" t="e">
        <f>F103</f>
        <v>#REF!</v>
      </c>
      <c r="G102" s="11" t="e">
        <f t="shared" si="37"/>
        <v>#REF!</v>
      </c>
      <c r="H102" s="11" t="e">
        <f t="shared" si="37"/>
        <v>#REF!</v>
      </c>
      <c r="I102" s="11" t="e">
        <f t="shared" si="37"/>
        <v>#REF!</v>
      </c>
      <c r="J102" s="11" t="e">
        <f t="shared" si="37"/>
        <v>#REF!</v>
      </c>
      <c r="K102" s="11">
        <f t="shared" si="37"/>
        <v>0</v>
      </c>
    </row>
    <row r="103" spans="1:11" ht="15.75" hidden="1">
      <c r="A103" s="31" t="s">
        <v>176</v>
      </c>
      <c r="B103" s="10" t="s">
        <v>159</v>
      </c>
      <c r="C103" s="10" t="s">
        <v>181</v>
      </c>
      <c r="D103" s="21" t="s">
        <v>224</v>
      </c>
      <c r="E103" s="34" t="s">
        <v>186</v>
      </c>
      <c r="F103" s="11" t="e">
        <f>F104</f>
        <v>#REF!</v>
      </c>
      <c r="G103" s="11" t="e">
        <f t="shared" si="37"/>
        <v>#REF!</v>
      </c>
      <c r="H103" s="11" t="e">
        <f t="shared" si="37"/>
        <v>#REF!</v>
      </c>
      <c r="I103" s="11" t="e">
        <f t="shared" si="37"/>
        <v>#REF!</v>
      </c>
      <c r="J103" s="11" t="e">
        <f t="shared" si="37"/>
        <v>#REF!</v>
      </c>
      <c r="K103" s="11">
        <f t="shared" si="37"/>
        <v>0</v>
      </c>
    </row>
    <row r="104" spans="1:11" ht="47.25" hidden="1">
      <c r="A104" s="31" t="s">
        <v>225</v>
      </c>
      <c r="B104" s="10" t="s">
        <v>159</v>
      </c>
      <c r="C104" s="10" t="s">
        <v>181</v>
      </c>
      <c r="D104" s="21" t="s">
        <v>224</v>
      </c>
      <c r="E104" s="34" t="s">
        <v>201</v>
      </c>
      <c r="F104" s="11" t="e">
        <f>#REF!</f>
        <v>#REF!</v>
      </c>
      <c r="G104" s="11" t="e">
        <f>#REF!</f>
        <v>#REF!</v>
      </c>
      <c r="H104" s="11" t="e">
        <f>#REF!</f>
        <v>#REF!</v>
      </c>
      <c r="I104" s="11" t="e">
        <f>#REF!</f>
        <v>#REF!</v>
      </c>
      <c r="J104" s="11" t="e">
        <f>#REF!</f>
        <v>#REF!</v>
      </c>
      <c r="K104" s="11">
        <f>'Прил.№5 ведомств.'!G90</f>
        <v>0</v>
      </c>
    </row>
    <row r="105" spans="1:11" ht="47.25">
      <c r="A105" s="26" t="s">
        <v>375</v>
      </c>
      <c r="B105" s="21" t="s">
        <v>159</v>
      </c>
      <c r="C105" s="21" t="s">
        <v>181</v>
      </c>
      <c r="D105" s="21" t="s">
        <v>376</v>
      </c>
      <c r="E105" s="21"/>
      <c r="F105" s="11">
        <f>F106+F112+F115+F121+F124</f>
        <v>0</v>
      </c>
      <c r="G105" s="11">
        <f>G106+G112+G115+G121+G124</f>
        <v>0</v>
      </c>
      <c r="H105" s="11" t="e">
        <f>H106+H112+H115+H121+H124</f>
        <v>#REF!</v>
      </c>
      <c r="I105" s="11" t="e">
        <f>I106+I112+I115+I121+I124</f>
        <v>#REF!</v>
      </c>
      <c r="J105" s="11" t="e">
        <f>J106+J112+J115+J121+J124</f>
        <v>#REF!</v>
      </c>
      <c r="K105" s="11">
        <f>K106+K112+K115+K121+K124+K109+K118</f>
        <v>275</v>
      </c>
    </row>
    <row r="106" spans="1:11" ht="47.25">
      <c r="A106" s="119" t="s">
        <v>902</v>
      </c>
      <c r="B106" s="21" t="s">
        <v>159</v>
      </c>
      <c r="C106" s="21" t="s">
        <v>181</v>
      </c>
      <c r="D106" s="21" t="s">
        <v>378</v>
      </c>
      <c r="E106" s="21"/>
      <c r="F106" s="11">
        <f aca="true" t="shared" si="38" ref="F106:H107">F107</f>
        <v>0</v>
      </c>
      <c r="G106" s="11">
        <f t="shared" si="38"/>
        <v>0</v>
      </c>
      <c r="H106" s="11" t="e">
        <f t="shared" si="38"/>
        <v>#REF!</v>
      </c>
      <c r="I106" s="11" t="e">
        <f aca="true" t="shared" si="39" ref="I106:K107">I107</f>
        <v>#REF!</v>
      </c>
      <c r="J106" s="11" t="e">
        <f t="shared" si="39"/>
        <v>#REF!</v>
      </c>
      <c r="K106" s="11">
        <f t="shared" si="39"/>
        <v>230</v>
      </c>
    </row>
    <row r="107" spans="1:11" ht="31.5">
      <c r="A107" s="26" t="s">
        <v>172</v>
      </c>
      <c r="B107" s="21" t="s">
        <v>159</v>
      </c>
      <c r="C107" s="21" t="s">
        <v>181</v>
      </c>
      <c r="D107" s="21" t="s">
        <v>378</v>
      </c>
      <c r="E107" s="21" t="s">
        <v>173</v>
      </c>
      <c r="F107" s="11">
        <f t="shared" si="38"/>
        <v>0</v>
      </c>
      <c r="G107" s="11">
        <f t="shared" si="38"/>
        <v>0</v>
      </c>
      <c r="H107" s="11" t="e">
        <f t="shared" si="38"/>
        <v>#REF!</v>
      </c>
      <c r="I107" s="11" t="e">
        <f t="shared" si="39"/>
        <v>#REF!</v>
      </c>
      <c r="J107" s="11" t="e">
        <f t="shared" si="39"/>
        <v>#REF!</v>
      </c>
      <c r="K107" s="11">
        <f t="shared" si="39"/>
        <v>230</v>
      </c>
    </row>
    <row r="108" spans="1:11" ht="47.25">
      <c r="A108" s="26" t="s">
        <v>174</v>
      </c>
      <c r="B108" s="21" t="s">
        <v>159</v>
      </c>
      <c r="C108" s="21" t="s">
        <v>181</v>
      </c>
      <c r="D108" s="21" t="s">
        <v>378</v>
      </c>
      <c r="E108" s="21" t="s">
        <v>175</v>
      </c>
      <c r="F108" s="11">
        <v>0</v>
      </c>
      <c r="G108" s="11">
        <v>0</v>
      </c>
      <c r="H108" s="11" t="e">
        <f>#REF!+#REF!</f>
        <v>#REF!</v>
      </c>
      <c r="I108" s="11" t="e">
        <f>#REF!+#REF!</f>
        <v>#REF!</v>
      </c>
      <c r="J108" s="11" t="e">
        <f>#REF!+#REF!</f>
        <v>#REF!</v>
      </c>
      <c r="K108" s="11">
        <f>'Прил.№5 ведомств.'!G676+'Прил.№5 ведомств.'!G259</f>
        <v>230</v>
      </c>
    </row>
    <row r="109" spans="1:11" ht="45">
      <c r="A109" s="264" t="s">
        <v>996</v>
      </c>
      <c r="B109" s="21" t="s">
        <v>159</v>
      </c>
      <c r="C109" s="21" t="s">
        <v>181</v>
      </c>
      <c r="D109" s="21" t="s">
        <v>519</v>
      </c>
      <c r="E109" s="21"/>
      <c r="F109" s="11"/>
      <c r="G109" s="11"/>
      <c r="H109" s="11"/>
      <c r="I109" s="11"/>
      <c r="J109" s="11"/>
      <c r="K109" s="11">
        <f>K110</f>
        <v>20</v>
      </c>
    </row>
    <row r="110" spans="1:11" ht="31.5">
      <c r="A110" s="26" t="s">
        <v>172</v>
      </c>
      <c r="B110" s="21" t="s">
        <v>159</v>
      </c>
      <c r="C110" s="21" t="s">
        <v>181</v>
      </c>
      <c r="D110" s="21" t="s">
        <v>519</v>
      </c>
      <c r="E110" s="21" t="s">
        <v>173</v>
      </c>
      <c r="F110" s="11"/>
      <c r="G110" s="11"/>
      <c r="H110" s="11"/>
      <c r="I110" s="11"/>
      <c r="J110" s="11"/>
      <c r="K110" s="11">
        <f>K111</f>
        <v>20</v>
      </c>
    </row>
    <row r="111" spans="1:11" ht="47.25">
      <c r="A111" s="26" t="s">
        <v>174</v>
      </c>
      <c r="B111" s="21" t="s">
        <v>159</v>
      </c>
      <c r="C111" s="21" t="s">
        <v>181</v>
      </c>
      <c r="D111" s="21" t="s">
        <v>519</v>
      </c>
      <c r="E111" s="21" t="s">
        <v>175</v>
      </c>
      <c r="F111" s="11"/>
      <c r="G111" s="11"/>
      <c r="H111" s="11"/>
      <c r="I111" s="11"/>
      <c r="J111" s="11"/>
      <c r="K111" s="11">
        <f>'Прил.№5 ведомств.'!G679</f>
        <v>20</v>
      </c>
    </row>
    <row r="112" spans="1:11" ht="31.5">
      <c r="A112" s="26" t="s">
        <v>379</v>
      </c>
      <c r="B112" s="21" t="s">
        <v>159</v>
      </c>
      <c r="C112" s="21" t="s">
        <v>181</v>
      </c>
      <c r="D112" s="21" t="s">
        <v>380</v>
      </c>
      <c r="E112" s="21"/>
      <c r="F112" s="11">
        <f aca="true" t="shared" si="40" ref="F112:H113">F113</f>
        <v>0</v>
      </c>
      <c r="G112" s="11">
        <f t="shared" si="40"/>
        <v>0</v>
      </c>
      <c r="H112" s="11" t="e">
        <f t="shared" si="40"/>
        <v>#REF!</v>
      </c>
      <c r="I112" s="11" t="e">
        <f aca="true" t="shared" si="41" ref="I112:K113">I113</f>
        <v>#REF!</v>
      </c>
      <c r="J112" s="11" t="e">
        <f t="shared" si="41"/>
        <v>#REF!</v>
      </c>
      <c r="K112" s="11">
        <f t="shared" si="41"/>
        <v>25</v>
      </c>
    </row>
    <row r="113" spans="1:11" ht="31.5">
      <c r="A113" s="26" t="s">
        <v>172</v>
      </c>
      <c r="B113" s="21" t="s">
        <v>159</v>
      </c>
      <c r="C113" s="21" t="s">
        <v>181</v>
      </c>
      <c r="D113" s="21" t="s">
        <v>380</v>
      </c>
      <c r="E113" s="21" t="s">
        <v>173</v>
      </c>
      <c r="F113" s="11">
        <f t="shared" si="40"/>
        <v>0</v>
      </c>
      <c r="G113" s="11">
        <f t="shared" si="40"/>
        <v>0</v>
      </c>
      <c r="H113" s="11" t="e">
        <f t="shared" si="40"/>
        <v>#REF!</v>
      </c>
      <c r="I113" s="11" t="e">
        <f t="shared" si="41"/>
        <v>#REF!</v>
      </c>
      <c r="J113" s="11" t="e">
        <f t="shared" si="41"/>
        <v>#REF!</v>
      </c>
      <c r="K113" s="11">
        <f t="shared" si="41"/>
        <v>25</v>
      </c>
    </row>
    <row r="114" spans="1:11" ht="47.25">
      <c r="A114" s="26" t="s">
        <v>174</v>
      </c>
      <c r="B114" s="21" t="s">
        <v>159</v>
      </c>
      <c r="C114" s="21" t="s">
        <v>181</v>
      </c>
      <c r="D114" s="21" t="s">
        <v>380</v>
      </c>
      <c r="E114" s="21" t="s">
        <v>175</v>
      </c>
      <c r="F114" s="11">
        <v>0</v>
      </c>
      <c r="G114" s="11">
        <v>0</v>
      </c>
      <c r="H114" s="11" t="e">
        <f>#REF!</f>
        <v>#REF!</v>
      </c>
      <c r="I114" s="11" t="e">
        <f>#REF!</f>
        <v>#REF!</v>
      </c>
      <c r="J114" s="11" t="e">
        <f>#REF!</f>
        <v>#REF!</v>
      </c>
      <c r="K114" s="11">
        <f>'Прил.№5 ведомств.'!G262</f>
        <v>25</v>
      </c>
    </row>
    <row r="115" spans="1:11" ht="47.25" hidden="1">
      <c r="A115" s="33" t="s">
        <v>903</v>
      </c>
      <c r="B115" s="21" t="s">
        <v>159</v>
      </c>
      <c r="C115" s="21" t="s">
        <v>181</v>
      </c>
      <c r="D115" s="21" t="s">
        <v>900</v>
      </c>
      <c r="E115" s="21"/>
      <c r="F115" s="11">
        <f aca="true" t="shared" si="42" ref="F115:H116">F116</f>
        <v>0</v>
      </c>
      <c r="G115" s="11">
        <f t="shared" si="42"/>
        <v>0</v>
      </c>
      <c r="H115" s="11" t="e">
        <f t="shared" si="42"/>
        <v>#REF!</v>
      </c>
      <c r="I115" s="11" t="e">
        <f aca="true" t="shared" si="43" ref="I115:K116">I116</f>
        <v>#REF!</v>
      </c>
      <c r="J115" s="11" t="e">
        <f t="shared" si="43"/>
        <v>#REF!</v>
      </c>
      <c r="K115" s="11">
        <f t="shared" si="43"/>
        <v>0</v>
      </c>
    </row>
    <row r="116" spans="1:11" ht="31.5" hidden="1">
      <c r="A116" s="26" t="s">
        <v>172</v>
      </c>
      <c r="B116" s="21" t="s">
        <v>159</v>
      </c>
      <c r="C116" s="21" t="s">
        <v>181</v>
      </c>
      <c r="D116" s="21" t="s">
        <v>900</v>
      </c>
      <c r="E116" s="21" t="s">
        <v>173</v>
      </c>
      <c r="F116" s="11">
        <f t="shared" si="42"/>
        <v>0</v>
      </c>
      <c r="G116" s="11">
        <f t="shared" si="42"/>
        <v>0</v>
      </c>
      <c r="H116" s="11" t="e">
        <f t="shared" si="42"/>
        <v>#REF!</v>
      </c>
      <c r="I116" s="11" t="e">
        <f t="shared" si="43"/>
        <v>#REF!</v>
      </c>
      <c r="J116" s="11" t="e">
        <f t="shared" si="43"/>
        <v>#REF!</v>
      </c>
      <c r="K116" s="11">
        <f t="shared" si="43"/>
        <v>0</v>
      </c>
    </row>
    <row r="117" spans="1:11" ht="47.25" hidden="1">
      <c r="A117" s="26" t="s">
        <v>174</v>
      </c>
      <c r="B117" s="21" t="s">
        <v>159</v>
      </c>
      <c r="C117" s="21" t="s">
        <v>181</v>
      </c>
      <c r="D117" s="21" t="s">
        <v>900</v>
      </c>
      <c r="E117" s="21" t="s">
        <v>175</v>
      </c>
      <c r="F117" s="11">
        <v>0</v>
      </c>
      <c r="G117" s="11">
        <v>0</v>
      </c>
      <c r="H117" s="11" t="e">
        <f>#REF!</f>
        <v>#REF!</v>
      </c>
      <c r="I117" s="11" t="e">
        <f>#REF!</f>
        <v>#REF!</v>
      </c>
      <c r="J117" s="11" t="e">
        <f>#REF!</f>
        <v>#REF!</v>
      </c>
      <c r="K117" s="11">
        <f>'Прил.№5 ведомств.'!G265</f>
        <v>0</v>
      </c>
    </row>
    <row r="118" spans="1:11" ht="47.25" hidden="1">
      <c r="A118" s="26" t="s">
        <v>783</v>
      </c>
      <c r="B118" s="21" t="s">
        <v>159</v>
      </c>
      <c r="C118" s="21" t="s">
        <v>181</v>
      </c>
      <c r="D118" s="21" t="s">
        <v>905</v>
      </c>
      <c r="E118" s="21"/>
      <c r="F118" s="11"/>
      <c r="G118" s="11"/>
      <c r="H118" s="11"/>
      <c r="I118" s="11"/>
      <c r="J118" s="11"/>
      <c r="K118" s="11">
        <f>K119</f>
        <v>0</v>
      </c>
    </row>
    <row r="119" spans="1:11" ht="31.5" hidden="1">
      <c r="A119" s="26" t="s">
        <v>172</v>
      </c>
      <c r="B119" s="21" t="s">
        <v>159</v>
      </c>
      <c r="C119" s="21" t="s">
        <v>181</v>
      </c>
      <c r="D119" s="21" t="s">
        <v>905</v>
      </c>
      <c r="E119" s="21" t="s">
        <v>173</v>
      </c>
      <c r="F119" s="11"/>
      <c r="G119" s="11"/>
      <c r="H119" s="11"/>
      <c r="I119" s="11"/>
      <c r="J119" s="11"/>
      <c r="K119" s="11">
        <f>K120</f>
        <v>0</v>
      </c>
    </row>
    <row r="120" spans="1:11" ht="47.25" hidden="1">
      <c r="A120" s="26" t="s">
        <v>174</v>
      </c>
      <c r="B120" s="21" t="s">
        <v>159</v>
      </c>
      <c r="C120" s="21" t="s">
        <v>181</v>
      </c>
      <c r="D120" s="21" t="s">
        <v>905</v>
      </c>
      <c r="E120" s="21" t="s">
        <v>175</v>
      </c>
      <c r="F120" s="11"/>
      <c r="G120" s="11"/>
      <c r="H120" s="11"/>
      <c r="I120" s="11"/>
      <c r="J120" s="11"/>
      <c r="K120" s="11">
        <f>'Прил.№5 ведомств.'!G268</f>
        <v>0</v>
      </c>
    </row>
    <row r="121" spans="1:11" ht="31.5" hidden="1">
      <c r="A121" s="33" t="s">
        <v>907</v>
      </c>
      <c r="B121" s="21" t="s">
        <v>159</v>
      </c>
      <c r="C121" s="21" t="s">
        <v>181</v>
      </c>
      <c r="D121" s="21" t="s">
        <v>906</v>
      </c>
      <c r="E121" s="21"/>
      <c r="F121" s="11">
        <f aca="true" t="shared" si="44" ref="F121:H122">F122</f>
        <v>0</v>
      </c>
      <c r="G121" s="11">
        <f t="shared" si="44"/>
        <v>0</v>
      </c>
      <c r="H121" s="11" t="e">
        <f t="shared" si="44"/>
        <v>#REF!</v>
      </c>
      <c r="I121" s="11" t="e">
        <f aca="true" t="shared" si="45" ref="I121:K122">I122</f>
        <v>#REF!</v>
      </c>
      <c r="J121" s="11" t="e">
        <f t="shared" si="45"/>
        <v>#REF!</v>
      </c>
      <c r="K121" s="11">
        <f t="shared" si="45"/>
        <v>0</v>
      </c>
    </row>
    <row r="122" spans="1:11" ht="31.5" hidden="1">
      <c r="A122" s="26" t="s">
        <v>172</v>
      </c>
      <c r="B122" s="21" t="s">
        <v>159</v>
      </c>
      <c r="C122" s="21" t="s">
        <v>181</v>
      </c>
      <c r="D122" s="21" t="s">
        <v>906</v>
      </c>
      <c r="E122" s="21" t="s">
        <v>173</v>
      </c>
      <c r="F122" s="11">
        <f t="shared" si="44"/>
        <v>0</v>
      </c>
      <c r="G122" s="11">
        <f t="shared" si="44"/>
        <v>0</v>
      </c>
      <c r="H122" s="11" t="e">
        <f t="shared" si="44"/>
        <v>#REF!</v>
      </c>
      <c r="I122" s="11" t="e">
        <f t="shared" si="45"/>
        <v>#REF!</v>
      </c>
      <c r="J122" s="11" t="e">
        <f t="shared" si="45"/>
        <v>#REF!</v>
      </c>
      <c r="K122" s="11">
        <f t="shared" si="45"/>
        <v>0</v>
      </c>
    </row>
    <row r="123" spans="1:11" ht="47.25" hidden="1">
      <c r="A123" s="26" t="s">
        <v>174</v>
      </c>
      <c r="B123" s="21" t="s">
        <v>159</v>
      </c>
      <c r="C123" s="21" t="s">
        <v>181</v>
      </c>
      <c r="D123" s="21" t="s">
        <v>906</v>
      </c>
      <c r="E123" s="21" t="s">
        <v>175</v>
      </c>
      <c r="F123" s="11">
        <v>0</v>
      </c>
      <c r="G123" s="11">
        <v>0</v>
      </c>
      <c r="H123" s="11" t="e">
        <f>#REF!</f>
        <v>#REF!</v>
      </c>
      <c r="I123" s="11" t="e">
        <f>#REF!</f>
        <v>#REF!</v>
      </c>
      <c r="J123" s="11" t="e">
        <f>#REF!</f>
        <v>#REF!</v>
      </c>
      <c r="K123" s="11">
        <f>'Прил.№5 ведомств.'!G682</f>
        <v>0</v>
      </c>
    </row>
    <row r="124" spans="1:11" ht="31.5" hidden="1">
      <c r="A124" s="33" t="s">
        <v>904</v>
      </c>
      <c r="B124" s="21" t="s">
        <v>159</v>
      </c>
      <c r="C124" s="21" t="s">
        <v>181</v>
      </c>
      <c r="D124" s="21" t="s">
        <v>901</v>
      </c>
      <c r="E124" s="21"/>
      <c r="F124" s="11">
        <f aca="true" t="shared" si="46" ref="F124:H125">F125</f>
        <v>0</v>
      </c>
      <c r="G124" s="11">
        <f t="shared" si="46"/>
        <v>0</v>
      </c>
      <c r="H124" s="11" t="e">
        <f t="shared" si="46"/>
        <v>#REF!</v>
      </c>
      <c r="I124" s="11" t="e">
        <f aca="true" t="shared" si="47" ref="I124:K125">I125</f>
        <v>#REF!</v>
      </c>
      <c r="J124" s="11" t="e">
        <f t="shared" si="47"/>
        <v>#REF!</v>
      </c>
      <c r="K124" s="11">
        <f t="shared" si="47"/>
        <v>0</v>
      </c>
    </row>
    <row r="125" spans="1:11" ht="31.5" hidden="1">
      <c r="A125" s="26" t="s">
        <v>172</v>
      </c>
      <c r="B125" s="21" t="s">
        <v>159</v>
      </c>
      <c r="C125" s="21" t="s">
        <v>181</v>
      </c>
      <c r="D125" s="21" t="s">
        <v>901</v>
      </c>
      <c r="E125" s="21" t="s">
        <v>173</v>
      </c>
      <c r="F125" s="11">
        <f t="shared" si="46"/>
        <v>0</v>
      </c>
      <c r="G125" s="11">
        <f t="shared" si="46"/>
        <v>0</v>
      </c>
      <c r="H125" s="11" t="e">
        <f t="shared" si="46"/>
        <v>#REF!</v>
      </c>
      <c r="I125" s="11" t="e">
        <f t="shared" si="47"/>
        <v>#REF!</v>
      </c>
      <c r="J125" s="11" t="e">
        <f t="shared" si="47"/>
        <v>#REF!</v>
      </c>
      <c r="K125" s="11">
        <f t="shared" si="47"/>
        <v>0</v>
      </c>
    </row>
    <row r="126" spans="1:11" ht="47.25" hidden="1">
      <c r="A126" s="26" t="s">
        <v>174</v>
      </c>
      <c r="B126" s="21" t="s">
        <v>159</v>
      </c>
      <c r="C126" s="21" t="s">
        <v>181</v>
      </c>
      <c r="D126" s="21" t="s">
        <v>901</v>
      </c>
      <c r="E126" s="21" t="s">
        <v>175</v>
      </c>
      <c r="F126" s="11">
        <v>0</v>
      </c>
      <c r="G126" s="11">
        <v>0</v>
      </c>
      <c r="H126" s="11" t="e">
        <f>#REF!</f>
        <v>#REF!</v>
      </c>
      <c r="I126" s="11" t="e">
        <f>#REF!</f>
        <v>#REF!</v>
      </c>
      <c r="J126" s="11" t="e">
        <f>#REF!</f>
        <v>#REF!</v>
      </c>
      <c r="K126" s="11">
        <f>'Прил.№5 ведомств.'!G271</f>
        <v>0</v>
      </c>
    </row>
    <row r="127" spans="1:11" ht="63">
      <c r="A127" s="31" t="s">
        <v>782</v>
      </c>
      <c r="B127" s="10" t="s">
        <v>159</v>
      </c>
      <c r="C127" s="10" t="s">
        <v>181</v>
      </c>
      <c r="D127" s="21" t="s">
        <v>780</v>
      </c>
      <c r="E127" s="34"/>
      <c r="F127" s="11" t="e">
        <f>F128</f>
        <v>#REF!</v>
      </c>
      <c r="G127" s="11" t="e">
        <f aca="true" t="shared" si="48" ref="G127:K129">G128</f>
        <v>#REF!</v>
      </c>
      <c r="H127" s="11" t="e">
        <f t="shared" si="48"/>
        <v>#REF!</v>
      </c>
      <c r="I127" s="11" t="e">
        <f t="shared" si="48"/>
        <v>#REF!</v>
      </c>
      <c r="J127" s="11" t="e">
        <f t="shared" si="48"/>
        <v>#REF!</v>
      </c>
      <c r="K127" s="11">
        <f>K128+K131+K134+K137</f>
        <v>45</v>
      </c>
    </row>
    <row r="128" spans="1:11" ht="47.25">
      <c r="A128" s="243" t="s">
        <v>911</v>
      </c>
      <c r="B128" s="10" t="s">
        <v>159</v>
      </c>
      <c r="C128" s="10" t="s">
        <v>181</v>
      </c>
      <c r="D128" s="21" t="s">
        <v>910</v>
      </c>
      <c r="E128" s="34"/>
      <c r="F128" s="11" t="e">
        <f>F129</f>
        <v>#REF!</v>
      </c>
      <c r="G128" s="11" t="e">
        <f t="shared" si="48"/>
        <v>#REF!</v>
      </c>
      <c r="H128" s="11" t="e">
        <f t="shared" si="48"/>
        <v>#REF!</v>
      </c>
      <c r="I128" s="11" t="e">
        <f t="shared" si="48"/>
        <v>#REF!</v>
      </c>
      <c r="J128" s="11" t="e">
        <f t="shared" si="48"/>
        <v>#REF!</v>
      </c>
      <c r="K128" s="11">
        <f t="shared" si="48"/>
        <v>30</v>
      </c>
    </row>
    <row r="129" spans="1:11" ht="31.5">
      <c r="A129" s="26" t="s">
        <v>172</v>
      </c>
      <c r="B129" s="10" t="s">
        <v>159</v>
      </c>
      <c r="C129" s="10" t="s">
        <v>181</v>
      </c>
      <c r="D129" s="21" t="s">
        <v>910</v>
      </c>
      <c r="E129" s="34" t="s">
        <v>173</v>
      </c>
      <c r="F129" s="11" t="e">
        <f>F130</f>
        <v>#REF!</v>
      </c>
      <c r="G129" s="11" t="e">
        <f t="shared" si="48"/>
        <v>#REF!</v>
      </c>
      <c r="H129" s="11" t="e">
        <f t="shared" si="48"/>
        <v>#REF!</v>
      </c>
      <c r="I129" s="11" t="e">
        <f t="shared" si="48"/>
        <v>#REF!</v>
      </c>
      <c r="J129" s="11" t="e">
        <f t="shared" si="48"/>
        <v>#REF!</v>
      </c>
      <c r="K129" s="11">
        <f t="shared" si="48"/>
        <v>30</v>
      </c>
    </row>
    <row r="130" spans="1:11" ht="47.25">
      <c r="A130" s="26" t="s">
        <v>174</v>
      </c>
      <c r="B130" s="10" t="s">
        <v>159</v>
      </c>
      <c r="C130" s="10" t="s">
        <v>181</v>
      </c>
      <c r="D130" s="21" t="s">
        <v>910</v>
      </c>
      <c r="E130" s="34" t="s">
        <v>175</v>
      </c>
      <c r="F130" s="11" t="e">
        <f>#REF!</f>
        <v>#REF!</v>
      </c>
      <c r="G130" s="11" t="e">
        <f>#REF!</f>
        <v>#REF!</v>
      </c>
      <c r="H130" s="11" t="e">
        <f>#REF!</f>
        <v>#REF!</v>
      </c>
      <c r="I130" s="11" t="e">
        <f>#REF!</f>
        <v>#REF!</v>
      </c>
      <c r="J130" s="11" t="e">
        <f>#REF!</f>
        <v>#REF!</v>
      </c>
      <c r="K130" s="11">
        <f>'Прил.№5 ведомств.'!G94+'Прил.№5 ведомств.'!G284</f>
        <v>30</v>
      </c>
    </row>
    <row r="131" spans="1:11" ht="31.5" hidden="1">
      <c r="A131" s="243" t="s">
        <v>914</v>
      </c>
      <c r="B131" s="21" t="s">
        <v>159</v>
      </c>
      <c r="C131" s="21" t="s">
        <v>181</v>
      </c>
      <c r="D131" s="21" t="s">
        <v>915</v>
      </c>
      <c r="E131" s="34"/>
      <c r="F131" s="11"/>
      <c r="G131" s="11"/>
      <c r="H131" s="11"/>
      <c r="I131" s="11"/>
      <c r="J131" s="11"/>
      <c r="K131" s="11">
        <f>K132</f>
        <v>0</v>
      </c>
    </row>
    <row r="132" spans="1:11" ht="31.5" hidden="1">
      <c r="A132" s="26" t="s">
        <v>172</v>
      </c>
      <c r="B132" s="21" t="s">
        <v>159</v>
      </c>
      <c r="C132" s="21" t="s">
        <v>181</v>
      </c>
      <c r="D132" s="21" t="s">
        <v>915</v>
      </c>
      <c r="E132" s="34" t="s">
        <v>173</v>
      </c>
      <c r="F132" s="11"/>
      <c r="G132" s="11"/>
      <c r="H132" s="11"/>
      <c r="I132" s="11"/>
      <c r="J132" s="11"/>
      <c r="K132" s="11">
        <f>K133</f>
        <v>0</v>
      </c>
    </row>
    <row r="133" spans="1:11" ht="47.25" hidden="1">
      <c r="A133" s="26" t="s">
        <v>174</v>
      </c>
      <c r="B133" s="21" t="s">
        <v>159</v>
      </c>
      <c r="C133" s="21" t="s">
        <v>181</v>
      </c>
      <c r="D133" s="21" t="s">
        <v>915</v>
      </c>
      <c r="E133" s="34" t="s">
        <v>175</v>
      </c>
      <c r="F133" s="11"/>
      <c r="G133" s="11"/>
      <c r="H133" s="11"/>
      <c r="I133" s="11"/>
      <c r="J133" s="11"/>
      <c r="K133" s="11">
        <f>'Прил.№5 ведомств.'!G1306</f>
        <v>0</v>
      </c>
    </row>
    <row r="134" spans="1:11" ht="33.75" customHeight="1">
      <c r="A134" s="243" t="s">
        <v>913</v>
      </c>
      <c r="B134" s="21" t="s">
        <v>159</v>
      </c>
      <c r="C134" s="21" t="s">
        <v>181</v>
      </c>
      <c r="D134" s="21" t="s">
        <v>912</v>
      </c>
      <c r="E134" s="34"/>
      <c r="F134" s="11" t="e">
        <f>F135</f>
        <v>#REF!</v>
      </c>
      <c r="G134" s="11" t="e">
        <f aca="true" t="shared" si="49" ref="G134:K135">G135</f>
        <v>#REF!</v>
      </c>
      <c r="H134" s="11" t="e">
        <f t="shared" si="49"/>
        <v>#REF!</v>
      </c>
      <c r="I134" s="11" t="e">
        <f t="shared" si="49"/>
        <v>#REF!</v>
      </c>
      <c r="J134" s="11" t="e">
        <f t="shared" si="49"/>
        <v>#REF!</v>
      </c>
      <c r="K134" s="11">
        <f t="shared" si="49"/>
        <v>15</v>
      </c>
    </row>
    <row r="135" spans="1:11" ht="31.5" customHeight="1">
      <c r="A135" s="26" t="s">
        <v>172</v>
      </c>
      <c r="B135" s="21" t="s">
        <v>159</v>
      </c>
      <c r="C135" s="21" t="s">
        <v>181</v>
      </c>
      <c r="D135" s="21" t="s">
        <v>912</v>
      </c>
      <c r="E135" s="34" t="s">
        <v>173</v>
      </c>
      <c r="F135" s="11" t="e">
        <f>F136</f>
        <v>#REF!</v>
      </c>
      <c r="G135" s="11" t="e">
        <f t="shared" si="49"/>
        <v>#REF!</v>
      </c>
      <c r="H135" s="11" t="e">
        <f t="shared" si="49"/>
        <v>#REF!</v>
      </c>
      <c r="I135" s="11" t="e">
        <f t="shared" si="49"/>
        <v>#REF!</v>
      </c>
      <c r="J135" s="11" t="e">
        <f t="shared" si="49"/>
        <v>#REF!</v>
      </c>
      <c r="K135" s="11">
        <f t="shared" si="49"/>
        <v>15</v>
      </c>
    </row>
    <row r="136" spans="1:11" ht="47.25" customHeight="1">
      <c r="A136" s="26" t="s">
        <v>174</v>
      </c>
      <c r="B136" s="21" t="s">
        <v>159</v>
      </c>
      <c r="C136" s="21" t="s">
        <v>181</v>
      </c>
      <c r="D136" s="21" t="s">
        <v>912</v>
      </c>
      <c r="E136" s="34" t="s">
        <v>175</v>
      </c>
      <c r="F136" s="11" t="e">
        <f>#REF!</f>
        <v>#REF!</v>
      </c>
      <c r="G136" s="11" t="e">
        <f>#REF!</f>
        <v>#REF!</v>
      </c>
      <c r="H136" s="11" t="e">
        <f>#REF!</f>
        <v>#REF!</v>
      </c>
      <c r="I136" s="11" t="e">
        <f>#REF!</f>
        <v>#REF!</v>
      </c>
      <c r="J136" s="11" t="e">
        <f>#REF!</f>
        <v>#REF!</v>
      </c>
      <c r="K136" s="11">
        <f>'Прил.№5 ведомств.'!G100</f>
        <v>15</v>
      </c>
    </row>
    <row r="137" spans="1:11" ht="47.25" hidden="1">
      <c r="A137" s="26" t="s">
        <v>922</v>
      </c>
      <c r="B137" s="21" t="s">
        <v>159</v>
      </c>
      <c r="C137" s="21" t="s">
        <v>181</v>
      </c>
      <c r="D137" s="21" t="s">
        <v>923</v>
      </c>
      <c r="E137" s="34"/>
      <c r="F137" s="11"/>
      <c r="G137" s="11"/>
      <c r="H137" s="11"/>
      <c r="I137" s="11"/>
      <c r="J137" s="11"/>
      <c r="K137" s="11">
        <f>K138</f>
        <v>0</v>
      </c>
    </row>
    <row r="138" spans="1:11" ht="47.25" hidden="1">
      <c r="A138" s="108" t="s">
        <v>313</v>
      </c>
      <c r="B138" s="21" t="s">
        <v>159</v>
      </c>
      <c r="C138" s="21" t="s">
        <v>181</v>
      </c>
      <c r="D138" s="21" t="s">
        <v>923</v>
      </c>
      <c r="E138" s="34" t="s">
        <v>314</v>
      </c>
      <c r="F138" s="11"/>
      <c r="G138" s="11"/>
      <c r="H138" s="11"/>
      <c r="I138" s="11"/>
      <c r="J138" s="11"/>
      <c r="K138" s="11">
        <f>K139</f>
        <v>0</v>
      </c>
    </row>
    <row r="139" spans="1:11" ht="15.75" hidden="1">
      <c r="A139" s="108" t="s">
        <v>315</v>
      </c>
      <c r="B139" s="21" t="s">
        <v>159</v>
      </c>
      <c r="C139" s="21" t="s">
        <v>181</v>
      </c>
      <c r="D139" s="21" t="s">
        <v>923</v>
      </c>
      <c r="E139" s="34" t="s">
        <v>316</v>
      </c>
      <c r="F139" s="11"/>
      <c r="G139" s="11"/>
      <c r="H139" s="11"/>
      <c r="I139" s="11"/>
      <c r="J139" s="11"/>
      <c r="K139" s="11">
        <f>'Прил.№5 ведомств.'!G287+'Прил.№5 ведомств.'!G691+'Прил.№5 ведомств.'!G906</f>
        <v>0</v>
      </c>
    </row>
    <row r="140" spans="1:11" ht="63">
      <c r="A140" s="108" t="s">
        <v>924</v>
      </c>
      <c r="B140" s="21" t="s">
        <v>159</v>
      </c>
      <c r="C140" s="21" t="s">
        <v>181</v>
      </c>
      <c r="D140" s="21" t="s">
        <v>928</v>
      </c>
      <c r="E140" s="34"/>
      <c r="F140" s="11"/>
      <c r="G140" s="11"/>
      <c r="H140" s="11"/>
      <c r="I140" s="11"/>
      <c r="J140" s="11"/>
      <c r="K140" s="11">
        <f>K141</f>
        <v>4932.3</v>
      </c>
    </row>
    <row r="141" spans="1:11" ht="31.5">
      <c r="A141" s="108" t="s">
        <v>954</v>
      </c>
      <c r="B141" s="21" t="s">
        <v>159</v>
      </c>
      <c r="C141" s="21" t="s">
        <v>181</v>
      </c>
      <c r="D141" s="21" t="s">
        <v>1063</v>
      </c>
      <c r="E141" s="34"/>
      <c r="F141" s="11"/>
      <c r="G141" s="11"/>
      <c r="H141" s="11"/>
      <c r="I141" s="11"/>
      <c r="J141" s="11"/>
      <c r="K141" s="11">
        <f>K142</f>
        <v>4932.3</v>
      </c>
    </row>
    <row r="142" spans="1:11" ht="31.5">
      <c r="A142" s="108" t="s">
        <v>172</v>
      </c>
      <c r="B142" s="21" t="s">
        <v>159</v>
      </c>
      <c r="C142" s="21" t="s">
        <v>181</v>
      </c>
      <c r="D142" s="21" t="s">
        <v>1063</v>
      </c>
      <c r="E142" s="34" t="s">
        <v>173</v>
      </c>
      <c r="F142" s="11"/>
      <c r="G142" s="11"/>
      <c r="H142" s="11"/>
      <c r="I142" s="11"/>
      <c r="J142" s="11"/>
      <c r="K142" s="11">
        <f>K143</f>
        <v>4932.3</v>
      </c>
    </row>
    <row r="143" spans="1:11" ht="47.25">
      <c r="A143" s="108" t="s">
        <v>174</v>
      </c>
      <c r="B143" s="21" t="s">
        <v>159</v>
      </c>
      <c r="C143" s="21" t="s">
        <v>181</v>
      </c>
      <c r="D143" s="21" t="s">
        <v>1063</v>
      </c>
      <c r="E143" s="34" t="s">
        <v>175</v>
      </c>
      <c r="F143" s="11"/>
      <c r="G143" s="11"/>
      <c r="H143" s="11"/>
      <c r="I143" s="11"/>
      <c r="J143" s="11"/>
      <c r="K143" s="11">
        <f>'Прил.№5 ведомств.'!G633</f>
        <v>4932.3</v>
      </c>
    </row>
    <row r="144" spans="1:11" ht="78.75">
      <c r="A144" s="31" t="s">
        <v>1046</v>
      </c>
      <c r="B144" s="10" t="s">
        <v>159</v>
      </c>
      <c r="C144" s="10" t="s">
        <v>181</v>
      </c>
      <c r="D144" s="6" t="s">
        <v>1043</v>
      </c>
      <c r="E144" s="10"/>
      <c r="F144" s="27">
        <f>F145</f>
        <v>20</v>
      </c>
      <c r="G144" s="11"/>
      <c r="H144" s="11"/>
      <c r="I144" s="11"/>
      <c r="J144" s="11"/>
      <c r="K144" s="11">
        <f>K145</f>
        <v>20</v>
      </c>
    </row>
    <row r="145" spans="1:11" ht="31.5">
      <c r="A145" s="119" t="s">
        <v>212</v>
      </c>
      <c r="B145" s="10" t="s">
        <v>159</v>
      </c>
      <c r="C145" s="10" t="s">
        <v>181</v>
      </c>
      <c r="D145" s="6" t="s">
        <v>1047</v>
      </c>
      <c r="E145" s="10"/>
      <c r="F145" s="27">
        <f>F146</f>
        <v>20</v>
      </c>
      <c r="G145" s="11"/>
      <c r="H145" s="11"/>
      <c r="I145" s="11"/>
      <c r="J145" s="11"/>
      <c r="K145" s="11">
        <f>K146</f>
        <v>20</v>
      </c>
    </row>
    <row r="146" spans="1:11" ht="31.5">
      <c r="A146" s="26" t="s">
        <v>172</v>
      </c>
      <c r="B146" s="10" t="s">
        <v>159</v>
      </c>
      <c r="C146" s="10" t="s">
        <v>181</v>
      </c>
      <c r="D146" s="6" t="s">
        <v>1047</v>
      </c>
      <c r="E146" s="10" t="s">
        <v>173</v>
      </c>
      <c r="F146" s="27">
        <f>F147</f>
        <v>20</v>
      </c>
      <c r="G146" s="11"/>
      <c r="H146" s="11"/>
      <c r="I146" s="11"/>
      <c r="J146" s="11"/>
      <c r="K146" s="11">
        <f>K147</f>
        <v>20</v>
      </c>
    </row>
    <row r="147" spans="1:11" ht="47.25">
      <c r="A147" s="26" t="s">
        <v>174</v>
      </c>
      <c r="B147" s="10" t="s">
        <v>159</v>
      </c>
      <c r="C147" s="10" t="s">
        <v>181</v>
      </c>
      <c r="D147" s="6" t="s">
        <v>1047</v>
      </c>
      <c r="E147" s="10" t="s">
        <v>175</v>
      </c>
      <c r="F147" s="187">
        <v>20</v>
      </c>
      <c r="G147" s="11"/>
      <c r="H147" s="11"/>
      <c r="I147" s="11"/>
      <c r="J147" s="11"/>
      <c r="K147" s="11">
        <f>'Прил.№5 ведомств.'!G104</f>
        <v>20</v>
      </c>
    </row>
    <row r="148" spans="1:11" ht="15.75">
      <c r="A148" s="31" t="s">
        <v>162</v>
      </c>
      <c r="B148" s="42" t="s">
        <v>159</v>
      </c>
      <c r="C148" s="42" t="s">
        <v>181</v>
      </c>
      <c r="D148" s="42" t="s">
        <v>163</v>
      </c>
      <c r="E148" s="42"/>
      <c r="F148" s="7" t="e">
        <f aca="true" t="shared" si="50" ref="F148:K148">F149+F182+F206</f>
        <v>#REF!</v>
      </c>
      <c r="G148" s="7" t="e">
        <f t="shared" si="50"/>
        <v>#REF!</v>
      </c>
      <c r="H148" s="7" t="e">
        <f t="shared" si="50"/>
        <v>#REF!</v>
      </c>
      <c r="I148" s="7" t="e">
        <f t="shared" si="50"/>
        <v>#REF!</v>
      </c>
      <c r="J148" s="7" t="e">
        <f t="shared" si="50"/>
        <v>#REF!</v>
      </c>
      <c r="K148" s="7">
        <f t="shared" si="50"/>
        <v>61118.09999999999</v>
      </c>
    </row>
    <row r="149" spans="1:11" ht="31.5">
      <c r="A149" s="31" t="s">
        <v>226</v>
      </c>
      <c r="B149" s="42" t="s">
        <v>159</v>
      </c>
      <c r="C149" s="42" t="s">
        <v>181</v>
      </c>
      <c r="D149" s="42" t="s">
        <v>227</v>
      </c>
      <c r="E149" s="8"/>
      <c r="F149" s="11" t="e">
        <f>F158+F169+F172+F177+F153+F166+F163</f>
        <v>#REF!</v>
      </c>
      <c r="G149" s="11" t="e">
        <f>G158+G169+G172+G177+G153+G166+G163</f>
        <v>#REF!</v>
      </c>
      <c r="H149" s="11" t="e">
        <f>H158+H169+H172+H177+H153+H166+H163</f>
        <v>#REF!</v>
      </c>
      <c r="I149" s="11" t="e">
        <f>I158+I169+I172+I177+I153+I166+I163</f>
        <v>#REF!</v>
      </c>
      <c r="J149" s="11" t="e">
        <f>J158+J169+J172+J177+J153+J166+J163</f>
        <v>#REF!</v>
      </c>
      <c r="K149" s="11">
        <f>K158+K169+K172+K177+K153+K166+K163+K150</f>
        <v>3392.8</v>
      </c>
    </row>
    <row r="150" spans="1:11" ht="31.5" hidden="1">
      <c r="A150" s="26" t="s">
        <v>954</v>
      </c>
      <c r="B150" s="42" t="s">
        <v>159</v>
      </c>
      <c r="C150" s="42" t="s">
        <v>181</v>
      </c>
      <c r="D150" s="42" t="s">
        <v>955</v>
      </c>
      <c r="E150" s="8"/>
      <c r="F150" s="11"/>
      <c r="G150" s="11"/>
      <c r="H150" s="11"/>
      <c r="I150" s="11"/>
      <c r="J150" s="11"/>
      <c r="K150" s="11">
        <f>K151</f>
        <v>0</v>
      </c>
    </row>
    <row r="151" spans="1:11" ht="31.5" hidden="1">
      <c r="A151" s="26" t="s">
        <v>172</v>
      </c>
      <c r="B151" s="42" t="s">
        <v>159</v>
      </c>
      <c r="C151" s="42" t="s">
        <v>181</v>
      </c>
      <c r="D151" s="42" t="s">
        <v>955</v>
      </c>
      <c r="E151" s="42" t="s">
        <v>173</v>
      </c>
      <c r="F151" s="11"/>
      <c r="G151" s="11"/>
      <c r="H151" s="11"/>
      <c r="I151" s="11"/>
      <c r="J151" s="11"/>
      <c r="K151" s="11">
        <f>K152</f>
        <v>0</v>
      </c>
    </row>
    <row r="152" spans="1:11" ht="47.25" hidden="1">
      <c r="A152" s="26" t="s">
        <v>174</v>
      </c>
      <c r="B152" s="42" t="s">
        <v>159</v>
      </c>
      <c r="C152" s="42" t="s">
        <v>181</v>
      </c>
      <c r="D152" s="42" t="s">
        <v>955</v>
      </c>
      <c r="E152" s="42" t="s">
        <v>175</v>
      </c>
      <c r="F152" s="11"/>
      <c r="G152" s="11"/>
      <c r="H152" s="11"/>
      <c r="I152" s="11"/>
      <c r="J152" s="11"/>
      <c r="K152" s="11">
        <f>'Прил.№5 ведомств.'!G638</f>
        <v>0</v>
      </c>
    </row>
    <row r="153" spans="1:11" ht="47.25" customHeight="1" hidden="1">
      <c r="A153" s="26" t="s">
        <v>228</v>
      </c>
      <c r="B153" s="42" t="s">
        <v>159</v>
      </c>
      <c r="C153" s="42" t="s">
        <v>181</v>
      </c>
      <c r="D153" s="42" t="s">
        <v>229</v>
      </c>
      <c r="E153" s="8"/>
      <c r="F153" s="11">
        <f aca="true" t="shared" si="51" ref="F153:K153">F154+F156</f>
        <v>0</v>
      </c>
      <c r="G153" s="11">
        <f t="shared" si="51"/>
        <v>0</v>
      </c>
      <c r="H153" s="11">
        <f t="shared" si="51"/>
        <v>0</v>
      </c>
      <c r="I153" s="11">
        <f t="shared" si="51"/>
        <v>0</v>
      </c>
      <c r="J153" s="11">
        <f t="shared" si="51"/>
        <v>0</v>
      </c>
      <c r="K153" s="11">
        <f t="shared" si="51"/>
        <v>0</v>
      </c>
    </row>
    <row r="154" spans="1:11" ht="78.75" customHeight="1" hidden="1">
      <c r="A154" s="26" t="s">
        <v>168</v>
      </c>
      <c r="B154" s="42" t="s">
        <v>159</v>
      </c>
      <c r="C154" s="42" t="s">
        <v>181</v>
      </c>
      <c r="D154" s="42" t="s">
        <v>229</v>
      </c>
      <c r="E154" s="42" t="s">
        <v>169</v>
      </c>
      <c r="F154" s="11">
        <f aca="true" t="shared" si="52" ref="F154:K154">F155</f>
        <v>0</v>
      </c>
      <c r="G154" s="11">
        <f t="shared" si="52"/>
        <v>0</v>
      </c>
      <c r="H154" s="11">
        <f t="shared" si="52"/>
        <v>0</v>
      </c>
      <c r="I154" s="11">
        <f t="shared" si="52"/>
        <v>0</v>
      </c>
      <c r="J154" s="11">
        <f t="shared" si="52"/>
        <v>0</v>
      </c>
      <c r="K154" s="11">
        <f t="shared" si="52"/>
        <v>0</v>
      </c>
    </row>
    <row r="155" spans="1:11" ht="31.5" customHeight="1" hidden="1">
      <c r="A155" s="26" t="s">
        <v>170</v>
      </c>
      <c r="B155" s="42" t="s">
        <v>159</v>
      </c>
      <c r="C155" s="42" t="s">
        <v>181</v>
      </c>
      <c r="D155" s="42" t="s">
        <v>229</v>
      </c>
      <c r="E155" s="42" t="s">
        <v>171</v>
      </c>
      <c r="F155" s="11"/>
      <c r="G155" s="11"/>
      <c r="H155" s="11"/>
      <c r="I155" s="11"/>
      <c r="J155" s="11"/>
      <c r="K155" s="11">
        <f>'Прил.№5 ведомств.'!G109</f>
        <v>0</v>
      </c>
    </row>
    <row r="156" spans="1:11" ht="31.5" customHeight="1" hidden="1">
      <c r="A156" s="26" t="s">
        <v>172</v>
      </c>
      <c r="B156" s="42" t="s">
        <v>159</v>
      </c>
      <c r="C156" s="42" t="s">
        <v>181</v>
      </c>
      <c r="D156" s="42" t="s">
        <v>229</v>
      </c>
      <c r="E156" s="42" t="s">
        <v>173</v>
      </c>
      <c r="F156" s="11">
        <f aca="true" t="shared" si="53" ref="F156:K156">F157</f>
        <v>0</v>
      </c>
      <c r="G156" s="11">
        <f t="shared" si="53"/>
        <v>0</v>
      </c>
      <c r="H156" s="11">
        <f t="shared" si="53"/>
        <v>0</v>
      </c>
      <c r="I156" s="11">
        <f t="shared" si="53"/>
        <v>0</v>
      </c>
      <c r="J156" s="11">
        <f t="shared" si="53"/>
        <v>0</v>
      </c>
      <c r="K156" s="11">
        <f t="shared" si="53"/>
        <v>0</v>
      </c>
    </row>
    <row r="157" spans="1:11" ht="47.25" customHeight="1" hidden="1">
      <c r="A157" s="26" t="s">
        <v>174</v>
      </c>
      <c r="B157" s="42" t="s">
        <v>159</v>
      </c>
      <c r="C157" s="42" t="s">
        <v>181</v>
      </c>
      <c r="D157" s="42" t="s">
        <v>229</v>
      </c>
      <c r="E157" s="42" t="s">
        <v>175</v>
      </c>
      <c r="F157" s="11"/>
      <c r="G157" s="11"/>
      <c r="H157" s="11"/>
      <c r="I157" s="11"/>
      <c r="J157" s="11"/>
      <c r="K157" s="11"/>
    </row>
    <row r="158" spans="1:11" ht="47.25">
      <c r="A158" s="47" t="s">
        <v>230</v>
      </c>
      <c r="B158" s="42" t="s">
        <v>159</v>
      </c>
      <c r="C158" s="42" t="s">
        <v>181</v>
      </c>
      <c r="D158" s="42" t="s">
        <v>231</v>
      </c>
      <c r="E158" s="42"/>
      <c r="F158" s="7" t="e">
        <f>F159</f>
        <v>#REF!</v>
      </c>
      <c r="G158" s="7" t="e">
        <f aca="true" t="shared" si="54" ref="G158:K159">G159</f>
        <v>#REF!</v>
      </c>
      <c r="H158" s="7" t="e">
        <f t="shared" si="54"/>
        <v>#REF!</v>
      </c>
      <c r="I158" s="7" t="e">
        <f t="shared" si="54"/>
        <v>#REF!</v>
      </c>
      <c r="J158" s="7" t="e">
        <f t="shared" si="54"/>
        <v>#REF!</v>
      </c>
      <c r="K158" s="7">
        <f>K159+K161</f>
        <v>741.4000000000001</v>
      </c>
    </row>
    <row r="159" spans="1:11" ht="78.75">
      <c r="A159" s="31" t="s">
        <v>168</v>
      </c>
      <c r="B159" s="42" t="s">
        <v>159</v>
      </c>
      <c r="C159" s="42" t="s">
        <v>181</v>
      </c>
      <c r="D159" s="42" t="s">
        <v>231</v>
      </c>
      <c r="E159" s="42" t="s">
        <v>169</v>
      </c>
      <c r="F159" s="7" t="e">
        <f>F160</f>
        <v>#REF!</v>
      </c>
      <c r="G159" s="7" t="e">
        <f t="shared" si="54"/>
        <v>#REF!</v>
      </c>
      <c r="H159" s="7" t="e">
        <f t="shared" si="54"/>
        <v>#REF!</v>
      </c>
      <c r="I159" s="7" t="e">
        <f t="shared" si="54"/>
        <v>#REF!</v>
      </c>
      <c r="J159" s="7" t="e">
        <f t="shared" si="54"/>
        <v>#REF!</v>
      </c>
      <c r="K159" s="7">
        <f t="shared" si="54"/>
        <v>528.7</v>
      </c>
    </row>
    <row r="160" spans="1:11" ht="31.5">
      <c r="A160" s="31" t="s">
        <v>170</v>
      </c>
      <c r="B160" s="42" t="s">
        <v>159</v>
      </c>
      <c r="C160" s="42" t="s">
        <v>181</v>
      </c>
      <c r="D160" s="42" t="s">
        <v>231</v>
      </c>
      <c r="E160" s="42" t="s">
        <v>171</v>
      </c>
      <c r="F160" s="7" t="e">
        <f>#REF!</f>
        <v>#REF!</v>
      </c>
      <c r="G160" s="7" t="e">
        <f>#REF!</f>
        <v>#REF!</v>
      </c>
      <c r="H160" s="7" t="e">
        <f>#REF!</f>
        <v>#REF!</v>
      </c>
      <c r="I160" s="7" t="e">
        <f>#REF!</f>
        <v>#REF!</v>
      </c>
      <c r="J160" s="7" t="e">
        <f>#REF!</f>
        <v>#REF!</v>
      </c>
      <c r="K160" s="7">
        <f>'Прил.№5 ведомств.'!G114</f>
        <v>528.7</v>
      </c>
    </row>
    <row r="161" spans="1:11" ht="31.5">
      <c r="A161" s="26" t="s">
        <v>172</v>
      </c>
      <c r="B161" s="42" t="s">
        <v>159</v>
      </c>
      <c r="C161" s="42" t="s">
        <v>181</v>
      </c>
      <c r="D161" s="42" t="s">
        <v>231</v>
      </c>
      <c r="E161" s="42" t="s">
        <v>173</v>
      </c>
      <c r="F161" s="7"/>
      <c r="G161" s="7"/>
      <c r="H161" s="7"/>
      <c r="I161" s="7"/>
      <c r="J161" s="7"/>
      <c r="K161" s="7">
        <f>K162</f>
        <v>212.7</v>
      </c>
    </row>
    <row r="162" spans="1:11" ht="47.25">
      <c r="A162" s="26" t="s">
        <v>174</v>
      </c>
      <c r="B162" s="42" t="s">
        <v>159</v>
      </c>
      <c r="C162" s="42" t="s">
        <v>181</v>
      </c>
      <c r="D162" s="42" t="s">
        <v>231</v>
      </c>
      <c r="E162" s="42" t="s">
        <v>175</v>
      </c>
      <c r="F162" s="7"/>
      <c r="G162" s="7"/>
      <c r="H162" s="7"/>
      <c r="I162" s="7"/>
      <c r="J162" s="7"/>
      <c r="K162" s="7">
        <f>'Прил.№5 ведомств.'!G116</f>
        <v>212.7</v>
      </c>
    </row>
    <row r="163" spans="1:11" ht="47.25">
      <c r="A163" s="26" t="s">
        <v>1195</v>
      </c>
      <c r="B163" s="42" t="s">
        <v>159</v>
      </c>
      <c r="C163" s="42" t="s">
        <v>181</v>
      </c>
      <c r="D163" s="42" t="s">
        <v>809</v>
      </c>
      <c r="E163" s="42"/>
      <c r="F163" s="7" t="e">
        <f>F164</f>
        <v>#REF!</v>
      </c>
      <c r="G163" s="7" t="e">
        <f aca="true" t="shared" si="55" ref="G163:K164">G164</f>
        <v>#REF!</v>
      </c>
      <c r="H163" s="7" t="e">
        <f t="shared" si="55"/>
        <v>#REF!</v>
      </c>
      <c r="I163" s="7" t="e">
        <f t="shared" si="55"/>
        <v>#REF!</v>
      </c>
      <c r="J163" s="7" t="e">
        <f t="shared" si="55"/>
        <v>#REF!</v>
      </c>
      <c r="K163" s="7">
        <f t="shared" si="55"/>
        <v>136</v>
      </c>
    </row>
    <row r="164" spans="1:11" ht="31.5">
      <c r="A164" s="26" t="s">
        <v>172</v>
      </c>
      <c r="B164" s="42" t="s">
        <v>159</v>
      </c>
      <c r="C164" s="42" t="s">
        <v>181</v>
      </c>
      <c r="D164" s="42" t="s">
        <v>809</v>
      </c>
      <c r="E164" s="42" t="s">
        <v>173</v>
      </c>
      <c r="F164" s="7" t="e">
        <f>F165</f>
        <v>#REF!</v>
      </c>
      <c r="G164" s="7" t="e">
        <f t="shared" si="55"/>
        <v>#REF!</v>
      </c>
      <c r="H164" s="7" t="e">
        <f t="shared" si="55"/>
        <v>#REF!</v>
      </c>
      <c r="I164" s="7" t="e">
        <f t="shared" si="55"/>
        <v>#REF!</v>
      </c>
      <c r="J164" s="7" t="e">
        <f t="shared" si="55"/>
        <v>#REF!</v>
      </c>
      <c r="K164" s="7">
        <f t="shared" si="55"/>
        <v>136</v>
      </c>
    </row>
    <row r="165" spans="1:11" ht="47.25">
      <c r="A165" s="26" t="s">
        <v>174</v>
      </c>
      <c r="B165" s="42" t="s">
        <v>159</v>
      </c>
      <c r="C165" s="42" t="s">
        <v>181</v>
      </c>
      <c r="D165" s="42" t="s">
        <v>809</v>
      </c>
      <c r="E165" s="42" t="s">
        <v>175</v>
      </c>
      <c r="F165" s="7" t="e">
        <f>#REF!</f>
        <v>#REF!</v>
      </c>
      <c r="G165" s="7" t="e">
        <f>#REF!</f>
        <v>#REF!</v>
      </c>
      <c r="H165" s="7" t="e">
        <f>#REF!</f>
        <v>#REF!</v>
      </c>
      <c r="I165" s="7" t="e">
        <f>#REF!</f>
        <v>#REF!</v>
      </c>
      <c r="J165" s="7" t="e">
        <f>#REF!</f>
        <v>#REF!</v>
      </c>
      <c r="K165" s="7">
        <f>'Прил.№5 ведомств.'!G291</f>
        <v>136</v>
      </c>
    </row>
    <row r="166" spans="1:11" ht="63">
      <c r="A166" s="33" t="s">
        <v>760</v>
      </c>
      <c r="B166" s="42" t="s">
        <v>159</v>
      </c>
      <c r="C166" s="42" t="s">
        <v>181</v>
      </c>
      <c r="D166" s="21" t="s">
        <v>762</v>
      </c>
      <c r="E166" s="42"/>
      <c r="F166" s="7" t="e">
        <f>F167</f>
        <v>#REF!</v>
      </c>
      <c r="G166" s="7" t="e">
        <f aca="true" t="shared" si="56" ref="G166:K167">G167</f>
        <v>#REF!</v>
      </c>
      <c r="H166" s="7" t="e">
        <f t="shared" si="56"/>
        <v>#REF!</v>
      </c>
      <c r="I166" s="7" t="e">
        <f t="shared" si="56"/>
        <v>#REF!</v>
      </c>
      <c r="J166" s="7" t="e">
        <f t="shared" si="56"/>
        <v>#REF!</v>
      </c>
      <c r="K166" s="7">
        <f t="shared" si="56"/>
        <v>25</v>
      </c>
    </row>
    <row r="167" spans="1:11" ht="31.5">
      <c r="A167" s="26" t="s">
        <v>172</v>
      </c>
      <c r="B167" s="42" t="s">
        <v>159</v>
      </c>
      <c r="C167" s="42" t="s">
        <v>181</v>
      </c>
      <c r="D167" s="21" t="s">
        <v>762</v>
      </c>
      <c r="E167" s="42" t="s">
        <v>173</v>
      </c>
      <c r="F167" s="7" t="e">
        <f>F168</f>
        <v>#REF!</v>
      </c>
      <c r="G167" s="7" t="e">
        <f t="shared" si="56"/>
        <v>#REF!</v>
      </c>
      <c r="H167" s="7" t="e">
        <f t="shared" si="56"/>
        <v>#REF!</v>
      </c>
      <c r="I167" s="7" t="e">
        <f t="shared" si="56"/>
        <v>#REF!</v>
      </c>
      <c r="J167" s="7" t="e">
        <f t="shared" si="56"/>
        <v>#REF!</v>
      </c>
      <c r="K167" s="7">
        <f t="shared" si="56"/>
        <v>25</v>
      </c>
    </row>
    <row r="168" spans="1:11" ht="47.25">
      <c r="A168" s="26" t="s">
        <v>174</v>
      </c>
      <c r="B168" s="42" t="s">
        <v>159</v>
      </c>
      <c r="C168" s="42" t="s">
        <v>181</v>
      </c>
      <c r="D168" s="21" t="s">
        <v>762</v>
      </c>
      <c r="E168" s="42" t="s">
        <v>175</v>
      </c>
      <c r="F168" s="7" t="e">
        <f>#REF!</f>
        <v>#REF!</v>
      </c>
      <c r="G168" s="7" t="e">
        <f>#REF!</f>
        <v>#REF!</v>
      </c>
      <c r="H168" s="7" t="e">
        <f>#REF!</f>
        <v>#REF!</v>
      </c>
      <c r="I168" s="7" t="e">
        <f>#REF!</f>
        <v>#REF!</v>
      </c>
      <c r="J168" s="7" t="e">
        <f>#REF!</f>
        <v>#REF!</v>
      </c>
      <c r="K168" s="7">
        <f>'Прил.№5 ведомств.'!G1299</f>
        <v>25</v>
      </c>
    </row>
    <row r="169" spans="1:11" ht="47.25">
      <c r="A169" s="33" t="s">
        <v>232</v>
      </c>
      <c r="B169" s="21" t="s">
        <v>159</v>
      </c>
      <c r="C169" s="21" t="s">
        <v>181</v>
      </c>
      <c r="D169" s="21" t="s">
        <v>233</v>
      </c>
      <c r="E169" s="21"/>
      <c r="F169" s="11" t="e">
        <f>F170</f>
        <v>#REF!</v>
      </c>
      <c r="G169" s="11" t="e">
        <f aca="true" t="shared" si="57" ref="G169:K170">G170</f>
        <v>#REF!</v>
      </c>
      <c r="H169" s="11" t="e">
        <f t="shared" si="57"/>
        <v>#REF!</v>
      </c>
      <c r="I169" s="11" t="e">
        <f t="shared" si="57"/>
        <v>#REF!</v>
      </c>
      <c r="J169" s="11" t="e">
        <f t="shared" si="57"/>
        <v>#REF!</v>
      </c>
      <c r="K169" s="11">
        <f t="shared" si="57"/>
        <v>40</v>
      </c>
    </row>
    <row r="170" spans="1:11" ht="31.5">
      <c r="A170" s="26" t="s">
        <v>172</v>
      </c>
      <c r="B170" s="21" t="s">
        <v>159</v>
      </c>
      <c r="C170" s="21" t="s">
        <v>181</v>
      </c>
      <c r="D170" s="21" t="s">
        <v>233</v>
      </c>
      <c r="E170" s="21" t="s">
        <v>173</v>
      </c>
      <c r="F170" s="11" t="e">
        <f>F171</f>
        <v>#REF!</v>
      </c>
      <c r="G170" s="11" t="e">
        <f t="shared" si="57"/>
        <v>#REF!</v>
      </c>
      <c r="H170" s="11" t="e">
        <f t="shared" si="57"/>
        <v>#REF!</v>
      </c>
      <c r="I170" s="11" t="e">
        <f t="shared" si="57"/>
        <v>#REF!</v>
      </c>
      <c r="J170" s="11" t="e">
        <f t="shared" si="57"/>
        <v>#REF!</v>
      </c>
      <c r="K170" s="11">
        <f t="shared" si="57"/>
        <v>40</v>
      </c>
    </row>
    <row r="171" spans="1:11" ht="47.25">
      <c r="A171" s="26" t="s">
        <v>174</v>
      </c>
      <c r="B171" s="21" t="s">
        <v>159</v>
      </c>
      <c r="C171" s="21" t="s">
        <v>181</v>
      </c>
      <c r="D171" s="21" t="s">
        <v>233</v>
      </c>
      <c r="E171" s="21" t="s">
        <v>175</v>
      </c>
      <c r="F171" s="11" t="e">
        <f>#REF!</f>
        <v>#REF!</v>
      </c>
      <c r="G171" s="11" t="e">
        <f>#REF!</f>
        <v>#REF!</v>
      </c>
      <c r="H171" s="11" t="e">
        <f>#REF!</f>
        <v>#REF!</v>
      </c>
      <c r="I171" s="11" t="e">
        <f>#REF!</f>
        <v>#REF!</v>
      </c>
      <c r="J171" s="11" t="e">
        <f>#REF!</f>
        <v>#REF!</v>
      </c>
      <c r="K171" s="11">
        <f>'Прил.№5 ведомств.'!G119</f>
        <v>40</v>
      </c>
    </row>
    <row r="172" spans="1:11" ht="47.25">
      <c r="A172" s="33" t="s">
        <v>235</v>
      </c>
      <c r="B172" s="42" t="s">
        <v>159</v>
      </c>
      <c r="C172" s="42" t="s">
        <v>181</v>
      </c>
      <c r="D172" s="42" t="s">
        <v>236</v>
      </c>
      <c r="E172" s="42"/>
      <c r="F172" s="7" t="e">
        <f>SUM(F173:F173)</f>
        <v>#REF!</v>
      </c>
      <c r="G172" s="7" t="e">
        <f>SUM(G173:G173)</f>
        <v>#REF!</v>
      </c>
      <c r="H172" s="7" t="e">
        <f>SUM(H173:H173)</f>
        <v>#REF!</v>
      </c>
      <c r="I172" s="7" t="e">
        <f>SUM(I173:I173)</f>
        <v>#REF!</v>
      </c>
      <c r="J172" s="7" t="e">
        <f>SUM(J173:J173)</f>
        <v>#REF!</v>
      </c>
      <c r="K172" s="7">
        <f>K173+K175</f>
        <v>1333.1</v>
      </c>
    </row>
    <row r="173" spans="1:11" ht="78.75">
      <c r="A173" s="31" t="s">
        <v>168</v>
      </c>
      <c r="B173" s="42" t="s">
        <v>159</v>
      </c>
      <c r="C173" s="42" t="s">
        <v>181</v>
      </c>
      <c r="D173" s="42" t="s">
        <v>236</v>
      </c>
      <c r="E173" s="42" t="s">
        <v>169</v>
      </c>
      <c r="F173" s="7" t="e">
        <f aca="true" t="shared" si="58" ref="F173:K173">F174</f>
        <v>#REF!</v>
      </c>
      <c r="G173" s="7" t="e">
        <f t="shared" si="58"/>
        <v>#REF!</v>
      </c>
      <c r="H173" s="7" t="e">
        <f t="shared" si="58"/>
        <v>#REF!</v>
      </c>
      <c r="I173" s="7" t="e">
        <f t="shared" si="58"/>
        <v>#REF!</v>
      </c>
      <c r="J173" s="7" t="e">
        <f t="shared" si="58"/>
        <v>#REF!</v>
      </c>
      <c r="K173" s="7">
        <f t="shared" si="58"/>
        <v>1271.8999999999999</v>
      </c>
    </row>
    <row r="174" spans="1:11" ht="31.5">
      <c r="A174" s="31" t="s">
        <v>170</v>
      </c>
      <c r="B174" s="42" t="s">
        <v>159</v>
      </c>
      <c r="C174" s="42" t="s">
        <v>181</v>
      </c>
      <c r="D174" s="42" t="s">
        <v>236</v>
      </c>
      <c r="E174" s="42" t="s">
        <v>171</v>
      </c>
      <c r="F174" s="7" t="e">
        <f>#REF!</f>
        <v>#REF!</v>
      </c>
      <c r="G174" s="7" t="e">
        <f>#REF!</f>
        <v>#REF!</v>
      </c>
      <c r="H174" s="7" t="e">
        <f>#REF!</f>
        <v>#REF!</v>
      </c>
      <c r="I174" s="7" t="e">
        <f>#REF!</f>
        <v>#REF!</v>
      </c>
      <c r="J174" s="7" t="e">
        <f>#REF!</f>
        <v>#REF!</v>
      </c>
      <c r="K174" s="7">
        <f>'Прил.№5 ведомств.'!G125</f>
        <v>1271.8999999999999</v>
      </c>
    </row>
    <row r="175" spans="1:11" ht="31.5">
      <c r="A175" s="26" t="s">
        <v>172</v>
      </c>
      <c r="B175" s="42" t="s">
        <v>159</v>
      </c>
      <c r="C175" s="42" t="s">
        <v>181</v>
      </c>
      <c r="D175" s="42" t="s">
        <v>236</v>
      </c>
      <c r="E175" s="42" t="s">
        <v>173</v>
      </c>
      <c r="F175" s="7"/>
      <c r="G175" s="7"/>
      <c r="H175" s="7"/>
      <c r="I175" s="7"/>
      <c r="J175" s="7"/>
      <c r="K175" s="7">
        <f>K176</f>
        <v>61.2</v>
      </c>
    </row>
    <row r="176" spans="1:11" ht="47.25">
      <c r="A176" s="26" t="s">
        <v>174</v>
      </c>
      <c r="B176" s="42" t="s">
        <v>159</v>
      </c>
      <c r="C176" s="42" t="s">
        <v>181</v>
      </c>
      <c r="D176" s="42" t="s">
        <v>236</v>
      </c>
      <c r="E176" s="42" t="s">
        <v>175</v>
      </c>
      <c r="F176" s="7"/>
      <c r="G176" s="7"/>
      <c r="H176" s="7"/>
      <c r="I176" s="7"/>
      <c r="J176" s="7"/>
      <c r="K176" s="7">
        <f>'Прил.№5 ведомств.'!G127</f>
        <v>61.2</v>
      </c>
    </row>
    <row r="177" spans="1:11" ht="47.25">
      <c r="A177" s="47" t="s">
        <v>237</v>
      </c>
      <c r="B177" s="42" t="s">
        <v>159</v>
      </c>
      <c r="C177" s="42" t="s">
        <v>181</v>
      </c>
      <c r="D177" s="42" t="s">
        <v>238</v>
      </c>
      <c r="E177" s="42"/>
      <c r="F177" s="7" t="e">
        <f aca="true" t="shared" si="59" ref="F177:K177">F178+F180</f>
        <v>#REF!</v>
      </c>
      <c r="G177" s="7" t="e">
        <f t="shared" si="59"/>
        <v>#REF!</v>
      </c>
      <c r="H177" s="7" t="e">
        <f t="shared" si="59"/>
        <v>#REF!</v>
      </c>
      <c r="I177" s="7" t="e">
        <f t="shared" si="59"/>
        <v>#REF!</v>
      </c>
      <c r="J177" s="7" t="e">
        <f t="shared" si="59"/>
        <v>#REF!</v>
      </c>
      <c r="K177" s="7">
        <f t="shared" si="59"/>
        <v>1117.3</v>
      </c>
    </row>
    <row r="178" spans="1:11" ht="78.75">
      <c r="A178" s="31" t="s">
        <v>168</v>
      </c>
      <c r="B178" s="42" t="s">
        <v>159</v>
      </c>
      <c r="C178" s="42" t="s">
        <v>181</v>
      </c>
      <c r="D178" s="42" t="s">
        <v>238</v>
      </c>
      <c r="E178" s="42" t="s">
        <v>169</v>
      </c>
      <c r="F178" s="7" t="e">
        <f aca="true" t="shared" si="60" ref="F178:K178">F179</f>
        <v>#REF!</v>
      </c>
      <c r="G178" s="7" t="e">
        <f t="shared" si="60"/>
        <v>#REF!</v>
      </c>
      <c r="H178" s="7" t="e">
        <f t="shared" si="60"/>
        <v>#REF!</v>
      </c>
      <c r="I178" s="7" t="e">
        <f t="shared" si="60"/>
        <v>#REF!</v>
      </c>
      <c r="J178" s="7" t="e">
        <f t="shared" si="60"/>
        <v>#REF!</v>
      </c>
      <c r="K178" s="7">
        <f t="shared" si="60"/>
        <v>1100.5</v>
      </c>
    </row>
    <row r="179" spans="1:11" ht="31.5">
      <c r="A179" s="31" t="s">
        <v>170</v>
      </c>
      <c r="B179" s="42" t="s">
        <v>159</v>
      </c>
      <c r="C179" s="42" t="s">
        <v>181</v>
      </c>
      <c r="D179" s="42" t="s">
        <v>238</v>
      </c>
      <c r="E179" s="42" t="s">
        <v>171</v>
      </c>
      <c r="F179" s="7" t="e">
        <f>#REF!</f>
        <v>#REF!</v>
      </c>
      <c r="G179" s="7" t="e">
        <f>#REF!</f>
        <v>#REF!</v>
      </c>
      <c r="H179" s="7" t="e">
        <f>#REF!</f>
        <v>#REF!</v>
      </c>
      <c r="I179" s="7" t="e">
        <f>#REF!</f>
        <v>#REF!</v>
      </c>
      <c r="J179" s="7" t="e">
        <f>#REF!</f>
        <v>#REF!</v>
      </c>
      <c r="K179" s="7">
        <f>'Прил.№5 ведомств.'!G130</f>
        <v>1100.5</v>
      </c>
    </row>
    <row r="180" spans="1:11" ht="31.5">
      <c r="A180" s="31" t="s">
        <v>172</v>
      </c>
      <c r="B180" s="42" t="s">
        <v>159</v>
      </c>
      <c r="C180" s="42" t="s">
        <v>181</v>
      </c>
      <c r="D180" s="42" t="s">
        <v>238</v>
      </c>
      <c r="E180" s="42" t="s">
        <v>173</v>
      </c>
      <c r="F180" s="7" t="e">
        <f aca="true" t="shared" si="61" ref="F180:K180">F181</f>
        <v>#REF!</v>
      </c>
      <c r="G180" s="7" t="e">
        <f t="shared" si="61"/>
        <v>#REF!</v>
      </c>
      <c r="H180" s="7" t="e">
        <f t="shared" si="61"/>
        <v>#REF!</v>
      </c>
      <c r="I180" s="7" t="e">
        <f t="shared" si="61"/>
        <v>#REF!</v>
      </c>
      <c r="J180" s="7" t="e">
        <f t="shared" si="61"/>
        <v>#REF!</v>
      </c>
      <c r="K180" s="7">
        <f t="shared" si="61"/>
        <v>16.800000000000004</v>
      </c>
    </row>
    <row r="181" spans="1:11" ht="47.25">
      <c r="A181" s="31" t="s">
        <v>174</v>
      </c>
      <c r="B181" s="42" t="s">
        <v>159</v>
      </c>
      <c r="C181" s="42" t="s">
        <v>181</v>
      </c>
      <c r="D181" s="42" t="s">
        <v>238</v>
      </c>
      <c r="E181" s="42" t="s">
        <v>175</v>
      </c>
      <c r="F181" s="7" t="e">
        <f>#REF!</f>
        <v>#REF!</v>
      </c>
      <c r="G181" s="7" t="e">
        <f>#REF!</f>
        <v>#REF!</v>
      </c>
      <c r="H181" s="7" t="e">
        <f>#REF!</f>
        <v>#REF!</v>
      </c>
      <c r="I181" s="7" t="e">
        <f>#REF!</f>
        <v>#REF!</v>
      </c>
      <c r="J181" s="7" t="e">
        <f>#REF!</f>
        <v>#REF!</v>
      </c>
      <c r="K181" s="7">
        <f>'Прил.№5 ведомств.'!G132</f>
        <v>16.800000000000004</v>
      </c>
    </row>
    <row r="182" spans="1:11" ht="15.75">
      <c r="A182" s="31" t="s">
        <v>182</v>
      </c>
      <c r="B182" s="42" t="s">
        <v>159</v>
      </c>
      <c r="C182" s="42" t="s">
        <v>181</v>
      </c>
      <c r="D182" s="42" t="s">
        <v>183</v>
      </c>
      <c r="E182" s="42"/>
      <c r="F182" s="7" t="e">
        <f>F183+F186+F189+F194+F202</f>
        <v>#REF!</v>
      </c>
      <c r="G182" s="7" t="e">
        <f>G183+G186+G189+G194+G202</f>
        <v>#REF!</v>
      </c>
      <c r="H182" s="7" t="e">
        <f>H183+H186+H189+H194+H202</f>
        <v>#REF!</v>
      </c>
      <c r="I182" s="7" t="e">
        <f>I183+I186+I189+I194+I202</f>
        <v>#REF!</v>
      </c>
      <c r="J182" s="7" t="e">
        <f>J183+J186+J189+J194+J202</f>
        <v>#REF!</v>
      </c>
      <c r="K182" s="7">
        <f>K183+K186+K189+K194+K202+K199</f>
        <v>11156.5</v>
      </c>
    </row>
    <row r="183" spans="1:11" ht="47.25">
      <c r="A183" s="31" t="s">
        <v>430</v>
      </c>
      <c r="B183" s="42" t="s">
        <v>159</v>
      </c>
      <c r="C183" s="42" t="s">
        <v>181</v>
      </c>
      <c r="D183" s="42" t="s">
        <v>431</v>
      </c>
      <c r="E183" s="42"/>
      <c r="F183" s="7" t="e">
        <f>F184</f>
        <v>#REF!</v>
      </c>
      <c r="G183" s="7" t="e">
        <f aca="true" t="shared" si="62" ref="G183:K184">G184</f>
        <v>#REF!</v>
      </c>
      <c r="H183" s="7" t="e">
        <f t="shared" si="62"/>
        <v>#REF!</v>
      </c>
      <c r="I183" s="7" t="e">
        <f t="shared" si="62"/>
        <v>#REF!</v>
      </c>
      <c r="J183" s="7" t="e">
        <f t="shared" si="62"/>
        <v>#REF!</v>
      </c>
      <c r="K183" s="7">
        <f t="shared" si="62"/>
        <v>5088.799999999999</v>
      </c>
    </row>
    <row r="184" spans="1:11" ht="31.5">
      <c r="A184" s="31" t="s">
        <v>172</v>
      </c>
      <c r="B184" s="42" t="s">
        <v>159</v>
      </c>
      <c r="C184" s="42" t="s">
        <v>181</v>
      </c>
      <c r="D184" s="42" t="s">
        <v>431</v>
      </c>
      <c r="E184" s="42" t="s">
        <v>173</v>
      </c>
      <c r="F184" s="62" t="e">
        <f>F185</f>
        <v>#REF!</v>
      </c>
      <c r="G184" s="62" t="e">
        <f t="shared" si="62"/>
        <v>#REF!</v>
      </c>
      <c r="H184" s="62" t="e">
        <f t="shared" si="62"/>
        <v>#REF!</v>
      </c>
      <c r="I184" s="62" t="e">
        <f t="shared" si="62"/>
        <v>#REF!</v>
      </c>
      <c r="J184" s="62" t="e">
        <f t="shared" si="62"/>
        <v>#REF!</v>
      </c>
      <c r="K184" s="62">
        <f t="shared" si="62"/>
        <v>5088.799999999999</v>
      </c>
    </row>
    <row r="185" spans="1:12" ht="48" customHeight="1">
      <c r="A185" s="31" t="s">
        <v>174</v>
      </c>
      <c r="B185" s="42" t="s">
        <v>159</v>
      </c>
      <c r="C185" s="42" t="s">
        <v>181</v>
      </c>
      <c r="D185" s="42" t="s">
        <v>431</v>
      </c>
      <c r="E185" s="42" t="s">
        <v>175</v>
      </c>
      <c r="F185" s="62" t="e">
        <f>#REF!</f>
        <v>#REF!</v>
      </c>
      <c r="G185" s="62" t="e">
        <f>#REF!</f>
        <v>#REF!</v>
      </c>
      <c r="H185" s="62" t="e">
        <f>#REF!</f>
        <v>#REF!</v>
      </c>
      <c r="I185" s="62" t="e">
        <f>#REF!</f>
        <v>#REF!</v>
      </c>
      <c r="J185" s="62" t="e">
        <f>#REF!</f>
        <v>#REF!</v>
      </c>
      <c r="K185" s="62">
        <f>'Прил.№5 ведомств.'!G642</f>
        <v>5088.799999999999</v>
      </c>
      <c r="L185" s="23"/>
    </row>
    <row r="186" spans="1:11" ht="15.75" hidden="1">
      <c r="A186" s="26" t="s">
        <v>240</v>
      </c>
      <c r="B186" s="42" t="s">
        <v>159</v>
      </c>
      <c r="C186" s="42" t="s">
        <v>181</v>
      </c>
      <c r="D186" s="42" t="s">
        <v>241</v>
      </c>
      <c r="E186" s="42"/>
      <c r="F186" s="7" t="e">
        <f>F187</f>
        <v>#REF!</v>
      </c>
      <c r="G186" s="7" t="e">
        <f aca="true" t="shared" si="63" ref="G186:K187">G187</f>
        <v>#REF!</v>
      </c>
      <c r="H186" s="7" t="e">
        <f t="shared" si="63"/>
        <v>#REF!</v>
      </c>
      <c r="I186" s="7" t="e">
        <f t="shared" si="63"/>
        <v>#REF!</v>
      </c>
      <c r="J186" s="7" t="e">
        <f t="shared" si="63"/>
        <v>#REF!</v>
      </c>
      <c r="K186" s="7">
        <f t="shared" si="63"/>
        <v>0</v>
      </c>
    </row>
    <row r="187" spans="1:11" ht="15.75" hidden="1">
      <c r="A187" s="26" t="s">
        <v>176</v>
      </c>
      <c r="B187" s="42" t="s">
        <v>159</v>
      </c>
      <c r="C187" s="42" t="s">
        <v>181</v>
      </c>
      <c r="D187" s="42" t="s">
        <v>241</v>
      </c>
      <c r="E187" s="42" t="s">
        <v>186</v>
      </c>
      <c r="F187" s="7" t="e">
        <f>F188</f>
        <v>#REF!</v>
      </c>
      <c r="G187" s="7" t="e">
        <f t="shared" si="63"/>
        <v>#REF!</v>
      </c>
      <c r="H187" s="7" t="e">
        <f t="shared" si="63"/>
        <v>#REF!</v>
      </c>
      <c r="I187" s="7" t="e">
        <f t="shared" si="63"/>
        <v>#REF!</v>
      </c>
      <c r="J187" s="7" t="e">
        <f t="shared" si="63"/>
        <v>#REF!</v>
      </c>
      <c r="K187" s="7">
        <f t="shared" si="63"/>
        <v>0</v>
      </c>
    </row>
    <row r="188" spans="1:11" ht="15.75" hidden="1">
      <c r="A188" s="26" t="s">
        <v>1053</v>
      </c>
      <c r="B188" s="42" t="s">
        <v>159</v>
      </c>
      <c r="C188" s="42" t="s">
        <v>181</v>
      </c>
      <c r="D188" s="42" t="s">
        <v>241</v>
      </c>
      <c r="E188" s="42" t="s">
        <v>1054</v>
      </c>
      <c r="F188" s="7" t="e">
        <f>#REF!</f>
        <v>#REF!</v>
      </c>
      <c r="G188" s="7" t="e">
        <f>#REF!</f>
        <v>#REF!</v>
      </c>
      <c r="H188" s="7" t="e">
        <f>#REF!</f>
        <v>#REF!</v>
      </c>
      <c r="I188" s="7" t="e">
        <f>#REF!</f>
        <v>#REF!</v>
      </c>
      <c r="J188" s="7" t="e">
        <f>#REF!</f>
        <v>#REF!</v>
      </c>
      <c r="K188" s="7">
        <f>'Прил.№5 ведомств.'!G26</f>
        <v>0</v>
      </c>
    </row>
    <row r="189" spans="1:11" ht="15.75">
      <c r="A189" s="31" t="s">
        <v>247</v>
      </c>
      <c r="B189" s="42" t="s">
        <v>159</v>
      </c>
      <c r="C189" s="42" t="s">
        <v>181</v>
      </c>
      <c r="D189" s="42" t="s">
        <v>248</v>
      </c>
      <c r="E189" s="42"/>
      <c r="F189" s="7" t="e">
        <f aca="true" t="shared" si="64" ref="F189:K189">F190+F192</f>
        <v>#REF!</v>
      </c>
      <c r="G189" s="7" t="e">
        <f t="shared" si="64"/>
        <v>#REF!</v>
      </c>
      <c r="H189" s="7" t="e">
        <f t="shared" si="64"/>
        <v>#REF!</v>
      </c>
      <c r="I189" s="7" t="e">
        <f t="shared" si="64"/>
        <v>#REF!</v>
      </c>
      <c r="J189" s="7" t="e">
        <f t="shared" si="64"/>
        <v>#REF!</v>
      </c>
      <c r="K189" s="7">
        <f t="shared" si="64"/>
        <v>5612.6</v>
      </c>
    </row>
    <row r="190" spans="1:11" ht="78.75">
      <c r="A190" s="31" t="s">
        <v>168</v>
      </c>
      <c r="B190" s="42" t="s">
        <v>159</v>
      </c>
      <c r="C190" s="42" t="s">
        <v>181</v>
      </c>
      <c r="D190" s="42" t="s">
        <v>248</v>
      </c>
      <c r="E190" s="42" t="s">
        <v>169</v>
      </c>
      <c r="F190" s="7" t="e">
        <f aca="true" t="shared" si="65" ref="F190:K190">F191</f>
        <v>#REF!</v>
      </c>
      <c r="G190" s="7" t="e">
        <f t="shared" si="65"/>
        <v>#REF!</v>
      </c>
      <c r="H190" s="7" t="e">
        <f t="shared" si="65"/>
        <v>#REF!</v>
      </c>
      <c r="I190" s="7" t="e">
        <f t="shared" si="65"/>
        <v>#REF!</v>
      </c>
      <c r="J190" s="7" t="e">
        <f t="shared" si="65"/>
        <v>#REF!</v>
      </c>
      <c r="K190" s="7">
        <f t="shared" si="65"/>
        <v>4401.6</v>
      </c>
    </row>
    <row r="191" spans="1:11" ht="31.5">
      <c r="A191" s="26" t="s">
        <v>249</v>
      </c>
      <c r="B191" s="42" t="s">
        <v>159</v>
      </c>
      <c r="C191" s="42" t="s">
        <v>181</v>
      </c>
      <c r="D191" s="42" t="s">
        <v>248</v>
      </c>
      <c r="E191" s="42" t="s">
        <v>250</v>
      </c>
      <c r="F191" s="7" t="e">
        <f>#REF!</f>
        <v>#REF!</v>
      </c>
      <c r="G191" s="7" t="e">
        <f>#REF!</f>
        <v>#REF!</v>
      </c>
      <c r="H191" s="7" t="e">
        <f>#REF!</f>
        <v>#REF!</v>
      </c>
      <c r="I191" s="7" t="e">
        <f>#REF!</f>
        <v>#REF!</v>
      </c>
      <c r="J191" s="7" t="e">
        <f>#REF!</f>
        <v>#REF!</v>
      </c>
      <c r="K191" s="7">
        <f>'Прил.№5 ведомств.'!G148</f>
        <v>4401.6</v>
      </c>
    </row>
    <row r="192" spans="1:11" ht="31.5">
      <c r="A192" s="31" t="s">
        <v>172</v>
      </c>
      <c r="B192" s="42" t="s">
        <v>159</v>
      </c>
      <c r="C192" s="42" t="s">
        <v>181</v>
      </c>
      <c r="D192" s="42" t="s">
        <v>248</v>
      </c>
      <c r="E192" s="42" t="s">
        <v>173</v>
      </c>
      <c r="F192" s="62" t="e">
        <f aca="true" t="shared" si="66" ref="F192:K192">F193</f>
        <v>#REF!</v>
      </c>
      <c r="G192" s="62" t="e">
        <f t="shared" si="66"/>
        <v>#REF!</v>
      </c>
      <c r="H192" s="62" t="e">
        <f t="shared" si="66"/>
        <v>#REF!</v>
      </c>
      <c r="I192" s="62" t="e">
        <f t="shared" si="66"/>
        <v>#REF!</v>
      </c>
      <c r="J192" s="62" t="e">
        <f t="shared" si="66"/>
        <v>#REF!</v>
      </c>
      <c r="K192" s="62">
        <f t="shared" si="66"/>
        <v>1211</v>
      </c>
    </row>
    <row r="193" spans="1:11" ht="47.25">
      <c r="A193" s="31" t="s">
        <v>174</v>
      </c>
      <c r="B193" s="42" t="s">
        <v>159</v>
      </c>
      <c r="C193" s="42" t="s">
        <v>181</v>
      </c>
      <c r="D193" s="42" t="s">
        <v>248</v>
      </c>
      <c r="E193" s="42" t="s">
        <v>175</v>
      </c>
      <c r="F193" s="62" t="e">
        <f>#REF!</f>
        <v>#REF!</v>
      </c>
      <c r="G193" s="62" t="e">
        <f>#REF!</f>
        <v>#REF!</v>
      </c>
      <c r="H193" s="62" t="e">
        <f>#REF!</f>
        <v>#REF!</v>
      </c>
      <c r="I193" s="62" t="e">
        <f>#REF!</f>
        <v>#REF!</v>
      </c>
      <c r="J193" s="62" t="e">
        <f>#REF!</f>
        <v>#REF!</v>
      </c>
      <c r="K193" s="62">
        <f>'Прил.№5 ведомств.'!G150</f>
        <v>1211</v>
      </c>
    </row>
    <row r="194" spans="1:11" ht="47.25" hidden="1">
      <c r="A194" s="31" t="s">
        <v>251</v>
      </c>
      <c r="B194" s="42" t="s">
        <v>159</v>
      </c>
      <c r="C194" s="42" t="s">
        <v>181</v>
      </c>
      <c r="D194" s="42" t="s">
        <v>252</v>
      </c>
      <c r="E194" s="42"/>
      <c r="F194" s="7" t="e">
        <f aca="true" t="shared" si="67" ref="F194:K194">F195+F197</f>
        <v>#REF!</v>
      </c>
      <c r="G194" s="7" t="e">
        <f t="shared" si="67"/>
        <v>#REF!</v>
      </c>
      <c r="H194" s="7" t="e">
        <f t="shared" si="67"/>
        <v>#REF!</v>
      </c>
      <c r="I194" s="7" t="e">
        <f t="shared" si="67"/>
        <v>#REF!</v>
      </c>
      <c r="J194" s="7" t="e">
        <f t="shared" si="67"/>
        <v>#REF!</v>
      </c>
      <c r="K194" s="7">
        <f t="shared" si="67"/>
        <v>0</v>
      </c>
    </row>
    <row r="195" spans="1:11" ht="78.75" hidden="1">
      <c r="A195" s="31" t="s">
        <v>168</v>
      </c>
      <c r="B195" s="42" t="s">
        <v>159</v>
      </c>
      <c r="C195" s="42" t="s">
        <v>181</v>
      </c>
      <c r="D195" s="42" t="s">
        <v>252</v>
      </c>
      <c r="E195" s="42" t="s">
        <v>169</v>
      </c>
      <c r="F195" s="62" t="e">
        <f aca="true" t="shared" si="68" ref="F195:K195">F196</f>
        <v>#REF!</v>
      </c>
      <c r="G195" s="62" t="e">
        <f t="shared" si="68"/>
        <v>#REF!</v>
      </c>
      <c r="H195" s="62" t="e">
        <f t="shared" si="68"/>
        <v>#REF!</v>
      </c>
      <c r="I195" s="62" t="e">
        <f t="shared" si="68"/>
        <v>#REF!</v>
      </c>
      <c r="J195" s="62" t="e">
        <f t="shared" si="68"/>
        <v>#REF!</v>
      </c>
      <c r="K195" s="62">
        <f t="shared" si="68"/>
        <v>0</v>
      </c>
    </row>
    <row r="196" spans="1:11" ht="31.5" hidden="1">
      <c r="A196" s="31" t="s">
        <v>170</v>
      </c>
      <c r="B196" s="42" t="s">
        <v>159</v>
      </c>
      <c r="C196" s="42" t="s">
        <v>181</v>
      </c>
      <c r="D196" s="42" t="s">
        <v>252</v>
      </c>
      <c r="E196" s="42" t="s">
        <v>171</v>
      </c>
      <c r="F196" s="62" t="e">
        <f>#REF!</f>
        <v>#REF!</v>
      </c>
      <c r="G196" s="62" t="e">
        <f>#REF!</f>
        <v>#REF!</v>
      </c>
      <c r="H196" s="62" t="e">
        <f>#REF!</f>
        <v>#REF!</v>
      </c>
      <c r="I196" s="62" t="e">
        <f>#REF!</f>
        <v>#REF!</v>
      </c>
      <c r="J196" s="62" t="e">
        <f>#REF!</f>
        <v>#REF!</v>
      </c>
      <c r="K196" s="62">
        <f>'Прил.№5 ведомств.'!G153</f>
        <v>0</v>
      </c>
    </row>
    <row r="197" spans="1:11" ht="31.5" hidden="1">
      <c r="A197" s="31" t="s">
        <v>172</v>
      </c>
      <c r="B197" s="42" t="s">
        <v>159</v>
      </c>
      <c r="C197" s="42" t="s">
        <v>181</v>
      </c>
      <c r="D197" s="42" t="s">
        <v>252</v>
      </c>
      <c r="E197" s="42" t="s">
        <v>173</v>
      </c>
      <c r="F197" s="7" t="e">
        <f aca="true" t="shared" si="69" ref="F197:K197">F198</f>
        <v>#REF!</v>
      </c>
      <c r="G197" s="7" t="e">
        <f t="shared" si="69"/>
        <v>#REF!</v>
      </c>
      <c r="H197" s="7" t="e">
        <f t="shared" si="69"/>
        <v>#REF!</v>
      </c>
      <c r="I197" s="7" t="e">
        <f t="shared" si="69"/>
        <v>#REF!</v>
      </c>
      <c r="J197" s="7" t="e">
        <f t="shared" si="69"/>
        <v>#REF!</v>
      </c>
      <c r="K197" s="7">
        <f t="shared" si="69"/>
        <v>0</v>
      </c>
    </row>
    <row r="198" spans="1:11" ht="47.25" hidden="1">
      <c r="A198" s="31" t="s">
        <v>174</v>
      </c>
      <c r="B198" s="42" t="s">
        <v>159</v>
      </c>
      <c r="C198" s="42" t="s">
        <v>181</v>
      </c>
      <c r="D198" s="42" t="s">
        <v>252</v>
      </c>
      <c r="E198" s="42" t="s">
        <v>175</v>
      </c>
      <c r="F198" s="62" t="e">
        <f>#REF!</f>
        <v>#REF!</v>
      </c>
      <c r="G198" s="62" t="e">
        <f>#REF!</f>
        <v>#REF!</v>
      </c>
      <c r="H198" s="62" t="e">
        <f>#REF!</f>
        <v>#REF!</v>
      </c>
      <c r="I198" s="62" t="e">
        <f>#REF!</f>
        <v>#REF!</v>
      </c>
      <c r="J198" s="62" t="e">
        <f>#REF!</f>
        <v>#REF!</v>
      </c>
      <c r="K198" s="62">
        <f>'Прил.№5 ведомств.'!G155</f>
        <v>0</v>
      </c>
    </row>
    <row r="199" spans="1:11" s="285" customFormat="1" ht="31.5">
      <c r="A199" s="26" t="s">
        <v>1086</v>
      </c>
      <c r="B199" s="42" t="s">
        <v>159</v>
      </c>
      <c r="C199" s="42" t="s">
        <v>181</v>
      </c>
      <c r="D199" s="42" t="s">
        <v>1087</v>
      </c>
      <c r="E199" s="42"/>
      <c r="F199" s="62"/>
      <c r="G199" s="62"/>
      <c r="H199" s="62"/>
      <c r="I199" s="62"/>
      <c r="J199" s="62"/>
      <c r="K199" s="62">
        <f>K200</f>
        <v>100</v>
      </c>
    </row>
    <row r="200" spans="1:11" s="285" customFormat="1" ht="31.5">
      <c r="A200" s="26" t="s">
        <v>172</v>
      </c>
      <c r="B200" s="42" t="s">
        <v>159</v>
      </c>
      <c r="C200" s="42" t="s">
        <v>181</v>
      </c>
      <c r="D200" s="42" t="s">
        <v>1087</v>
      </c>
      <c r="E200" s="42" t="s">
        <v>173</v>
      </c>
      <c r="F200" s="62"/>
      <c r="G200" s="62"/>
      <c r="H200" s="62"/>
      <c r="I200" s="62"/>
      <c r="J200" s="62"/>
      <c r="K200" s="62">
        <f>K201</f>
        <v>100</v>
      </c>
    </row>
    <row r="201" spans="1:11" s="285" customFormat="1" ht="47.25">
      <c r="A201" s="26" t="s">
        <v>174</v>
      </c>
      <c r="B201" s="42" t="s">
        <v>159</v>
      </c>
      <c r="C201" s="42" t="s">
        <v>181</v>
      </c>
      <c r="D201" s="42" t="s">
        <v>1087</v>
      </c>
      <c r="E201" s="42" t="s">
        <v>175</v>
      </c>
      <c r="F201" s="62"/>
      <c r="G201" s="62"/>
      <c r="H201" s="62"/>
      <c r="I201" s="62"/>
      <c r="J201" s="62"/>
      <c r="K201" s="62">
        <f>'Прил.№5 ведомств.'!G648</f>
        <v>100</v>
      </c>
    </row>
    <row r="202" spans="1:11" ht="15.75">
      <c r="A202" s="26" t="s">
        <v>184</v>
      </c>
      <c r="B202" s="42" t="s">
        <v>159</v>
      </c>
      <c r="C202" s="42" t="s">
        <v>181</v>
      </c>
      <c r="D202" s="42" t="s">
        <v>185</v>
      </c>
      <c r="E202" s="42"/>
      <c r="F202" s="62" t="e">
        <f aca="true" t="shared" si="70" ref="F202:K202">F203</f>
        <v>#REF!</v>
      </c>
      <c r="G202" s="62" t="e">
        <f t="shared" si="70"/>
        <v>#REF!</v>
      </c>
      <c r="H202" s="62" t="e">
        <f t="shared" si="70"/>
        <v>#REF!</v>
      </c>
      <c r="I202" s="62" t="e">
        <f t="shared" si="70"/>
        <v>#REF!</v>
      </c>
      <c r="J202" s="62" t="e">
        <f t="shared" si="70"/>
        <v>#REF!</v>
      </c>
      <c r="K202" s="62">
        <f t="shared" si="70"/>
        <v>355.1</v>
      </c>
    </row>
    <row r="203" spans="1:11" ht="15.75">
      <c r="A203" s="26" t="s">
        <v>176</v>
      </c>
      <c r="B203" s="42" t="s">
        <v>159</v>
      </c>
      <c r="C203" s="42" t="s">
        <v>181</v>
      </c>
      <c r="D203" s="42" t="s">
        <v>185</v>
      </c>
      <c r="E203" s="42" t="s">
        <v>186</v>
      </c>
      <c r="F203" s="62" t="e">
        <f aca="true" t="shared" si="71" ref="F203:K203">F204+F205</f>
        <v>#REF!</v>
      </c>
      <c r="G203" s="62" t="e">
        <f t="shared" si="71"/>
        <v>#REF!</v>
      </c>
      <c r="H203" s="62" t="e">
        <f t="shared" si="71"/>
        <v>#REF!</v>
      </c>
      <c r="I203" s="62" t="e">
        <f t="shared" si="71"/>
        <v>#REF!</v>
      </c>
      <c r="J203" s="62" t="e">
        <f t="shared" si="71"/>
        <v>#REF!</v>
      </c>
      <c r="K203" s="62">
        <f t="shared" si="71"/>
        <v>355.1</v>
      </c>
    </row>
    <row r="204" spans="1:11" ht="15.75">
      <c r="A204" s="26" t="s">
        <v>187</v>
      </c>
      <c r="B204" s="42" t="s">
        <v>159</v>
      </c>
      <c r="C204" s="42" t="s">
        <v>181</v>
      </c>
      <c r="D204" s="42" t="s">
        <v>185</v>
      </c>
      <c r="E204" s="42" t="s">
        <v>188</v>
      </c>
      <c r="F204" s="62" t="e">
        <f>#REF!+#REF!</f>
        <v>#REF!</v>
      </c>
      <c r="G204" s="62" t="e">
        <f>#REF!+#REF!</f>
        <v>#REF!</v>
      </c>
      <c r="H204" s="62" t="e">
        <f>#REF!+#REF!</f>
        <v>#REF!</v>
      </c>
      <c r="I204" s="62" t="e">
        <f>#REF!+#REF!</f>
        <v>#REF!</v>
      </c>
      <c r="J204" s="62" t="e">
        <f>#REF!+#REF!</f>
        <v>#REF!</v>
      </c>
      <c r="K204" s="62">
        <f>'Прил.№5 ведомств.'!G645</f>
        <v>355.1</v>
      </c>
    </row>
    <row r="205" spans="1:11" ht="15.75">
      <c r="A205" s="26" t="s">
        <v>610</v>
      </c>
      <c r="B205" s="42" t="s">
        <v>159</v>
      </c>
      <c r="C205" s="42" t="s">
        <v>181</v>
      </c>
      <c r="D205" s="42" t="s">
        <v>185</v>
      </c>
      <c r="E205" s="21" t="s">
        <v>179</v>
      </c>
      <c r="F205" s="62" t="e">
        <f>#REF!</f>
        <v>#REF!</v>
      </c>
      <c r="G205" s="62" t="e">
        <f>#REF!</f>
        <v>#REF!</v>
      </c>
      <c r="H205" s="62" t="e">
        <f>#REF!</f>
        <v>#REF!</v>
      </c>
      <c r="I205" s="62" t="e">
        <f>#REF!</f>
        <v>#REF!</v>
      </c>
      <c r="J205" s="62" t="e">
        <f>#REF!</f>
        <v>#REF!</v>
      </c>
      <c r="K205" s="62">
        <f>'Прил.№5 ведомств.'!G1026</f>
        <v>0</v>
      </c>
    </row>
    <row r="206" spans="1:11" ht="31.5">
      <c r="A206" s="26" t="s">
        <v>626</v>
      </c>
      <c r="B206" s="42" t="s">
        <v>159</v>
      </c>
      <c r="C206" s="42" t="s">
        <v>181</v>
      </c>
      <c r="D206" s="42" t="s">
        <v>627</v>
      </c>
      <c r="E206" s="21"/>
      <c r="F206" s="62" t="e">
        <f aca="true" t="shared" si="72" ref="F206:K206">F207</f>
        <v>#REF!</v>
      </c>
      <c r="G206" s="62" t="e">
        <f t="shared" si="72"/>
        <v>#REF!</v>
      </c>
      <c r="H206" s="62" t="e">
        <f t="shared" si="72"/>
        <v>#REF!</v>
      </c>
      <c r="I206" s="62" t="e">
        <f t="shared" si="72"/>
        <v>#REF!</v>
      </c>
      <c r="J206" s="62" t="e">
        <f t="shared" si="72"/>
        <v>#REF!</v>
      </c>
      <c r="K206" s="62">
        <f t="shared" si="72"/>
        <v>46568.799999999996</v>
      </c>
    </row>
    <row r="207" spans="1:11" ht="15.75">
      <c r="A207" s="26" t="s">
        <v>990</v>
      </c>
      <c r="B207" s="42" t="s">
        <v>159</v>
      </c>
      <c r="C207" s="42" t="s">
        <v>181</v>
      </c>
      <c r="D207" s="21" t="s">
        <v>628</v>
      </c>
      <c r="E207" s="21"/>
      <c r="F207" s="62" t="e">
        <f aca="true" t="shared" si="73" ref="F207:K207">F208+F210+F212</f>
        <v>#REF!</v>
      </c>
      <c r="G207" s="62" t="e">
        <f t="shared" si="73"/>
        <v>#REF!</v>
      </c>
      <c r="H207" s="62" t="e">
        <f t="shared" si="73"/>
        <v>#REF!</v>
      </c>
      <c r="I207" s="62" t="e">
        <f t="shared" si="73"/>
        <v>#REF!</v>
      </c>
      <c r="J207" s="62" t="e">
        <f t="shared" si="73"/>
        <v>#REF!</v>
      </c>
      <c r="K207" s="62">
        <f t="shared" si="73"/>
        <v>46568.799999999996</v>
      </c>
    </row>
    <row r="208" spans="1:11" ht="78.75">
      <c r="A208" s="26" t="s">
        <v>168</v>
      </c>
      <c r="B208" s="42" t="s">
        <v>159</v>
      </c>
      <c r="C208" s="42" t="s">
        <v>181</v>
      </c>
      <c r="D208" s="21" t="s">
        <v>628</v>
      </c>
      <c r="E208" s="21" t="s">
        <v>169</v>
      </c>
      <c r="F208" s="62" t="e">
        <f aca="true" t="shared" si="74" ref="F208:K208">F209</f>
        <v>#REF!</v>
      </c>
      <c r="G208" s="62" t="e">
        <f t="shared" si="74"/>
        <v>#REF!</v>
      </c>
      <c r="H208" s="62" t="e">
        <f t="shared" si="74"/>
        <v>#REF!</v>
      </c>
      <c r="I208" s="62" t="e">
        <f t="shared" si="74"/>
        <v>#REF!</v>
      </c>
      <c r="J208" s="62" t="e">
        <f t="shared" si="74"/>
        <v>#REF!</v>
      </c>
      <c r="K208" s="62">
        <f t="shared" si="74"/>
        <v>35598.6</v>
      </c>
    </row>
    <row r="209" spans="1:11" ht="31.5">
      <c r="A209" s="47" t="s">
        <v>383</v>
      </c>
      <c r="B209" s="42" t="s">
        <v>159</v>
      </c>
      <c r="C209" s="42" t="s">
        <v>181</v>
      </c>
      <c r="D209" s="21" t="s">
        <v>628</v>
      </c>
      <c r="E209" s="21" t="s">
        <v>250</v>
      </c>
      <c r="F209" s="62" t="e">
        <f>#REF!</f>
        <v>#REF!</v>
      </c>
      <c r="G209" s="62" t="e">
        <f>#REF!</f>
        <v>#REF!</v>
      </c>
      <c r="H209" s="62" t="e">
        <f>#REF!</f>
        <v>#REF!</v>
      </c>
      <c r="I209" s="62" t="e">
        <f>#REF!</f>
        <v>#REF!</v>
      </c>
      <c r="J209" s="62" t="e">
        <f>#REF!</f>
        <v>#REF!</v>
      </c>
      <c r="K209" s="62">
        <f>'Прил.№5 ведомств.'!G1030</f>
        <v>35598.6</v>
      </c>
    </row>
    <row r="210" spans="1:11" ht="31.5">
      <c r="A210" s="26" t="s">
        <v>172</v>
      </c>
      <c r="B210" s="42" t="s">
        <v>159</v>
      </c>
      <c r="C210" s="42" t="s">
        <v>181</v>
      </c>
      <c r="D210" s="21" t="s">
        <v>628</v>
      </c>
      <c r="E210" s="21" t="s">
        <v>173</v>
      </c>
      <c r="F210" s="62" t="e">
        <f aca="true" t="shared" si="75" ref="F210:K210">F211</f>
        <v>#REF!</v>
      </c>
      <c r="G210" s="62" t="e">
        <f t="shared" si="75"/>
        <v>#REF!</v>
      </c>
      <c r="H210" s="62" t="e">
        <f t="shared" si="75"/>
        <v>#REF!</v>
      </c>
      <c r="I210" s="62" t="e">
        <f t="shared" si="75"/>
        <v>#REF!</v>
      </c>
      <c r="J210" s="62" t="e">
        <f t="shared" si="75"/>
        <v>#REF!</v>
      </c>
      <c r="K210" s="62">
        <f t="shared" si="75"/>
        <v>10549.599999999999</v>
      </c>
    </row>
    <row r="211" spans="1:11" ht="47.25">
      <c r="A211" s="26" t="s">
        <v>174</v>
      </c>
      <c r="B211" s="42" t="s">
        <v>159</v>
      </c>
      <c r="C211" s="42" t="s">
        <v>181</v>
      </c>
      <c r="D211" s="21" t="s">
        <v>628</v>
      </c>
      <c r="E211" s="21" t="s">
        <v>175</v>
      </c>
      <c r="F211" s="62" t="e">
        <f>#REF!</f>
        <v>#REF!</v>
      </c>
      <c r="G211" s="62" t="e">
        <f>#REF!</f>
        <v>#REF!</v>
      </c>
      <c r="H211" s="62" t="e">
        <f>#REF!</f>
        <v>#REF!</v>
      </c>
      <c r="I211" s="62" t="e">
        <f>#REF!</f>
        <v>#REF!</v>
      </c>
      <c r="J211" s="62" t="e">
        <f>#REF!</f>
        <v>#REF!</v>
      </c>
      <c r="K211" s="62">
        <f>'Прил.№5 ведомств.'!G1032</f>
        <v>10549.599999999999</v>
      </c>
    </row>
    <row r="212" spans="1:11" ht="15.75">
      <c r="A212" s="26" t="s">
        <v>176</v>
      </c>
      <c r="B212" s="42" t="s">
        <v>159</v>
      </c>
      <c r="C212" s="42" t="s">
        <v>181</v>
      </c>
      <c r="D212" s="21" t="s">
        <v>628</v>
      </c>
      <c r="E212" s="21" t="s">
        <v>186</v>
      </c>
      <c r="F212" s="62" t="e">
        <f aca="true" t="shared" si="76" ref="F212:K212">F213</f>
        <v>#REF!</v>
      </c>
      <c r="G212" s="62" t="e">
        <f t="shared" si="76"/>
        <v>#REF!</v>
      </c>
      <c r="H212" s="62" t="e">
        <f t="shared" si="76"/>
        <v>#REF!</v>
      </c>
      <c r="I212" s="62" t="e">
        <f t="shared" si="76"/>
        <v>#REF!</v>
      </c>
      <c r="J212" s="62" t="e">
        <f t="shared" si="76"/>
        <v>#REF!</v>
      </c>
      <c r="K212" s="62">
        <f t="shared" si="76"/>
        <v>420.59999999999997</v>
      </c>
    </row>
    <row r="213" spans="1:11" ht="15.75">
      <c r="A213" s="26" t="s">
        <v>779</v>
      </c>
      <c r="B213" s="42" t="s">
        <v>159</v>
      </c>
      <c r="C213" s="42" t="s">
        <v>181</v>
      </c>
      <c r="D213" s="21" t="s">
        <v>628</v>
      </c>
      <c r="E213" s="21" t="s">
        <v>179</v>
      </c>
      <c r="F213" s="62" t="e">
        <f>#REF!</f>
        <v>#REF!</v>
      </c>
      <c r="G213" s="62" t="e">
        <f>#REF!</f>
        <v>#REF!</v>
      </c>
      <c r="H213" s="62" t="e">
        <f>#REF!</f>
        <v>#REF!</v>
      </c>
      <c r="I213" s="62" t="e">
        <f>#REF!</f>
        <v>#REF!</v>
      </c>
      <c r="J213" s="62" t="e">
        <f>#REF!</f>
        <v>#REF!</v>
      </c>
      <c r="K213" s="62">
        <f>'Прил.№5 ведомств.'!G1034</f>
        <v>420.59999999999997</v>
      </c>
    </row>
    <row r="214" spans="1:11" ht="15.75" hidden="1">
      <c r="A214" s="24" t="s">
        <v>253</v>
      </c>
      <c r="B214" s="25" t="s">
        <v>254</v>
      </c>
      <c r="C214" s="25"/>
      <c r="D214" s="25"/>
      <c r="E214" s="25"/>
      <c r="F214" s="65" t="e">
        <f aca="true" t="shared" si="77" ref="F214:F219">F215</f>
        <v>#REF!</v>
      </c>
      <c r="G214" s="65" t="e">
        <f aca="true" t="shared" si="78" ref="G214:K219">G215</f>
        <v>#REF!</v>
      </c>
      <c r="H214" s="65" t="e">
        <f t="shared" si="78"/>
        <v>#REF!</v>
      </c>
      <c r="I214" s="65" t="e">
        <f t="shared" si="78"/>
        <v>#REF!</v>
      </c>
      <c r="J214" s="65" t="e">
        <f t="shared" si="78"/>
        <v>#REF!</v>
      </c>
      <c r="K214" s="65">
        <f t="shared" si="78"/>
        <v>0</v>
      </c>
    </row>
    <row r="215" spans="1:11" ht="31.5" hidden="1">
      <c r="A215" s="24" t="s">
        <v>259</v>
      </c>
      <c r="B215" s="25" t="s">
        <v>254</v>
      </c>
      <c r="C215" s="25" t="s">
        <v>260</v>
      </c>
      <c r="D215" s="25"/>
      <c r="E215" s="25"/>
      <c r="F215" s="62" t="e">
        <f t="shared" si="77"/>
        <v>#REF!</v>
      </c>
      <c r="G215" s="62" t="e">
        <f t="shared" si="78"/>
        <v>#REF!</v>
      </c>
      <c r="H215" s="62" t="e">
        <f t="shared" si="78"/>
        <v>#REF!</v>
      </c>
      <c r="I215" s="62" t="e">
        <f t="shared" si="78"/>
        <v>#REF!</v>
      </c>
      <c r="J215" s="62" t="e">
        <f t="shared" si="78"/>
        <v>#REF!</v>
      </c>
      <c r="K215" s="62">
        <f t="shared" si="78"/>
        <v>0</v>
      </c>
    </row>
    <row r="216" spans="1:11" ht="15.75" hidden="1">
      <c r="A216" s="26" t="s">
        <v>162</v>
      </c>
      <c r="B216" s="21" t="s">
        <v>254</v>
      </c>
      <c r="C216" s="21" t="s">
        <v>260</v>
      </c>
      <c r="D216" s="21" t="s">
        <v>163</v>
      </c>
      <c r="E216" s="21"/>
      <c r="F216" s="62" t="e">
        <f t="shared" si="77"/>
        <v>#REF!</v>
      </c>
      <c r="G216" s="62" t="e">
        <f t="shared" si="78"/>
        <v>#REF!</v>
      </c>
      <c r="H216" s="62" t="e">
        <f t="shared" si="78"/>
        <v>#REF!</v>
      </c>
      <c r="I216" s="62" t="e">
        <f t="shared" si="78"/>
        <v>#REF!</v>
      </c>
      <c r="J216" s="62" t="e">
        <f t="shared" si="78"/>
        <v>#REF!</v>
      </c>
      <c r="K216" s="62">
        <f t="shared" si="78"/>
        <v>0</v>
      </c>
    </row>
    <row r="217" spans="1:11" ht="15.75" hidden="1">
      <c r="A217" s="26" t="s">
        <v>182</v>
      </c>
      <c r="B217" s="21" t="s">
        <v>254</v>
      </c>
      <c r="C217" s="21" t="s">
        <v>260</v>
      </c>
      <c r="D217" s="21" t="s">
        <v>183</v>
      </c>
      <c r="E217" s="21"/>
      <c r="F217" s="62" t="e">
        <f t="shared" si="77"/>
        <v>#REF!</v>
      </c>
      <c r="G217" s="62" t="e">
        <f t="shared" si="78"/>
        <v>#REF!</v>
      </c>
      <c r="H217" s="62" t="e">
        <f t="shared" si="78"/>
        <v>#REF!</v>
      </c>
      <c r="I217" s="62" t="e">
        <f t="shared" si="78"/>
        <v>#REF!</v>
      </c>
      <c r="J217" s="62" t="e">
        <f t="shared" si="78"/>
        <v>#REF!</v>
      </c>
      <c r="K217" s="62">
        <f t="shared" si="78"/>
        <v>0</v>
      </c>
    </row>
    <row r="218" spans="1:11" ht="15.75" hidden="1">
      <c r="A218" s="26" t="s">
        <v>261</v>
      </c>
      <c r="B218" s="21" t="s">
        <v>254</v>
      </c>
      <c r="C218" s="21" t="s">
        <v>260</v>
      </c>
      <c r="D218" s="21" t="s">
        <v>262</v>
      </c>
      <c r="E218" s="21"/>
      <c r="F218" s="62" t="e">
        <f t="shared" si="77"/>
        <v>#REF!</v>
      </c>
      <c r="G218" s="62" t="e">
        <f t="shared" si="78"/>
        <v>#REF!</v>
      </c>
      <c r="H218" s="62" t="e">
        <f t="shared" si="78"/>
        <v>#REF!</v>
      </c>
      <c r="I218" s="62" t="e">
        <f t="shared" si="78"/>
        <v>#REF!</v>
      </c>
      <c r="J218" s="62" t="e">
        <f t="shared" si="78"/>
        <v>#REF!</v>
      </c>
      <c r="K218" s="62">
        <f t="shared" si="78"/>
        <v>0</v>
      </c>
    </row>
    <row r="219" spans="1:11" ht="31.5" hidden="1">
      <c r="A219" s="26" t="s">
        <v>239</v>
      </c>
      <c r="B219" s="21" t="s">
        <v>254</v>
      </c>
      <c r="C219" s="21" t="s">
        <v>260</v>
      </c>
      <c r="D219" s="21" t="s">
        <v>262</v>
      </c>
      <c r="E219" s="21" t="s">
        <v>173</v>
      </c>
      <c r="F219" s="62" t="e">
        <f t="shared" si="77"/>
        <v>#REF!</v>
      </c>
      <c r="G219" s="62" t="e">
        <f t="shared" si="78"/>
        <v>#REF!</v>
      </c>
      <c r="H219" s="62" t="e">
        <f t="shared" si="78"/>
        <v>#REF!</v>
      </c>
      <c r="I219" s="62" t="e">
        <f t="shared" si="78"/>
        <v>#REF!</v>
      </c>
      <c r="J219" s="62" t="e">
        <f t="shared" si="78"/>
        <v>#REF!</v>
      </c>
      <c r="K219" s="62">
        <f t="shared" si="78"/>
        <v>0</v>
      </c>
    </row>
    <row r="220" spans="1:11" ht="47.25" hidden="1">
      <c r="A220" s="26" t="s">
        <v>174</v>
      </c>
      <c r="B220" s="21" t="s">
        <v>254</v>
      </c>
      <c r="C220" s="21" t="s">
        <v>260</v>
      </c>
      <c r="D220" s="21" t="s">
        <v>262</v>
      </c>
      <c r="E220" s="21" t="s">
        <v>175</v>
      </c>
      <c r="F220" s="62" t="e">
        <f>#REF!</f>
        <v>#REF!</v>
      </c>
      <c r="G220" s="62" t="e">
        <f>#REF!</f>
        <v>#REF!</v>
      </c>
      <c r="H220" s="62" t="e">
        <f>#REF!</f>
        <v>#REF!</v>
      </c>
      <c r="I220" s="62" t="e">
        <f>#REF!</f>
        <v>#REF!</v>
      </c>
      <c r="J220" s="62" t="e">
        <f>#REF!</f>
        <v>#REF!</v>
      </c>
      <c r="K220" s="62">
        <f>'Прил.№5 ведомств.'!G165</f>
        <v>0</v>
      </c>
    </row>
    <row r="221" spans="1:11" ht="63">
      <c r="A221" s="31" t="s">
        <v>1045</v>
      </c>
      <c r="B221" s="10" t="s">
        <v>159</v>
      </c>
      <c r="C221" s="10" t="s">
        <v>181</v>
      </c>
      <c r="D221" s="6" t="s">
        <v>1044</v>
      </c>
      <c r="E221" s="10"/>
      <c r="F221" s="27">
        <f>F222</f>
        <v>60</v>
      </c>
      <c r="G221" s="62"/>
      <c r="H221" s="62"/>
      <c r="I221" s="62"/>
      <c r="J221" s="62"/>
      <c r="K221" s="62">
        <f>K222</f>
        <v>60</v>
      </c>
    </row>
    <row r="222" spans="1:11" ht="15.75">
      <c r="A222" s="47" t="s">
        <v>216</v>
      </c>
      <c r="B222" s="10" t="s">
        <v>159</v>
      </c>
      <c r="C222" s="10" t="s">
        <v>181</v>
      </c>
      <c r="D222" s="6" t="s">
        <v>1048</v>
      </c>
      <c r="E222" s="10"/>
      <c r="F222" s="27">
        <f>F223</f>
        <v>60</v>
      </c>
      <c r="G222" s="62"/>
      <c r="H222" s="62"/>
      <c r="I222" s="62"/>
      <c r="J222" s="62"/>
      <c r="K222" s="62">
        <f>K223</f>
        <v>60</v>
      </c>
    </row>
    <row r="223" spans="1:11" ht="31.5">
      <c r="A223" s="26" t="s">
        <v>172</v>
      </c>
      <c r="B223" s="10" t="s">
        <v>159</v>
      </c>
      <c r="C223" s="10" t="s">
        <v>181</v>
      </c>
      <c r="D223" s="6" t="s">
        <v>1048</v>
      </c>
      <c r="E223" s="10" t="s">
        <v>173</v>
      </c>
      <c r="F223" s="27">
        <f>F224</f>
        <v>60</v>
      </c>
      <c r="G223" s="62"/>
      <c r="H223" s="62"/>
      <c r="I223" s="62"/>
      <c r="J223" s="62"/>
      <c r="K223" s="62">
        <f>K224</f>
        <v>60</v>
      </c>
    </row>
    <row r="224" spans="1:11" ht="47.25">
      <c r="A224" s="26" t="s">
        <v>174</v>
      </c>
      <c r="B224" s="10" t="s">
        <v>159</v>
      </c>
      <c r="C224" s="10" t="s">
        <v>181</v>
      </c>
      <c r="D224" s="6" t="s">
        <v>1048</v>
      </c>
      <c r="E224" s="10" t="s">
        <v>175</v>
      </c>
      <c r="F224" s="187">
        <v>60</v>
      </c>
      <c r="G224" s="62"/>
      <c r="H224" s="62"/>
      <c r="I224" s="62"/>
      <c r="J224" s="62"/>
      <c r="K224" s="62">
        <f>'Прил.№5 ведомств.'!G169</f>
        <v>60</v>
      </c>
    </row>
    <row r="225" spans="1:11" ht="31.5">
      <c r="A225" s="43" t="s">
        <v>263</v>
      </c>
      <c r="B225" s="8" t="s">
        <v>256</v>
      </c>
      <c r="C225" s="8"/>
      <c r="D225" s="8"/>
      <c r="E225" s="8"/>
      <c r="F225" s="4" t="e">
        <f>F226</f>
        <v>#REF!</v>
      </c>
      <c r="G225" s="4" t="e">
        <f aca="true" t="shared" si="79" ref="G225:K227">G226</f>
        <v>#REF!</v>
      </c>
      <c r="H225" s="4" t="e">
        <f t="shared" si="79"/>
        <v>#REF!</v>
      </c>
      <c r="I225" s="4" t="e">
        <f t="shared" si="79"/>
        <v>#REF!</v>
      </c>
      <c r="J225" s="4" t="e">
        <f t="shared" si="79"/>
        <v>#REF!</v>
      </c>
      <c r="K225" s="4">
        <f t="shared" si="79"/>
        <v>8416.8</v>
      </c>
    </row>
    <row r="226" spans="1:15" ht="47.25">
      <c r="A226" s="43" t="s">
        <v>264</v>
      </c>
      <c r="B226" s="8" t="s">
        <v>256</v>
      </c>
      <c r="C226" s="8" t="s">
        <v>260</v>
      </c>
      <c r="D226" s="42"/>
      <c r="E226" s="42"/>
      <c r="F226" s="4" t="e">
        <f>F227</f>
        <v>#REF!</v>
      </c>
      <c r="G226" s="4" t="e">
        <f t="shared" si="79"/>
        <v>#REF!</v>
      </c>
      <c r="H226" s="4" t="e">
        <f t="shared" si="79"/>
        <v>#REF!</v>
      </c>
      <c r="I226" s="4" t="e">
        <f t="shared" si="79"/>
        <v>#REF!</v>
      </c>
      <c r="J226" s="4" t="e">
        <f t="shared" si="79"/>
        <v>#REF!</v>
      </c>
      <c r="K226" s="4">
        <f t="shared" si="79"/>
        <v>8416.8</v>
      </c>
      <c r="L226" s="23"/>
      <c r="M226" s="23"/>
      <c r="N226" s="23"/>
      <c r="O226" s="23"/>
    </row>
    <row r="227" spans="1:11" ht="15.75">
      <c r="A227" s="31" t="s">
        <v>162</v>
      </c>
      <c r="B227" s="42" t="s">
        <v>256</v>
      </c>
      <c r="C227" s="42" t="s">
        <v>260</v>
      </c>
      <c r="D227" s="42" t="s">
        <v>163</v>
      </c>
      <c r="E227" s="42"/>
      <c r="F227" s="7" t="e">
        <f>F228</f>
        <v>#REF!</v>
      </c>
      <c r="G227" s="7" t="e">
        <f t="shared" si="79"/>
        <v>#REF!</v>
      </c>
      <c r="H227" s="7" t="e">
        <f t="shared" si="79"/>
        <v>#REF!</v>
      </c>
      <c r="I227" s="7" t="e">
        <f t="shared" si="79"/>
        <v>#REF!</v>
      </c>
      <c r="J227" s="7" t="e">
        <f t="shared" si="79"/>
        <v>#REF!</v>
      </c>
      <c r="K227" s="7">
        <f t="shared" si="79"/>
        <v>8416.8</v>
      </c>
    </row>
    <row r="228" spans="1:11" ht="15.75">
      <c r="A228" s="31" t="s">
        <v>182</v>
      </c>
      <c r="B228" s="42" t="s">
        <v>256</v>
      </c>
      <c r="C228" s="42" t="s">
        <v>260</v>
      </c>
      <c r="D228" s="42" t="s">
        <v>183</v>
      </c>
      <c r="E228" s="42"/>
      <c r="F228" s="7" t="e">
        <f aca="true" t="shared" si="80" ref="F228:K228">F229+F235+F240+F232</f>
        <v>#REF!</v>
      </c>
      <c r="G228" s="7" t="e">
        <f t="shared" si="80"/>
        <v>#REF!</v>
      </c>
      <c r="H228" s="7" t="e">
        <f t="shared" si="80"/>
        <v>#REF!</v>
      </c>
      <c r="I228" s="7" t="e">
        <f t="shared" si="80"/>
        <v>#REF!</v>
      </c>
      <c r="J228" s="7" t="e">
        <f t="shared" si="80"/>
        <v>#REF!</v>
      </c>
      <c r="K228" s="7">
        <f t="shared" si="80"/>
        <v>8416.8</v>
      </c>
    </row>
    <row r="229" spans="1:11" ht="47.25">
      <c r="A229" s="31" t="s">
        <v>265</v>
      </c>
      <c r="B229" s="42" t="s">
        <v>256</v>
      </c>
      <c r="C229" s="42" t="s">
        <v>260</v>
      </c>
      <c r="D229" s="42" t="s">
        <v>266</v>
      </c>
      <c r="E229" s="42"/>
      <c r="F229" s="7" t="e">
        <f>F230</f>
        <v>#REF!</v>
      </c>
      <c r="G229" s="7" t="e">
        <f aca="true" t="shared" si="81" ref="G229:K230">G230</f>
        <v>#REF!</v>
      </c>
      <c r="H229" s="7" t="e">
        <f t="shared" si="81"/>
        <v>#REF!</v>
      </c>
      <c r="I229" s="7" t="e">
        <f t="shared" si="81"/>
        <v>#REF!</v>
      </c>
      <c r="J229" s="7" t="e">
        <f t="shared" si="81"/>
        <v>#REF!</v>
      </c>
      <c r="K229" s="7">
        <f t="shared" si="81"/>
        <v>2053.5</v>
      </c>
    </row>
    <row r="230" spans="1:11" ht="31.5">
      <c r="A230" s="31" t="s">
        <v>172</v>
      </c>
      <c r="B230" s="42" t="s">
        <v>256</v>
      </c>
      <c r="C230" s="42" t="s">
        <v>260</v>
      </c>
      <c r="D230" s="42" t="s">
        <v>266</v>
      </c>
      <c r="E230" s="42" t="s">
        <v>173</v>
      </c>
      <c r="F230" s="7" t="e">
        <f>F231</f>
        <v>#REF!</v>
      </c>
      <c r="G230" s="7" t="e">
        <f t="shared" si="81"/>
        <v>#REF!</v>
      </c>
      <c r="H230" s="7" t="e">
        <f t="shared" si="81"/>
        <v>#REF!</v>
      </c>
      <c r="I230" s="7" t="e">
        <f t="shared" si="81"/>
        <v>#REF!</v>
      </c>
      <c r="J230" s="7" t="e">
        <f t="shared" si="81"/>
        <v>#REF!</v>
      </c>
      <c r="K230" s="7">
        <f t="shared" si="81"/>
        <v>2053.5</v>
      </c>
    </row>
    <row r="231" spans="1:11" ht="47.25">
      <c r="A231" s="31" t="s">
        <v>174</v>
      </c>
      <c r="B231" s="42" t="s">
        <v>256</v>
      </c>
      <c r="C231" s="42" t="s">
        <v>260</v>
      </c>
      <c r="D231" s="42" t="s">
        <v>266</v>
      </c>
      <c r="E231" s="42" t="s">
        <v>175</v>
      </c>
      <c r="F231" s="62" t="e">
        <f>#REF!</f>
        <v>#REF!</v>
      </c>
      <c r="G231" s="62" t="e">
        <f>#REF!</f>
        <v>#REF!</v>
      </c>
      <c r="H231" s="62" t="e">
        <f>#REF!</f>
        <v>#REF!</v>
      </c>
      <c r="I231" s="62" t="e">
        <f>#REF!</f>
        <v>#REF!</v>
      </c>
      <c r="J231" s="62" t="e">
        <f>#REF!</f>
        <v>#REF!</v>
      </c>
      <c r="K231" s="62">
        <f>'Прил.№5 ведомств.'!G176</f>
        <v>2053.5</v>
      </c>
    </row>
    <row r="232" spans="1:11" ht="15.75" hidden="1">
      <c r="A232" s="26" t="s">
        <v>267</v>
      </c>
      <c r="B232" s="21" t="s">
        <v>256</v>
      </c>
      <c r="C232" s="21" t="s">
        <v>260</v>
      </c>
      <c r="D232" s="21" t="s">
        <v>268</v>
      </c>
      <c r="E232" s="21"/>
      <c r="F232" s="62" t="e">
        <f>F233</f>
        <v>#REF!</v>
      </c>
      <c r="G232" s="62" t="e">
        <f aca="true" t="shared" si="82" ref="G232:K233">G233</f>
        <v>#REF!</v>
      </c>
      <c r="H232" s="62" t="e">
        <f t="shared" si="82"/>
        <v>#REF!</v>
      </c>
      <c r="I232" s="62" t="e">
        <f t="shared" si="82"/>
        <v>#REF!</v>
      </c>
      <c r="J232" s="62" t="e">
        <f t="shared" si="82"/>
        <v>#REF!</v>
      </c>
      <c r="K232" s="62">
        <f t="shared" si="82"/>
        <v>0</v>
      </c>
    </row>
    <row r="233" spans="1:11" ht="31.5" hidden="1">
      <c r="A233" s="26" t="s">
        <v>239</v>
      </c>
      <c r="B233" s="21" t="s">
        <v>256</v>
      </c>
      <c r="C233" s="21" t="s">
        <v>260</v>
      </c>
      <c r="D233" s="21" t="s">
        <v>268</v>
      </c>
      <c r="E233" s="21" t="s">
        <v>173</v>
      </c>
      <c r="F233" s="62" t="e">
        <f>F234</f>
        <v>#REF!</v>
      </c>
      <c r="G233" s="62" t="e">
        <f t="shared" si="82"/>
        <v>#REF!</v>
      </c>
      <c r="H233" s="62" t="e">
        <f t="shared" si="82"/>
        <v>#REF!</v>
      </c>
      <c r="I233" s="62" t="e">
        <f t="shared" si="82"/>
        <v>#REF!</v>
      </c>
      <c r="J233" s="62" t="e">
        <f t="shared" si="82"/>
        <v>#REF!</v>
      </c>
      <c r="K233" s="62">
        <f t="shared" si="82"/>
        <v>0</v>
      </c>
    </row>
    <row r="234" spans="1:11" ht="47.25" hidden="1">
      <c r="A234" s="26" t="s">
        <v>174</v>
      </c>
      <c r="B234" s="21" t="s">
        <v>256</v>
      </c>
      <c r="C234" s="21" t="s">
        <v>260</v>
      </c>
      <c r="D234" s="21" t="s">
        <v>268</v>
      </c>
      <c r="E234" s="21" t="s">
        <v>175</v>
      </c>
      <c r="F234" s="62" t="e">
        <f>#REF!</f>
        <v>#REF!</v>
      </c>
      <c r="G234" s="62" t="e">
        <f>#REF!</f>
        <v>#REF!</v>
      </c>
      <c r="H234" s="62" t="e">
        <f>#REF!</f>
        <v>#REF!</v>
      </c>
      <c r="I234" s="62" t="e">
        <f>#REF!</f>
        <v>#REF!</v>
      </c>
      <c r="J234" s="62" t="e">
        <f>#REF!</f>
        <v>#REF!</v>
      </c>
      <c r="K234" s="62">
        <f>'Прил.№5 ведомств.'!G179</f>
        <v>0</v>
      </c>
    </row>
    <row r="235" spans="1:11" ht="31.5">
      <c r="A235" s="31" t="s">
        <v>269</v>
      </c>
      <c r="B235" s="42" t="s">
        <v>256</v>
      </c>
      <c r="C235" s="42" t="s">
        <v>260</v>
      </c>
      <c r="D235" s="42" t="s">
        <v>270</v>
      </c>
      <c r="E235" s="42"/>
      <c r="F235" s="7" t="e">
        <f aca="true" t="shared" si="83" ref="F235:K235">F236+F238</f>
        <v>#REF!</v>
      </c>
      <c r="G235" s="7" t="e">
        <f t="shared" si="83"/>
        <v>#REF!</v>
      </c>
      <c r="H235" s="7" t="e">
        <f t="shared" si="83"/>
        <v>#REF!</v>
      </c>
      <c r="I235" s="7" t="e">
        <f t="shared" si="83"/>
        <v>#REF!</v>
      </c>
      <c r="J235" s="7" t="e">
        <f t="shared" si="83"/>
        <v>#REF!</v>
      </c>
      <c r="K235" s="7">
        <f t="shared" si="83"/>
        <v>6059.4</v>
      </c>
    </row>
    <row r="236" spans="1:11" ht="78.75">
      <c r="A236" s="31" t="s">
        <v>168</v>
      </c>
      <c r="B236" s="42" t="s">
        <v>256</v>
      </c>
      <c r="C236" s="42" t="s">
        <v>260</v>
      </c>
      <c r="D236" s="42" t="s">
        <v>270</v>
      </c>
      <c r="E236" s="42" t="s">
        <v>169</v>
      </c>
      <c r="F236" s="62" t="e">
        <f aca="true" t="shared" si="84" ref="F236:K236">F237</f>
        <v>#REF!</v>
      </c>
      <c r="G236" s="62" t="e">
        <f t="shared" si="84"/>
        <v>#REF!</v>
      </c>
      <c r="H236" s="62" t="e">
        <f t="shared" si="84"/>
        <v>#REF!</v>
      </c>
      <c r="I236" s="62" t="e">
        <f t="shared" si="84"/>
        <v>#REF!</v>
      </c>
      <c r="J236" s="62" t="e">
        <f t="shared" si="84"/>
        <v>#REF!</v>
      </c>
      <c r="K236" s="62">
        <f t="shared" si="84"/>
        <v>4817.5</v>
      </c>
    </row>
    <row r="237" spans="1:11" ht="31.5">
      <c r="A237" s="31" t="s">
        <v>383</v>
      </c>
      <c r="B237" s="42" t="s">
        <v>256</v>
      </c>
      <c r="C237" s="42" t="s">
        <v>260</v>
      </c>
      <c r="D237" s="42" t="s">
        <v>270</v>
      </c>
      <c r="E237" s="42" t="s">
        <v>250</v>
      </c>
      <c r="F237" s="62" t="e">
        <f>#REF!</f>
        <v>#REF!</v>
      </c>
      <c r="G237" s="62" t="e">
        <f>#REF!</f>
        <v>#REF!</v>
      </c>
      <c r="H237" s="62" t="e">
        <f>#REF!</f>
        <v>#REF!</v>
      </c>
      <c r="I237" s="62" t="e">
        <f>#REF!</f>
        <v>#REF!</v>
      </c>
      <c r="J237" s="62" t="e">
        <f>#REF!</f>
        <v>#REF!</v>
      </c>
      <c r="K237" s="62">
        <f>'Прил.№5 ведомств.'!G182</f>
        <v>4817.5</v>
      </c>
    </row>
    <row r="238" spans="1:11" ht="31.5">
      <c r="A238" s="31" t="s">
        <v>172</v>
      </c>
      <c r="B238" s="42" t="s">
        <v>256</v>
      </c>
      <c r="C238" s="42" t="s">
        <v>260</v>
      </c>
      <c r="D238" s="42" t="s">
        <v>270</v>
      </c>
      <c r="E238" s="42" t="s">
        <v>173</v>
      </c>
      <c r="F238" s="7" t="e">
        <f aca="true" t="shared" si="85" ref="F238:K238">F239</f>
        <v>#REF!</v>
      </c>
      <c r="G238" s="7" t="e">
        <f t="shared" si="85"/>
        <v>#REF!</v>
      </c>
      <c r="H238" s="7" t="e">
        <f t="shared" si="85"/>
        <v>#REF!</v>
      </c>
      <c r="I238" s="7" t="e">
        <f t="shared" si="85"/>
        <v>#REF!</v>
      </c>
      <c r="J238" s="7" t="e">
        <f t="shared" si="85"/>
        <v>#REF!</v>
      </c>
      <c r="K238" s="7">
        <f t="shared" si="85"/>
        <v>1241.9</v>
      </c>
    </row>
    <row r="239" spans="1:11" ht="47.25">
      <c r="A239" s="31" t="s">
        <v>174</v>
      </c>
      <c r="B239" s="42" t="s">
        <v>256</v>
      </c>
      <c r="C239" s="42" t="s">
        <v>260</v>
      </c>
      <c r="D239" s="42" t="s">
        <v>270</v>
      </c>
      <c r="E239" s="42" t="s">
        <v>175</v>
      </c>
      <c r="F239" s="7" t="e">
        <f>#REF!</f>
        <v>#REF!</v>
      </c>
      <c r="G239" s="7" t="e">
        <f>#REF!</f>
        <v>#REF!</v>
      </c>
      <c r="H239" s="7" t="e">
        <f>#REF!</f>
        <v>#REF!</v>
      </c>
      <c r="I239" s="7" t="e">
        <f>#REF!</f>
        <v>#REF!</v>
      </c>
      <c r="J239" s="7" t="e">
        <f>#REF!</f>
        <v>#REF!</v>
      </c>
      <c r="K239" s="7">
        <f>'Прил.№5 ведомств.'!G184</f>
        <v>1241.9</v>
      </c>
    </row>
    <row r="240" spans="1:11" ht="15.75">
      <c r="A240" s="31" t="s">
        <v>271</v>
      </c>
      <c r="B240" s="42" t="s">
        <v>256</v>
      </c>
      <c r="C240" s="42" t="s">
        <v>260</v>
      </c>
      <c r="D240" s="42" t="s">
        <v>272</v>
      </c>
      <c r="E240" s="42"/>
      <c r="F240" s="7" t="e">
        <f>F241</f>
        <v>#REF!</v>
      </c>
      <c r="G240" s="7" t="e">
        <f aca="true" t="shared" si="86" ref="G240:K241">G241</f>
        <v>#REF!</v>
      </c>
      <c r="H240" s="7" t="e">
        <f t="shared" si="86"/>
        <v>#REF!</v>
      </c>
      <c r="I240" s="7" t="e">
        <f t="shared" si="86"/>
        <v>#REF!</v>
      </c>
      <c r="J240" s="7" t="e">
        <f t="shared" si="86"/>
        <v>#REF!</v>
      </c>
      <c r="K240" s="7">
        <f t="shared" si="86"/>
        <v>303.9</v>
      </c>
    </row>
    <row r="241" spans="1:11" ht="31.5">
      <c r="A241" s="31" t="s">
        <v>172</v>
      </c>
      <c r="B241" s="42" t="s">
        <v>256</v>
      </c>
      <c r="C241" s="42" t="s">
        <v>260</v>
      </c>
      <c r="D241" s="42" t="s">
        <v>272</v>
      </c>
      <c r="E241" s="42" t="s">
        <v>173</v>
      </c>
      <c r="F241" s="7" t="e">
        <f>F242</f>
        <v>#REF!</v>
      </c>
      <c r="G241" s="7" t="e">
        <f t="shared" si="86"/>
        <v>#REF!</v>
      </c>
      <c r="H241" s="7" t="e">
        <f t="shared" si="86"/>
        <v>#REF!</v>
      </c>
      <c r="I241" s="7" t="e">
        <f t="shared" si="86"/>
        <v>#REF!</v>
      </c>
      <c r="J241" s="7" t="e">
        <f t="shared" si="86"/>
        <v>#REF!</v>
      </c>
      <c r="K241" s="7">
        <f t="shared" si="86"/>
        <v>303.9</v>
      </c>
    </row>
    <row r="242" spans="1:11" ht="47.25">
      <c r="A242" s="31" t="s">
        <v>174</v>
      </c>
      <c r="B242" s="42" t="s">
        <v>256</v>
      </c>
      <c r="C242" s="42" t="s">
        <v>260</v>
      </c>
      <c r="D242" s="42" t="s">
        <v>272</v>
      </c>
      <c r="E242" s="42" t="s">
        <v>175</v>
      </c>
      <c r="F242" s="7" t="e">
        <f>#REF!+#REF!</f>
        <v>#REF!</v>
      </c>
      <c r="G242" s="7" t="e">
        <f>#REF!+#REF!</f>
        <v>#REF!</v>
      </c>
      <c r="H242" s="7" t="e">
        <f>#REF!+#REF!</f>
        <v>#REF!</v>
      </c>
      <c r="I242" s="7" t="e">
        <f>#REF!+#REF!</f>
        <v>#REF!</v>
      </c>
      <c r="J242" s="7" t="e">
        <f>#REF!+#REF!</f>
        <v>#REF!</v>
      </c>
      <c r="K242" s="7">
        <f>'Прил.№5 ведомств.'!G1041+'Прил.№5 ведомств.'!G187</f>
        <v>303.9</v>
      </c>
    </row>
    <row r="243" spans="1:11" ht="15.75">
      <c r="A243" s="43" t="s">
        <v>273</v>
      </c>
      <c r="B243" s="8" t="s">
        <v>191</v>
      </c>
      <c r="C243" s="8"/>
      <c r="D243" s="8"/>
      <c r="E243" s="8"/>
      <c r="F243" s="4" t="e">
        <f aca="true" t="shared" si="87" ref="F243:K243">F260+F266+F273+F244</f>
        <v>#REF!</v>
      </c>
      <c r="G243" s="4" t="e">
        <f t="shared" si="87"/>
        <v>#REF!</v>
      </c>
      <c r="H243" s="4" t="e">
        <f t="shared" si="87"/>
        <v>#REF!</v>
      </c>
      <c r="I243" s="4" t="e">
        <f t="shared" si="87"/>
        <v>#REF!</v>
      </c>
      <c r="J243" s="4" t="e">
        <f t="shared" si="87"/>
        <v>#REF!</v>
      </c>
      <c r="K243" s="4">
        <f t="shared" si="87"/>
        <v>9104.9</v>
      </c>
    </row>
    <row r="244" spans="1:11" ht="15.75">
      <c r="A244" s="43" t="s">
        <v>274</v>
      </c>
      <c r="B244" s="8" t="s">
        <v>191</v>
      </c>
      <c r="C244" s="8" t="s">
        <v>275</v>
      </c>
      <c r="D244" s="8"/>
      <c r="E244" s="8"/>
      <c r="F244" s="4" t="e">
        <f aca="true" t="shared" si="88" ref="F244:K244">F252+F245</f>
        <v>#REF!</v>
      </c>
      <c r="G244" s="4" t="e">
        <f t="shared" si="88"/>
        <v>#REF!</v>
      </c>
      <c r="H244" s="4" t="e">
        <f t="shared" si="88"/>
        <v>#REF!</v>
      </c>
      <c r="I244" s="4" t="e">
        <f t="shared" si="88"/>
        <v>#REF!</v>
      </c>
      <c r="J244" s="4" t="e">
        <f t="shared" si="88"/>
        <v>#REF!</v>
      </c>
      <c r="K244" s="4">
        <f t="shared" si="88"/>
        <v>355</v>
      </c>
    </row>
    <row r="245" spans="1:11" ht="47.25">
      <c r="A245" s="33" t="s">
        <v>222</v>
      </c>
      <c r="B245" s="21" t="s">
        <v>191</v>
      </c>
      <c r="C245" s="21" t="s">
        <v>275</v>
      </c>
      <c r="D245" s="6" t="s">
        <v>223</v>
      </c>
      <c r="E245" s="34"/>
      <c r="F245" s="7" t="e">
        <f>F246</f>
        <v>#REF!</v>
      </c>
      <c r="G245" s="7" t="e">
        <f aca="true" t="shared" si="89" ref="G245:K247">G246</f>
        <v>#REF!</v>
      </c>
      <c r="H245" s="7" t="e">
        <f t="shared" si="89"/>
        <v>#REF!</v>
      </c>
      <c r="I245" s="7" t="e">
        <f t="shared" si="89"/>
        <v>#REF!</v>
      </c>
      <c r="J245" s="7" t="e">
        <f t="shared" si="89"/>
        <v>#REF!</v>
      </c>
      <c r="K245" s="7">
        <f>K246+K250</f>
        <v>100</v>
      </c>
    </row>
    <row r="246" spans="1:11" ht="31.5">
      <c r="A246" s="26" t="s">
        <v>198</v>
      </c>
      <c r="B246" s="21" t="s">
        <v>191</v>
      </c>
      <c r="C246" s="21" t="s">
        <v>275</v>
      </c>
      <c r="D246" s="21" t="s">
        <v>224</v>
      </c>
      <c r="E246" s="34"/>
      <c r="F246" s="7" t="e">
        <f>F247</f>
        <v>#REF!</v>
      </c>
      <c r="G246" s="7" t="e">
        <f t="shared" si="89"/>
        <v>#REF!</v>
      </c>
      <c r="H246" s="7" t="e">
        <f t="shared" si="89"/>
        <v>#REF!</v>
      </c>
      <c r="I246" s="7" t="e">
        <f t="shared" si="89"/>
        <v>#REF!</v>
      </c>
      <c r="J246" s="7" t="e">
        <f t="shared" si="89"/>
        <v>#REF!</v>
      </c>
      <c r="K246" s="7">
        <f t="shared" si="89"/>
        <v>100</v>
      </c>
    </row>
    <row r="247" spans="1:11" ht="15.75">
      <c r="A247" s="31" t="s">
        <v>176</v>
      </c>
      <c r="B247" s="21" t="s">
        <v>191</v>
      </c>
      <c r="C247" s="21" t="s">
        <v>275</v>
      </c>
      <c r="D247" s="21" t="s">
        <v>224</v>
      </c>
      <c r="E247" s="34" t="s">
        <v>186</v>
      </c>
      <c r="F247" s="7" t="e">
        <f>F248</f>
        <v>#REF!</v>
      </c>
      <c r="G247" s="7" t="e">
        <f t="shared" si="89"/>
        <v>#REF!</v>
      </c>
      <c r="H247" s="7" t="e">
        <f t="shared" si="89"/>
        <v>#REF!</v>
      </c>
      <c r="I247" s="7" t="e">
        <f t="shared" si="89"/>
        <v>#REF!</v>
      </c>
      <c r="J247" s="7" t="e">
        <f t="shared" si="89"/>
        <v>#REF!</v>
      </c>
      <c r="K247" s="7">
        <f t="shared" si="89"/>
        <v>100</v>
      </c>
    </row>
    <row r="248" spans="1:11" ht="47.25">
      <c r="A248" s="31" t="s">
        <v>225</v>
      </c>
      <c r="B248" s="21" t="s">
        <v>191</v>
      </c>
      <c r="C248" s="21" t="s">
        <v>275</v>
      </c>
      <c r="D248" s="21" t="s">
        <v>224</v>
      </c>
      <c r="E248" s="34" t="s">
        <v>201</v>
      </c>
      <c r="F248" s="7" t="e">
        <f>#REF!</f>
        <v>#REF!</v>
      </c>
      <c r="G248" s="7" t="e">
        <f>#REF!</f>
        <v>#REF!</v>
      </c>
      <c r="H248" s="7" t="e">
        <f>#REF!</f>
        <v>#REF!</v>
      </c>
      <c r="I248" s="7" t="e">
        <f>#REF!</f>
        <v>#REF!</v>
      </c>
      <c r="J248" s="7" t="e">
        <f>#REF!</f>
        <v>#REF!</v>
      </c>
      <c r="K248" s="7">
        <f>'Прил.№5 ведомств.'!G193</f>
        <v>100</v>
      </c>
    </row>
    <row r="249" spans="1:11" ht="31.5" hidden="1">
      <c r="A249" s="26" t="s">
        <v>939</v>
      </c>
      <c r="B249" s="21" t="s">
        <v>191</v>
      </c>
      <c r="C249" s="21" t="s">
        <v>275</v>
      </c>
      <c r="D249" s="21" t="s">
        <v>941</v>
      </c>
      <c r="E249" s="34"/>
      <c r="F249" s="7"/>
      <c r="G249" s="7"/>
      <c r="H249" s="7"/>
      <c r="I249" s="7"/>
      <c r="J249" s="7"/>
      <c r="K249" s="7">
        <f>K250</f>
        <v>0</v>
      </c>
    </row>
    <row r="250" spans="1:11" ht="15.75" hidden="1">
      <c r="A250" s="31" t="s">
        <v>176</v>
      </c>
      <c r="B250" s="21" t="s">
        <v>191</v>
      </c>
      <c r="C250" s="21" t="s">
        <v>275</v>
      </c>
      <c r="D250" s="21" t="s">
        <v>941</v>
      </c>
      <c r="E250" s="34" t="s">
        <v>186</v>
      </c>
      <c r="F250" s="7"/>
      <c r="G250" s="7"/>
      <c r="H250" s="7"/>
      <c r="I250" s="7"/>
      <c r="J250" s="7"/>
      <c r="K250" s="7">
        <f>K251</f>
        <v>0</v>
      </c>
    </row>
    <row r="251" spans="1:11" ht="47.25" hidden="1">
      <c r="A251" s="31" t="s">
        <v>225</v>
      </c>
      <c r="B251" s="21" t="s">
        <v>191</v>
      </c>
      <c r="C251" s="21" t="s">
        <v>275</v>
      </c>
      <c r="D251" s="21" t="s">
        <v>941</v>
      </c>
      <c r="E251" s="34" t="s">
        <v>201</v>
      </c>
      <c r="F251" s="7"/>
      <c r="G251" s="7"/>
      <c r="H251" s="7"/>
      <c r="I251" s="7"/>
      <c r="J251" s="7"/>
      <c r="K251" s="7">
        <f>'Прил.№5 ведомств.'!G196</f>
        <v>0</v>
      </c>
    </row>
    <row r="252" spans="1:11" ht="15.75">
      <c r="A252" s="31" t="s">
        <v>162</v>
      </c>
      <c r="B252" s="42" t="s">
        <v>191</v>
      </c>
      <c r="C252" s="42" t="s">
        <v>275</v>
      </c>
      <c r="D252" s="42" t="s">
        <v>163</v>
      </c>
      <c r="E252" s="42"/>
      <c r="F252" s="7" t="e">
        <f aca="true" t="shared" si="90" ref="F252:K252">F253</f>
        <v>#REF!</v>
      </c>
      <c r="G252" s="7" t="e">
        <f t="shared" si="90"/>
        <v>#REF!</v>
      </c>
      <c r="H252" s="7" t="e">
        <f t="shared" si="90"/>
        <v>#REF!</v>
      </c>
      <c r="I252" s="7" t="e">
        <f t="shared" si="90"/>
        <v>#REF!</v>
      </c>
      <c r="J252" s="7" t="e">
        <f t="shared" si="90"/>
        <v>#REF!</v>
      </c>
      <c r="K252" s="7">
        <f t="shared" si="90"/>
        <v>255</v>
      </c>
    </row>
    <row r="253" spans="1:11" ht="31.5">
      <c r="A253" s="31" t="s">
        <v>226</v>
      </c>
      <c r="B253" s="42" t="s">
        <v>191</v>
      </c>
      <c r="C253" s="42" t="s">
        <v>275</v>
      </c>
      <c r="D253" s="42" t="s">
        <v>227</v>
      </c>
      <c r="E253" s="42"/>
      <c r="F253" s="7" t="e">
        <f>F257</f>
        <v>#REF!</v>
      </c>
      <c r="G253" s="7" t="e">
        <f>G257</f>
        <v>#REF!</v>
      </c>
      <c r="H253" s="7" t="e">
        <f>H257</f>
        <v>#REF!</v>
      </c>
      <c r="I253" s="7" t="e">
        <f>I257</f>
        <v>#REF!</v>
      </c>
      <c r="J253" s="7" t="e">
        <f>J257</f>
        <v>#REF!</v>
      </c>
      <c r="K253" s="7">
        <f>K257+K254</f>
        <v>255</v>
      </c>
    </row>
    <row r="254" spans="1:11" ht="31.5" hidden="1">
      <c r="A254" s="26" t="s">
        <v>939</v>
      </c>
      <c r="B254" s="42" t="s">
        <v>191</v>
      </c>
      <c r="C254" s="42" t="s">
        <v>275</v>
      </c>
      <c r="D254" s="21" t="s">
        <v>940</v>
      </c>
      <c r="E254" s="42"/>
      <c r="F254" s="7"/>
      <c r="G254" s="7"/>
      <c r="H254" s="7"/>
      <c r="I254" s="7"/>
      <c r="J254" s="7"/>
      <c r="K254" s="7">
        <f>K255</f>
        <v>0</v>
      </c>
    </row>
    <row r="255" spans="1:11" ht="15.75" hidden="1">
      <c r="A255" s="31" t="s">
        <v>176</v>
      </c>
      <c r="B255" s="42" t="s">
        <v>191</v>
      </c>
      <c r="C255" s="42" t="s">
        <v>275</v>
      </c>
      <c r="D255" s="21" t="s">
        <v>940</v>
      </c>
      <c r="E255" s="42" t="s">
        <v>186</v>
      </c>
      <c r="F255" s="7"/>
      <c r="G255" s="7"/>
      <c r="H255" s="7"/>
      <c r="I255" s="7"/>
      <c r="J255" s="7"/>
      <c r="K255" s="7">
        <f>K256</f>
        <v>0</v>
      </c>
    </row>
    <row r="256" spans="1:11" ht="47.25" hidden="1">
      <c r="A256" s="31" t="s">
        <v>225</v>
      </c>
      <c r="B256" s="42" t="s">
        <v>191</v>
      </c>
      <c r="C256" s="42" t="s">
        <v>275</v>
      </c>
      <c r="D256" s="21" t="s">
        <v>940</v>
      </c>
      <c r="E256" s="42" t="s">
        <v>201</v>
      </c>
      <c r="F256" s="7"/>
      <c r="G256" s="7"/>
      <c r="H256" s="7"/>
      <c r="I256" s="7"/>
      <c r="J256" s="7"/>
      <c r="K256" s="7">
        <f>'Прил.№5 ведомств.'!G201</f>
        <v>0</v>
      </c>
    </row>
    <row r="257" spans="1:11" ht="31.5">
      <c r="A257" s="26" t="s">
        <v>642</v>
      </c>
      <c r="B257" s="42" t="s">
        <v>191</v>
      </c>
      <c r="C257" s="42" t="s">
        <v>275</v>
      </c>
      <c r="D257" s="42" t="s">
        <v>277</v>
      </c>
      <c r="E257" s="42"/>
      <c r="F257" s="7" t="e">
        <f aca="true" t="shared" si="91" ref="F257:K258">F258</f>
        <v>#REF!</v>
      </c>
      <c r="G257" s="7" t="e">
        <f t="shared" si="91"/>
        <v>#REF!</v>
      </c>
      <c r="H257" s="7" t="e">
        <f t="shared" si="91"/>
        <v>#REF!</v>
      </c>
      <c r="I257" s="7" t="e">
        <f t="shared" si="91"/>
        <v>#REF!</v>
      </c>
      <c r="J257" s="7" t="e">
        <f t="shared" si="91"/>
        <v>#REF!</v>
      </c>
      <c r="K257" s="7">
        <f t="shared" si="91"/>
        <v>255</v>
      </c>
    </row>
    <row r="258" spans="1:11" ht="15.75">
      <c r="A258" s="31" t="s">
        <v>176</v>
      </c>
      <c r="B258" s="42" t="s">
        <v>191</v>
      </c>
      <c r="C258" s="42" t="s">
        <v>275</v>
      </c>
      <c r="D258" s="42" t="s">
        <v>277</v>
      </c>
      <c r="E258" s="42" t="s">
        <v>186</v>
      </c>
      <c r="F258" s="7" t="e">
        <f t="shared" si="91"/>
        <v>#REF!</v>
      </c>
      <c r="G258" s="7" t="e">
        <f t="shared" si="91"/>
        <v>#REF!</v>
      </c>
      <c r="H258" s="7" t="e">
        <f t="shared" si="91"/>
        <v>#REF!</v>
      </c>
      <c r="I258" s="7" t="e">
        <f t="shared" si="91"/>
        <v>#REF!</v>
      </c>
      <c r="J258" s="7" t="e">
        <f t="shared" si="91"/>
        <v>#REF!</v>
      </c>
      <c r="K258" s="7">
        <f t="shared" si="91"/>
        <v>255</v>
      </c>
    </row>
    <row r="259" spans="1:11" ht="47.25">
      <c r="A259" s="26" t="s">
        <v>225</v>
      </c>
      <c r="B259" s="42" t="s">
        <v>191</v>
      </c>
      <c r="C259" s="42" t="s">
        <v>275</v>
      </c>
      <c r="D259" s="42" t="s">
        <v>277</v>
      </c>
      <c r="E259" s="42" t="s">
        <v>201</v>
      </c>
      <c r="F259" s="7" t="e">
        <f>#REF!</f>
        <v>#REF!</v>
      </c>
      <c r="G259" s="7" t="e">
        <f>#REF!</f>
        <v>#REF!</v>
      </c>
      <c r="H259" s="7" t="e">
        <f>#REF!</f>
        <v>#REF!</v>
      </c>
      <c r="I259" s="7" t="e">
        <f>#REF!</f>
        <v>#REF!</v>
      </c>
      <c r="J259" s="7" t="e">
        <f>#REF!</f>
        <v>#REF!</v>
      </c>
      <c r="K259" s="7">
        <f>'Прил.№5 ведомств.'!G204</f>
        <v>255</v>
      </c>
    </row>
    <row r="260" spans="1:11" ht="15.75">
      <c r="A260" s="43" t="s">
        <v>547</v>
      </c>
      <c r="B260" s="8" t="s">
        <v>191</v>
      </c>
      <c r="C260" s="8" t="s">
        <v>340</v>
      </c>
      <c r="D260" s="8"/>
      <c r="E260" s="8"/>
      <c r="F260" s="4" t="e">
        <f>F261</f>
        <v>#REF!</v>
      </c>
      <c r="G260" s="4" t="e">
        <f aca="true" t="shared" si="92" ref="G260:K264">G261</f>
        <v>#REF!</v>
      </c>
      <c r="H260" s="4" t="e">
        <f t="shared" si="92"/>
        <v>#REF!</v>
      </c>
      <c r="I260" s="4" t="e">
        <f t="shared" si="92"/>
        <v>#REF!</v>
      </c>
      <c r="J260" s="4" t="e">
        <f t="shared" si="92"/>
        <v>#REF!</v>
      </c>
      <c r="K260" s="4">
        <f t="shared" si="92"/>
        <v>3258.3</v>
      </c>
    </row>
    <row r="261" spans="1:11" ht="15.75">
      <c r="A261" s="31" t="s">
        <v>162</v>
      </c>
      <c r="B261" s="42" t="s">
        <v>191</v>
      </c>
      <c r="C261" s="42" t="s">
        <v>340</v>
      </c>
      <c r="D261" s="42" t="s">
        <v>163</v>
      </c>
      <c r="E261" s="8"/>
      <c r="F261" s="7" t="e">
        <f>F262</f>
        <v>#REF!</v>
      </c>
      <c r="G261" s="7" t="e">
        <f t="shared" si="92"/>
        <v>#REF!</v>
      </c>
      <c r="H261" s="7" t="e">
        <f t="shared" si="92"/>
        <v>#REF!</v>
      </c>
      <c r="I261" s="7" t="e">
        <f t="shared" si="92"/>
        <v>#REF!</v>
      </c>
      <c r="J261" s="7" t="e">
        <f t="shared" si="92"/>
        <v>#REF!</v>
      </c>
      <c r="K261" s="7">
        <f t="shared" si="92"/>
        <v>3258.3</v>
      </c>
    </row>
    <row r="262" spans="1:11" ht="15.75">
      <c r="A262" s="31" t="s">
        <v>182</v>
      </c>
      <c r="B262" s="42" t="s">
        <v>191</v>
      </c>
      <c r="C262" s="42" t="s">
        <v>340</v>
      </c>
      <c r="D262" s="42" t="s">
        <v>183</v>
      </c>
      <c r="E262" s="8"/>
      <c r="F262" s="7" t="e">
        <f>F263</f>
        <v>#REF!</v>
      </c>
      <c r="G262" s="7" t="e">
        <f t="shared" si="92"/>
        <v>#REF!</v>
      </c>
      <c r="H262" s="7" t="e">
        <f t="shared" si="92"/>
        <v>#REF!</v>
      </c>
      <c r="I262" s="7" t="e">
        <f t="shared" si="92"/>
        <v>#REF!</v>
      </c>
      <c r="J262" s="7" t="e">
        <f t="shared" si="92"/>
        <v>#REF!</v>
      </c>
      <c r="K262" s="7">
        <f t="shared" si="92"/>
        <v>3258.3</v>
      </c>
    </row>
    <row r="263" spans="1:11" ht="18.75" customHeight="1">
      <c r="A263" s="31" t="s">
        <v>548</v>
      </c>
      <c r="B263" s="42" t="s">
        <v>191</v>
      </c>
      <c r="C263" s="42" t="s">
        <v>340</v>
      </c>
      <c r="D263" s="42" t="s">
        <v>549</v>
      </c>
      <c r="E263" s="42"/>
      <c r="F263" s="7" t="e">
        <f>F264</f>
        <v>#REF!</v>
      </c>
      <c r="G263" s="7" t="e">
        <f t="shared" si="92"/>
        <v>#REF!</v>
      </c>
      <c r="H263" s="7" t="e">
        <f t="shared" si="92"/>
        <v>#REF!</v>
      </c>
      <c r="I263" s="7" t="e">
        <f t="shared" si="92"/>
        <v>#REF!</v>
      </c>
      <c r="J263" s="7" t="e">
        <f t="shared" si="92"/>
        <v>#REF!</v>
      </c>
      <c r="K263" s="7">
        <f t="shared" si="92"/>
        <v>3258.3</v>
      </c>
    </row>
    <row r="264" spans="1:11" ht="31.5">
      <c r="A264" s="31" t="s">
        <v>172</v>
      </c>
      <c r="B264" s="42" t="s">
        <v>191</v>
      </c>
      <c r="C264" s="42" t="s">
        <v>340</v>
      </c>
      <c r="D264" s="42" t="s">
        <v>549</v>
      </c>
      <c r="E264" s="42" t="s">
        <v>173</v>
      </c>
      <c r="F264" s="7" t="e">
        <f>F265</f>
        <v>#REF!</v>
      </c>
      <c r="G264" s="7" t="e">
        <f t="shared" si="92"/>
        <v>#REF!</v>
      </c>
      <c r="H264" s="7" t="e">
        <f t="shared" si="92"/>
        <v>#REF!</v>
      </c>
      <c r="I264" s="7" t="e">
        <f t="shared" si="92"/>
        <v>#REF!</v>
      </c>
      <c r="J264" s="7" t="e">
        <f t="shared" si="92"/>
        <v>#REF!</v>
      </c>
      <c r="K264" s="7">
        <f t="shared" si="92"/>
        <v>3258.3</v>
      </c>
    </row>
    <row r="265" spans="1:11" ht="47.25">
      <c r="A265" s="31" t="s">
        <v>174</v>
      </c>
      <c r="B265" s="42" t="s">
        <v>191</v>
      </c>
      <c r="C265" s="42" t="s">
        <v>340</v>
      </c>
      <c r="D265" s="42" t="s">
        <v>549</v>
      </c>
      <c r="E265" s="42" t="s">
        <v>175</v>
      </c>
      <c r="F265" s="62" t="e">
        <f>#REF!</f>
        <v>#REF!</v>
      </c>
      <c r="G265" s="62" t="e">
        <f>#REF!</f>
        <v>#REF!</v>
      </c>
      <c r="H265" s="62" t="e">
        <f>#REF!</f>
        <v>#REF!</v>
      </c>
      <c r="I265" s="62" t="e">
        <f>#REF!</f>
        <v>#REF!</v>
      </c>
      <c r="J265" s="62" t="e">
        <f>#REF!</f>
        <v>#REF!</v>
      </c>
      <c r="K265" s="62">
        <f>'Прил.№5 ведомств.'!G1048</f>
        <v>3258.3</v>
      </c>
    </row>
    <row r="266" spans="1:11" ht="15.75">
      <c r="A266" s="43" t="s">
        <v>550</v>
      </c>
      <c r="B266" s="8" t="s">
        <v>191</v>
      </c>
      <c r="C266" s="8" t="s">
        <v>260</v>
      </c>
      <c r="D266" s="42"/>
      <c r="E266" s="8"/>
      <c r="F266" s="4" t="e">
        <f>F267</f>
        <v>#REF!</v>
      </c>
      <c r="G266" s="4" t="e">
        <f aca="true" t="shared" si="93" ref="G266:K267">G267</f>
        <v>#REF!</v>
      </c>
      <c r="H266" s="4" t="e">
        <f t="shared" si="93"/>
        <v>#REF!</v>
      </c>
      <c r="I266" s="4" t="e">
        <f t="shared" si="93"/>
        <v>#REF!</v>
      </c>
      <c r="J266" s="4" t="e">
        <f t="shared" si="93"/>
        <v>#REF!</v>
      </c>
      <c r="K266" s="4">
        <f t="shared" si="93"/>
        <v>4766.599999999999</v>
      </c>
    </row>
    <row r="267" spans="1:11" ht="47.25">
      <c r="A267" s="31" t="s">
        <v>964</v>
      </c>
      <c r="B267" s="42" t="s">
        <v>191</v>
      </c>
      <c r="C267" s="42" t="s">
        <v>260</v>
      </c>
      <c r="D267" s="42" t="s">
        <v>552</v>
      </c>
      <c r="E267" s="42"/>
      <c r="F267" s="11" t="e">
        <f>F268</f>
        <v>#REF!</v>
      </c>
      <c r="G267" s="11" t="e">
        <f t="shared" si="93"/>
        <v>#REF!</v>
      </c>
      <c r="H267" s="11" t="e">
        <f t="shared" si="93"/>
        <v>#REF!</v>
      </c>
      <c r="I267" s="11" t="e">
        <f t="shared" si="93"/>
        <v>#REF!</v>
      </c>
      <c r="J267" s="11" t="e">
        <f t="shared" si="93"/>
        <v>#REF!</v>
      </c>
      <c r="K267" s="11">
        <f t="shared" si="93"/>
        <v>4766.599999999999</v>
      </c>
    </row>
    <row r="268" spans="1:11" ht="15.75">
      <c r="A268" s="31" t="s">
        <v>553</v>
      </c>
      <c r="B268" s="42" t="s">
        <v>191</v>
      </c>
      <c r="C268" s="42" t="s">
        <v>260</v>
      </c>
      <c r="D268" s="42" t="s">
        <v>554</v>
      </c>
      <c r="E268" s="42"/>
      <c r="F268" s="11" t="e">
        <f aca="true" t="shared" si="94" ref="F268:K268">F269+F271</f>
        <v>#REF!</v>
      </c>
      <c r="G268" s="11" t="e">
        <f t="shared" si="94"/>
        <v>#REF!</v>
      </c>
      <c r="H268" s="11" t="e">
        <f t="shared" si="94"/>
        <v>#REF!</v>
      </c>
      <c r="I268" s="11" t="e">
        <f t="shared" si="94"/>
        <v>#REF!</v>
      </c>
      <c r="J268" s="11" t="e">
        <f t="shared" si="94"/>
        <v>#REF!</v>
      </c>
      <c r="K268" s="11">
        <f t="shared" si="94"/>
        <v>4766.599999999999</v>
      </c>
    </row>
    <row r="269" spans="1:11" ht="31.5">
      <c r="A269" s="31" t="s">
        <v>172</v>
      </c>
      <c r="B269" s="42" t="s">
        <v>191</v>
      </c>
      <c r="C269" s="42" t="s">
        <v>260</v>
      </c>
      <c r="D269" s="42" t="s">
        <v>554</v>
      </c>
      <c r="E269" s="42" t="s">
        <v>173</v>
      </c>
      <c r="F269" s="11" t="e">
        <f aca="true" t="shared" si="95" ref="F269:K269">F270</f>
        <v>#REF!</v>
      </c>
      <c r="G269" s="11" t="e">
        <f t="shared" si="95"/>
        <v>#REF!</v>
      </c>
      <c r="H269" s="11" t="e">
        <f t="shared" si="95"/>
        <v>#REF!</v>
      </c>
      <c r="I269" s="11" t="e">
        <f t="shared" si="95"/>
        <v>#REF!</v>
      </c>
      <c r="J269" s="11" t="e">
        <f t="shared" si="95"/>
        <v>#REF!</v>
      </c>
      <c r="K269" s="11">
        <f t="shared" si="95"/>
        <v>4740.499999999999</v>
      </c>
    </row>
    <row r="270" spans="1:11" ht="47.25">
      <c r="A270" s="31" t="s">
        <v>174</v>
      </c>
      <c r="B270" s="42" t="s">
        <v>191</v>
      </c>
      <c r="C270" s="42" t="s">
        <v>260</v>
      </c>
      <c r="D270" s="42" t="s">
        <v>554</v>
      </c>
      <c r="E270" s="42" t="s">
        <v>175</v>
      </c>
      <c r="F270" s="62" t="e">
        <f>#REF!</f>
        <v>#REF!</v>
      </c>
      <c r="G270" s="62" t="e">
        <f>#REF!</f>
        <v>#REF!</v>
      </c>
      <c r="H270" s="62" t="e">
        <f>#REF!</f>
        <v>#REF!</v>
      </c>
      <c r="I270" s="62" t="e">
        <f>#REF!</f>
        <v>#REF!</v>
      </c>
      <c r="J270" s="62" t="e">
        <f>#REF!</f>
        <v>#REF!</v>
      </c>
      <c r="K270" s="62">
        <f>'Прил.№5 ведомств.'!G1053</f>
        <v>4740.499999999999</v>
      </c>
    </row>
    <row r="271" spans="1:11" ht="15.75">
      <c r="A271" s="31" t="s">
        <v>176</v>
      </c>
      <c r="B271" s="42" t="s">
        <v>191</v>
      </c>
      <c r="C271" s="42" t="s">
        <v>260</v>
      </c>
      <c r="D271" s="42" t="s">
        <v>554</v>
      </c>
      <c r="E271" s="42" t="s">
        <v>186</v>
      </c>
      <c r="F271" s="62" t="e">
        <f aca="true" t="shared" si="96" ref="F271:K271">F272</f>
        <v>#REF!</v>
      </c>
      <c r="G271" s="62" t="e">
        <f t="shared" si="96"/>
        <v>#REF!</v>
      </c>
      <c r="H271" s="62" t="e">
        <f t="shared" si="96"/>
        <v>#REF!</v>
      </c>
      <c r="I271" s="62" t="e">
        <f t="shared" si="96"/>
        <v>#REF!</v>
      </c>
      <c r="J271" s="62" t="e">
        <f t="shared" si="96"/>
        <v>#REF!</v>
      </c>
      <c r="K271" s="62">
        <f t="shared" si="96"/>
        <v>26.1</v>
      </c>
    </row>
    <row r="272" spans="1:11" ht="15.75">
      <c r="A272" s="31" t="s">
        <v>610</v>
      </c>
      <c r="B272" s="42" t="s">
        <v>191</v>
      </c>
      <c r="C272" s="42" t="s">
        <v>260</v>
      </c>
      <c r="D272" s="42" t="s">
        <v>554</v>
      </c>
      <c r="E272" s="42" t="s">
        <v>179</v>
      </c>
      <c r="F272" s="62" t="e">
        <f>#REF!</f>
        <v>#REF!</v>
      </c>
      <c r="G272" s="62" t="e">
        <f>#REF!</f>
        <v>#REF!</v>
      </c>
      <c r="H272" s="62" t="e">
        <f>#REF!</f>
        <v>#REF!</v>
      </c>
      <c r="I272" s="62" t="e">
        <f>#REF!</f>
        <v>#REF!</v>
      </c>
      <c r="J272" s="62" t="e">
        <f>#REF!</f>
        <v>#REF!</v>
      </c>
      <c r="K272" s="62">
        <f>'Прил.№5 ведомств.'!G1055</f>
        <v>26.1</v>
      </c>
    </row>
    <row r="273" spans="1:11" ht="31.5">
      <c r="A273" s="43" t="s">
        <v>278</v>
      </c>
      <c r="B273" s="8" t="s">
        <v>191</v>
      </c>
      <c r="C273" s="8" t="s">
        <v>279</v>
      </c>
      <c r="D273" s="8"/>
      <c r="E273" s="8"/>
      <c r="F273" s="66" t="e">
        <f>F286+F282</f>
        <v>#REF!</v>
      </c>
      <c r="G273" s="66" t="e">
        <f>G286+G282</f>
        <v>#REF!</v>
      </c>
      <c r="H273" s="66" t="e">
        <f>H286+H282</f>
        <v>#REF!</v>
      </c>
      <c r="I273" s="66" t="e">
        <f>I286+I282</f>
        <v>#REF!</v>
      </c>
      <c r="J273" s="66" t="e">
        <f>J286+J282</f>
        <v>#REF!</v>
      </c>
      <c r="K273" s="66">
        <f>K286+K282+K274</f>
        <v>725</v>
      </c>
    </row>
    <row r="274" spans="1:11" ht="47.25">
      <c r="A274" s="26" t="s">
        <v>384</v>
      </c>
      <c r="B274" s="21" t="s">
        <v>191</v>
      </c>
      <c r="C274" s="21" t="s">
        <v>279</v>
      </c>
      <c r="D274" s="21" t="s">
        <v>385</v>
      </c>
      <c r="E274" s="34"/>
      <c r="F274" s="66"/>
      <c r="G274" s="66"/>
      <c r="H274" s="66"/>
      <c r="I274" s="66"/>
      <c r="J274" s="66"/>
      <c r="K274" s="11">
        <f>K275</f>
        <v>20</v>
      </c>
    </row>
    <row r="275" spans="1:11" ht="47.25">
      <c r="A275" s="26" t="s">
        <v>408</v>
      </c>
      <c r="B275" s="21" t="s">
        <v>191</v>
      </c>
      <c r="C275" s="21" t="s">
        <v>279</v>
      </c>
      <c r="D275" s="21" t="s">
        <v>409</v>
      </c>
      <c r="E275" s="21"/>
      <c r="F275" s="66"/>
      <c r="G275" s="66"/>
      <c r="H275" s="66"/>
      <c r="I275" s="66"/>
      <c r="J275" s="66"/>
      <c r="K275" s="11">
        <f>K276+K279</f>
        <v>20</v>
      </c>
    </row>
    <row r="276" spans="1:11" ht="31.5">
      <c r="A276" s="26" t="s">
        <v>410</v>
      </c>
      <c r="B276" s="21" t="s">
        <v>191</v>
      </c>
      <c r="C276" s="21" t="s">
        <v>279</v>
      </c>
      <c r="D276" s="21" t="s">
        <v>411</v>
      </c>
      <c r="E276" s="21"/>
      <c r="F276" s="66"/>
      <c r="G276" s="66"/>
      <c r="H276" s="66"/>
      <c r="I276" s="66"/>
      <c r="J276" s="66"/>
      <c r="K276" s="11">
        <f>K277</f>
        <v>10</v>
      </c>
    </row>
    <row r="277" spans="1:11" ht="47.25">
      <c r="A277" s="26" t="s">
        <v>313</v>
      </c>
      <c r="B277" s="21" t="s">
        <v>191</v>
      </c>
      <c r="C277" s="21" t="s">
        <v>279</v>
      </c>
      <c r="D277" s="21" t="s">
        <v>411</v>
      </c>
      <c r="E277" s="21" t="s">
        <v>314</v>
      </c>
      <c r="F277" s="66"/>
      <c r="G277" s="66"/>
      <c r="H277" s="66"/>
      <c r="I277" s="66"/>
      <c r="J277" s="66"/>
      <c r="K277" s="11">
        <f>K278</f>
        <v>10</v>
      </c>
    </row>
    <row r="278" spans="1:11" ht="53.25" customHeight="1">
      <c r="A278" s="41" t="s">
        <v>412</v>
      </c>
      <c r="B278" s="21" t="s">
        <v>191</v>
      </c>
      <c r="C278" s="21" t="s">
        <v>279</v>
      </c>
      <c r="D278" s="21" t="s">
        <v>411</v>
      </c>
      <c r="E278" s="21" t="s">
        <v>413</v>
      </c>
      <c r="F278" s="66"/>
      <c r="G278" s="66"/>
      <c r="H278" s="66"/>
      <c r="I278" s="66"/>
      <c r="J278" s="66"/>
      <c r="K278" s="11">
        <f>'Прил.№5 ведомств.'!G298</f>
        <v>10</v>
      </c>
    </row>
    <row r="279" spans="1:11" ht="47.25">
      <c r="A279" s="26" t="s">
        <v>416</v>
      </c>
      <c r="B279" s="21" t="s">
        <v>191</v>
      </c>
      <c r="C279" s="21" t="s">
        <v>279</v>
      </c>
      <c r="D279" s="21" t="s">
        <v>417</v>
      </c>
      <c r="E279" s="21"/>
      <c r="F279" s="66"/>
      <c r="G279" s="66"/>
      <c r="H279" s="66"/>
      <c r="I279" s="66"/>
      <c r="J279" s="66"/>
      <c r="K279" s="11">
        <f>K280</f>
        <v>10</v>
      </c>
    </row>
    <row r="280" spans="1:11" ht="31.5">
      <c r="A280" s="26" t="s">
        <v>289</v>
      </c>
      <c r="B280" s="21" t="s">
        <v>191</v>
      </c>
      <c r="C280" s="21" t="s">
        <v>279</v>
      </c>
      <c r="D280" s="21" t="s">
        <v>417</v>
      </c>
      <c r="E280" s="21" t="s">
        <v>290</v>
      </c>
      <c r="F280" s="66"/>
      <c r="G280" s="66"/>
      <c r="H280" s="66"/>
      <c r="I280" s="66"/>
      <c r="J280" s="66"/>
      <c r="K280" s="11">
        <f>K281</f>
        <v>10</v>
      </c>
    </row>
    <row r="281" spans="1:11" ht="31.5">
      <c r="A281" s="26" t="s">
        <v>291</v>
      </c>
      <c r="B281" s="21" t="s">
        <v>191</v>
      </c>
      <c r="C281" s="21" t="s">
        <v>279</v>
      </c>
      <c r="D281" s="21" t="s">
        <v>417</v>
      </c>
      <c r="E281" s="21" t="s">
        <v>292</v>
      </c>
      <c r="F281" s="66"/>
      <c r="G281" s="66"/>
      <c r="H281" s="66"/>
      <c r="I281" s="66"/>
      <c r="J281" s="66"/>
      <c r="K281" s="11">
        <f>'Прил.№5 ведомств.'!G301</f>
        <v>10</v>
      </c>
    </row>
    <row r="282" spans="1:11" ht="47.25">
      <c r="A282" s="26" t="s">
        <v>949</v>
      </c>
      <c r="B282" s="21" t="s">
        <v>191</v>
      </c>
      <c r="C282" s="21" t="s">
        <v>279</v>
      </c>
      <c r="D282" s="21" t="s">
        <v>197</v>
      </c>
      <c r="E282" s="21"/>
      <c r="F282" s="11" t="e">
        <f>F283</f>
        <v>#REF!</v>
      </c>
      <c r="G282" s="11" t="e">
        <f aca="true" t="shared" si="97" ref="G282:K284">G283</f>
        <v>#REF!</v>
      </c>
      <c r="H282" s="11" t="e">
        <f t="shared" si="97"/>
        <v>#REF!</v>
      </c>
      <c r="I282" s="11" t="e">
        <f t="shared" si="97"/>
        <v>#REF!</v>
      </c>
      <c r="J282" s="11" t="e">
        <f t="shared" si="97"/>
        <v>#REF!</v>
      </c>
      <c r="K282" s="11">
        <f t="shared" si="97"/>
        <v>100</v>
      </c>
    </row>
    <row r="283" spans="1:11" ht="31.5">
      <c r="A283" s="26" t="s">
        <v>198</v>
      </c>
      <c r="B283" s="21" t="s">
        <v>191</v>
      </c>
      <c r="C283" s="21" t="s">
        <v>279</v>
      </c>
      <c r="D283" s="21" t="s">
        <v>199</v>
      </c>
      <c r="E283" s="21"/>
      <c r="F283" s="11" t="e">
        <f>F284</f>
        <v>#REF!</v>
      </c>
      <c r="G283" s="11" t="e">
        <f t="shared" si="97"/>
        <v>#REF!</v>
      </c>
      <c r="H283" s="11" t="e">
        <f t="shared" si="97"/>
        <v>#REF!</v>
      </c>
      <c r="I283" s="11" t="e">
        <f t="shared" si="97"/>
        <v>#REF!</v>
      </c>
      <c r="J283" s="11" t="e">
        <f t="shared" si="97"/>
        <v>#REF!</v>
      </c>
      <c r="K283" s="11">
        <f t="shared" si="97"/>
        <v>100</v>
      </c>
    </row>
    <row r="284" spans="1:11" ht="15.75">
      <c r="A284" s="26" t="s">
        <v>176</v>
      </c>
      <c r="B284" s="21" t="s">
        <v>191</v>
      </c>
      <c r="C284" s="21" t="s">
        <v>279</v>
      </c>
      <c r="D284" s="21" t="s">
        <v>199</v>
      </c>
      <c r="E284" s="21" t="s">
        <v>186</v>
      </c>
      <c r="F284" s="11" t="e">
        <f>F285</f>
        <v>#REF!</v>
      </c>
      <c r="G284" s="11" t="e">
        <f t="shared" si="97"/>
        <v>#REF!</v>
      </c>
      <c r="H284" s="11" t="e">
        <f t="shared" si="97"/>
        <v>#REF!</v>
      </c>
      <c r="I284" s="11" t="e">
        <f t="shared" si="97"/>
        <v>#REF!</v>
      </c>
      <c r="J284" s="11" t="e">
        <f t="shared" si="97"/>
        <v>#REF!</v>
      </c>
      <c r="K284" s="11">
        <f t="shared" si="97"/>
        <v>100</v>
      </c>
    </row>
    <row r="285" spans="1:11" ht="63">
      <c r="A285" s="26" t="s">
        <v>200</v>
      </c>
      <c r="B285" s="21" t="s">
        <v>191</v>
      </c>
      <c r="C285" s="21" t="s">
        <v>279</v>
      </c>
      <c r="D285" s="21" t="s">
        <v>199</v>
      </c>
      <c r="E285" s="21" t="s">
        <v>201</v>
      </c>
      <c r="F285" s="11" t="e">
        <f>#REF!</f>
        <v>#REF!</v>
      </c>
      <c r="G285" s="11" t="e">
        <f>#REF!</f>
        <v>#REF!</v>
      </c>
      <c r="H285" s="11" t="e">
        <f>#REF!</f>
        <v>#REF!</v>
      </c>
      <c r="I285" s="11" t="e">
        <f>#REF!</f>
        <v>#REF!</v>
      </c>
      <c r="J285" s="11" t="e">
        <f>#REF!</f>
        <v>#REF!</v>
      </c>
      <c r="K285" s="11">
        <f>'Прил.№5 ведомств.'!G209</f>
        <v>100</v>
      </c>
    </row>
    <row r="286" spans="1:11" ht="15.75">
      <c r="A286" s="31" t="s">
        <v>162</v>
      </c>
      <c r="B286" s="42" t="s">
        <v>191</v>
      </c>
      <c r="C286" s="42" t="s">
        <v>279</v>
      </c>
      <c r="D286" s="42" t="s">
        <v>163</v>
      </c>
      <c r="E286" s="8"/>
      <c r="F286" s="11" t="e">
        <f aca="true" t="shared" si="98" ref="F286:K286">F287</f>
        <v>#REF!</v>
      </c>
      <c r="G286" s="11" t="e">
        <f t="shared" si="98"/>
        <v>#REF!</v>
      </c>
      <c r="H286" s="11" t="e">
        <f t="shared" si="98"/>
        <v>#REF!</v>
      </c>
      <c r="I286" s="11" t="e">
        <f t="shared" si="98"/>
        <v>#REF!</v>
      </c>
      <c r="J286" s="11" t="e">
        <f t="shared" si="98"/>
        <v>#REF!</v>
      </c>
      <c r="K286" s="11">
        <f t="shared" si="98"/>
        <v>605</v>
      </c>
    </row>
    <row r="287" spans="1:11" ht="31.5">
      <c r="A287" s="31" t="s">
        <v>226</v>
      </c>
      <c r="B287" s="42" t="s">
        <v>191</v>
      </c>
      <c r="C287" s="42" t="s">
        <v>279</v>
      </c>
      <c r="D287" s="42" t="s">
        <v>227</v>
      </c>
      <c r="E287" s="8"/>
      <c r="F287" s="11" t="e">
        <f aca="true" t="shared" si="99" ref="F287:K287">F291+F288</f>
        <v>#REF!</v>
      </c>
      <c r="G287" s="11" t="e">
        <f t="shared" si="99"/>
        <v>#REF!</v>
      </c>
      <c r="H287" s="11" t="e">
        <f t="shared" si="99"/>
        <v>#REF!</v>
      </c>
      <c r="I287" s="11" t="e">
        <f t="shared" si="99"/>
        <v>#REF!</v>
      </c>
      <c r="J287" s="11" t="e">
        <f t="shared" si="99"/>
        <v>#REF!</v>
      </c>
      <c r="K287" s="11">
        <f t="shared" si="99"/>
        <v>605</v>
      </c>
    </row>
    <row r="288" spans="1:11" ht="31.5" hidden="1">
      <c r="A288" s="26" t="s">
        <v>280</v>
      </c>
      <c r="B288" s="21" t="s">
        <v>191</v>
      </c>
      <c r="C288" s="21" t="s">
        <v>279</v>
      </c>
      <c r="D288" s="21" t="s">
        <v>281</v>
      </c>
      <c r="E288" s="25"/>
      <c r="F288" s="11" t="e">
        <f>F289</f>
        <v>#REF!</v>
      </c>
      <c r="G288" s="11" t="e">
        <f aca="true" t="shared" si="100" ref="G288:K289">G289</f>
        <v>#REF!</v>
      </c>
      <c r="H288" s="11" t="e">
        <f t="shared" si="100"/>
        <v>#REF!</v>
      </c>
      <c r="I288" s="11" t="e">
        <f t="shared" si="100"/>
        <v>#REF!</v>
      </c>
      <c r="J288" s="11" t="e">
        <f t="shared" si="100"/>
        <v>#REF!</v>
      </c>
      <c r="K288" s="11">
        <f t="shared" si="100"/>
        <v>0</v>
      </c>
    </row>
    <row r="289" spans="1:11" ht="15.75" hidden="1">
      <c r="A289" s="26" t="s">
        <v>176</v>
      </c>
      <c r="B289" s="21" t="s">
        <v>191</v>
      </c>
      <c r="C289" s="21" t="s">
        <v>279</v>
      </c>
      <c r="D289" s="21" t="s">
        <v>281</v>
      </c>
      <c r="E289" s="21" t="s">
        <v>186</v>
      </c>
      <c r="F289" s="11" t="e">
        <f>F290</f>
        <v>#REF!</v>
      </c>
      <c r="G289" s="11" t="e">
        <f t="shared" si="100"/>
        <v>#REF!</v>
      </c>
      <c r="H289" s="11" t="e">
        <f t="shared" si="100"/>
        <v>#REF!</v>
      </c>
      <c r="I289" s="11" t="e">
        <f t="shared" si="100"/>
        <v>#REF!</v>
      </c>
      <c r="J289" s="11" t="e">
        <f t="shared" si="100"/>
        <v>#REF!</v>
      </c>
      <c r="K289" s="11">
        <f t="shared" si="100"/>
        <v>0</v>
      </c>
    </row>
    <row r="290" spans="1:11" ht="47.25" hidden="1">
      <c r="A290" s="26" t="s">
        <v>225</v>
      </c>
      <c r="B290" s="21" t="s">
        <v>191</v>
      </c>
      <c r="C290" s="21" t="s">
        <v>279</v>
      </c>
      <c r="D290" s="21" t="s">
        <v>281</v>
      </c>
      <c r="E290" s="21" t="s">
        <v>201</v>
      </c>
      <c r="F290" s="11" t="e">
        <f>#REF!</f>
        <v>#REF!</v>
      </c>
      <c r="G290" s="11" t="e">
        <f>#REF!</f>
        <v>#REF!</v>
      </c>
      <c r="H290" s="11" t="e">
        <f>#REF!</f>
        <v>#REF!</v>
      </c>
      <c r="I290" s="11" t="e">
        <f>#REF!</f>
        <v>#REF!</v>
      </c>
      <c r="J290" s="11" t="e">
        <f>#REF!</f>
        <v>#REF!</v>
      </c>
      <c r="K290" s="11">
        <f>'Прил.№5 ведомств.'!G214</f>
        <v>0</v>
      </c>
    </row>
    <row r="291" spans="1:11" ht="63">
      <c r="A291" s="47" t="s">
        <v>282</v>
      </c>
      <c r="B291" s="42" t="s">
        <v>191</v>
      </c>
      <c r="C291" s="42" t="s">
        <v>279</v>
      </c>
      <c r="D291" s="42" t="s">
        <v>283</v>
      </c>
      <c r="E291" s="42"/>
      <c r="F291" s="7" t="e">
        <f aca="true" t="shared" si="101" ref="F291:K291">F292+F294</f>
        <v>#REF!</v>
      </c>
      <c r="G291" s="7" t="e">
        <f t="shared" si="101"/>
        <v>#REF!</v>
      </c>
      <c r="H291" s="7" t="e">
        <f t="shared" si="101"/>
        <v>#REF!</v>
      </c>
      <c r="I291" s="7" t="e">
        <f t="shared" si="101"/>
        <v>#REF!</v>
      </c>
      <c r="J291" s="7" t="e">
        <f t="shared" si="101"/>
        <v>#REF!</v>
      </c>
      <c r="K291" s="7">
        <f t="shared" si="101"/>
        <v>605</v>
      </c>
    </row>
    <row r="292" spans="1:11" ht="78.75">
      <c r="A292" s="31" t="s">
        <v>168</v>
      </c>
      <c r="B292" s="42" t="s">
        <v>191</v>
      </c>
      <c r="C292" s="42" t="s">
        <v>279</v>
      </c>
      <c r="D292" s="42" t="s">
        <v>283</v>
      </c>
      <c r="E292" s="42" t="s">
        <v>169</v>
      </c>
      <c r="F292" s="7" t="e">
        <f aca="true" t="shared" si="102" ref="F292:K292">F293</f>
        <v>#REF!</v>
      </c>
      <c r="G292" s="7" t="e">
        <f t="shared" si="102"/>
        <v>#REF!</v>
      </c>
      <c r="H292" s="7" t="e">
        <f t="shared" si="102"/>
        <v>#REF!</v>
      </c>
      <c r="I292" s="7" t="e">
        <f t="shared" si="102"/>
        <v>#REF!</v>
      </c>
      <c r="J292" s="7" t="e">
        <f t="shared" si="102"/>
        <v>#REF!</v>
      </c>
      <c r="K292" s="7">
        <f t="shared" si="102"/>
        <v>579.9599999999999</v>
      </c>
    </row>
    <row r="293" spans="1:11" ht="31.5">
      <c r="A293" s="31" t="s">
        <v>170</v>
      </c>
      <c r="B293" s="42" t="s">
        <v>191</v>
      </c>
      <c r="C293" s="42" t="s">
        <v>279</v>
      </c>
      <c r="D293" s="42" t="s">
        <v>283</v>
      </c>
      <c r="E293" s="42" t="s">
        <v>171</v>
      </c>
      <c r="F293" s="7" t="e">
        <f>#REF!</f>
        <v>#REF!</v>
      </c>
      <c r="G293" s="7" t="e">
        <f>#REF!</f>
        <v>#REF!</v>
      </c>
      <c r="H293" s="7" t="e">
        <f>#REF!</f>
        <v>#REF!</v>
      </c>
      <c r="I293" s="7" t="e">
        <f>#REF!</f>
        <v>#REF!</v>
      </c>
      <c r="J293" s="7" t="e">
        <f>#REF!</f>
        <v>#REF!</v>
      </c>
      <c r="K293" s="7">
        <f>'Прил.№5 ведомств.'!G217</f>
        <v>579.9599999999999</v>
      </c>
    </row>
    <row r="294" spans="1:11" ht="31.5">
      <c r="A294" s="31" t="s">
        <v>172</v>
      </c>
      <c r="B294" s="42" t="s">
        <v>191</v>
      </c>
      <c r="C294" s="42" t="s">
        <v>279</v>
      </c>
      <c r="D294" s="42" t="s">
        <v>283</v>
      </c>
      <c r="E294" s="42" t="s">
        <v>173</v>
      </c>
      <c r="F294" s="7" t="e">
        <f aca="true" t="shared" si="103" ref="F294:K294">F295</f>
        <v>#REF!</v>
      </c>
      <c r="G294" s="7" t="e">
        <f t="shared" si="103"/>
        <v>#REF!</v>
      </c>
      <c r="H294" s="7" t="e">
        <f t="shared" si="103"/>
        <v>#REF!</v>
      </c>
      <c r="I294" s="7" t="e">
        <f t="shared" si="103"/>
        <v>#REF!</v>
      </c>
      <c r="J294" s="7" t="e">
        <f t="shared" si="103"/>
        <v>#REF!</v>
      </c>
      <c r="K294" s="7">
        <f t="shared" si="103"/>
        <v>25.04000000000002</v>
      </c>
    </row>
    <row r="295" spans="1:11" ht="47.25">
      <c r="A295" s="31" t="s">
        <v>174</v>
      </c>
      <c r="B295" s="42" t="s">
        <v>191</v>
      </c>
      <c r="C295" s="42" t="s">
        <v>279</v>
      </c>
      <c r="D295" s="42" t="s">
        <v>283</v>
      </c>
      <c r="E295" s="42" t="s">
        <v>175</v>
      </c>
      <c r="F295" s="7" t="e">
        <f>#REF!</f>
        <v>#REF!</v>
      </c>
      <c r="G295" s="7" t="e">
        <f>#REF!</f>
        <v>#REF!</v>
      </c>
      <c r="H295" s="7" t="e">
        <f>#REF!</f>
        <v>#REF!</v>
      </c>
      <c r="I295" s="7" t="e">
        <f>#REF!</f>
        <v>#REF!</v>
      </c>
      <c r="J295" s="7" t="e">
        <f>#REF!</f>
        <v>#REF!</v>
      </c>
      <c r="K295" s="7">
        <f>'Прил.№5 ведомств.'!G219</f>
        <v>25.04000000000002</v>
      </c>
    </row>
    <row r="296" spans="1:11" ht="15.75">
      <c r="A296" s="43" t="s">
        <v>432</v>
      </c>
      <c r="B296" s="8" t="s">
        <v>275</v>
      </c>
      <c r="C296" s="8"/>
      <c r="D296" s="8"/>
      <c r="E296" s="8"/>
      <c r="F296" s="4" t="e">
        <f aca="true" t="shared" si="104" ref="F296:K296">F297++F322+F404+F470</f>
        <v>#REF!</v>
      </c>
      <c r="G296" s="4" t="e">
        <f t="shared" si="104"/>
        <v>#REF!</v>
      </c>
      <c r="H296" s="4" t="e">
        <f t="shared" si="104"/>
        <v>#REF!</v>
      </c>
      <c r="I296" s="4" t="e">
        <f t="shared" si="104"/>
        <v>#REF!</v>
      </c>
      <c r="J296" s="4" t="e">
        <f t="shared" si="104"/>
        <v>#REF!</v>
      </c>
      <c r="K296" s="4">
        <f t="shared" si="104"/>
        <v>171990.05000000005</v>
      </c>
    </row>
    <row r="297" spans="1:17" ht="15.75">
      <c r="A297" s="43" t="s">
        <v>433</v>
      </c>
      <c r="B297" s="8" t="s">
        <v>275</v>
      </c>
      <c r="C297" s="8" t="s">
        <v>159</v>
      </c>
      <c r="D297" s="8"/>
      <c r="E297" s="8"/>
      <c r="F297" s="4" t="e">
        <f>F298</f>
        <v>#REF!</v>
      </c>
      <c r="G297" s="4" t="e">
        <f aca="true" t="shared" si="105" ref="G297:K297">G298</f>
        <v>#REF!</v>
      </c>
      <c r="H297" s="4" t="e">
        <f t="shared" si="105"/>
        <v>#REF!</v>
      </c>
      <c r="I297" s="4" t="e">
        <f t="shared" si="105"/>
        <v>#REF!</v>
      </c>
      <c r="J297" s="4" t="e">
        <f t="shared" si="105"/>
        <v>#REF!</v>
      </c>
      <c r="K297" s="4">
        <f t="shared" si="105"/>
        <v>24392</v>
      </c>
      <c r="L297" s="23"/>
      <c r="M297" s="23"/>
      <c r="N297" s="23"/>
      <c r="Q297" s="23"/>
    </row>
    <row r="298" spans="1:11" ht="15.75">
      <c r="A298" s="31" t="s">
        <v>162</v>
      </c>
      <c r="B298" s="42" t="s">
        <v>275</v>
      </c>
      <c r="C298" s="42" t="s">
        <v>159</v>
      </c>
      <c r="D298" s="42" t="s">
        <v>163</v>
      </c>
      <c r="E298" s="42"/>
      <c r="F298" s="7" t="e">
        <f>F303</f>
        <v>#REF!</v>
      </c>
      <c r="G298" s="7" t="e">
        <f>G303</f>
        <v>#REF!</v>
      </c>
      <c r="H298" s="7" t="e">
        <f>H303</f>
        <v>#REF!</v>
      </c>
      <c r="I298" s="7" t="e">
        <f>I303</f>
        <v>#REF!</v>
      </c>
      <c r="J298" s="7" t="e">
        <f>J303</f>
        <v>#REF!</v>
      </c>
      <c r="K298" s="7">
        <f>K299+K303</f>
        <v>24392</v>
      </c>
    </row>
    <row r="299" spans="1:11" s="285" customFormat="1" ht="31.5">
      <c r="A299" s="31" t="s">
        <v>226</v>
      </c>
      <c r="B299" s="42" t="s">
        <v>275</v>
      </c>
      <c r="C299" s="42" t="s">
        <v>159</v>
      </c>
      <c r="D299" s="42" t="s">
        <v>227</v>
      </c>
      <c r="E299" s="42"/>
      <c r="F299" s="7"/>
      <c r="G299" s="7"/>
      <c r="H299" s="7"/>
      <c r="I299" s="7"/>
      <c r="J299" s="7"/>
      <c r="K299" s="7">
        <f>K300</f>
        <v>8668.8</v>
      </c>
    </row>
    <row r="300" spans="1:11" s="285" customFormat="1" ht="31.5">
      <c r="A300" s="277" t="s">
        <v>1137</v>
      </c>
      <c r="B300" s="42" t="s">
        <v>275</v>
      </c>
      <c r="C300" s="42" t="s">
        <v>159</v>
      </c>
      <c r="D300" s="334" t="s">
        <v>1138</v>
      </c>
      <c r="E300" s="42"/>
      <c r="F300" s="7"/>
      <c r="G300" s="7"/>
      <c r="H300" s="7"/>
      <c r="I300" s="7"/>
      <c r="J300" s="7"/>
      <c r="K300" s="7">
        <f>K301</f>
        <v>8668.8</v>
      </c>
    </row>
    <row r="301" spans="1:11" s="285" customFormat="1" ht="31.5">
      <c r="A301" s="31" t="s">
        <v>172</v>
      </c>
      <c r="B301" s="42" t="s">
        <v>275</v>
      </c>
      <c r="C301" s="42" t="s">
        <v>159</v>
      </c>
      <c r="D301" s="334" t="s">
        <v>1138</v>
      </c>
      <c r="E301" s="42" t="s">
        <v>173</v>
      </c>
      <c r="F301" s="7"/>
      <c r="G301" s="7"/>
      <c r="H301" s="7"/>
      <c r="I301" s="7"/>
      <c r="J301" s="7"/>
      <c r="K301" s="7">
        <f>K302</f>
        <v>8668.8</v>
      </c>
    </row>
    <row r="302" spans="1:11" s="285" customFormat="1" ht="47.25">
      <c r="A302" s="31" t="s">
        <v>174</v>
      </c>
      <c r="B302" s="42" t="s">
        <v>275</v>
      </c>
      <c r="C302" s="42" t="s">
        <v>159</v>
      </c>
      <c r="D302" s="334" t="s">
        <v>1138</v>
      </c>
      <c r="E302" s="42" t="s">
        <v>175</v>
      </c>
      <c r="F302" s="7"/>
      <c r="G302" s="7"/>
      <c r="H302" s="7"/>
      <c r="I302" s="7"/>
      <c r="J302" s="7"/>
      <c r="K302" s="7">
        <f>'Прил.№5 ведомств.'!G1065</f>
        <v>8668.8</v>
      </c>
    </row>
    <row r="303" spans="1:11" ht="15.75">
      <c r="A303" s="31" t="s">
        <v>182</v>
      </c>
      <c r="B303" s="42" t="s">
        <v>275</v>
      </c>
      <c r="C303" s="42" t="s">
        <v>159</v>
      </c>
      <c r="D303" s="42" t="s">
        <v>183</v>
      </c>
      <c r="E303" s="8"/>
      <c r="F303" s="7" t="e">
        <f>F317+F311+F304</f>
        <v>#REF!</v>
      </c>
      <c r="G303" s="7" t="e">
        <f>G317+G311+G304</f>
        <v>#REF!</v>
      </c>
      <c r="H303" s="7" t="e">
        <f>H317+H311+H304</f>
        <v>#REF!</v>
      </c>
      <c r="I303" s="7" t="e">
        <f>I317+I311+I304</f>
        <v>#REF!</v>
      </c>
      <c r="J303" s="7" t="e">
        <f>J317+J311+J304</f>
        <v>#REF!</v>
      </c>
      <c r="K303" s="7">
        <f>K311+K314+K317+K304</f>
        <v>15723.2</v>
      </c>
    </row>
    <row r="304" spans="1:11" ht="15.75">
      <c r="A304" s="26" t="s">
        <v>557</v>
      </c>
      <c r="B304" s="42" t="s">
        <v>275</v>
      </c>
      <c r="C304" s="42" t="s">
        <v>159</v>
      </c>
      <c r="D304" s="42" t="s">
        <v>558</v>
      </c>
      <c r="E304" s="8"/>
      <c r="F304" s="7" t="e">
        <f aca="true" t="shared" si="106" ref="F304:J304">F305+F309</f>
        <v>#REF!</v>
      </c>
      <c r="G304" s="7" t="e">
        <f t="shared" si="106"/>
        <v>#REF!</v>
      </c>
      <c r="H304" s="7" t="e">
        <f t="shared" si="106"/>
        <v>#REF!</v>
      </c>
      <c r="I304" s="7" t="e">
        <f t="shared" si="106"/>
        <v>#REF!</v>
      </c>
      <c r="J304" s="7" t="e">
        <f t="shared" si="106"/>
        <v>#REF!</v>
      </c>
      <c r="K304" s="7">
        <f>K305+K309+K307</f>
        <v>10095.6</v>
      </c>
    </row>
    <row r="305" spans="1:11" ht="31.5">
      <c r="A305" s="31" t="s">
        <v>172</v>
      </c>
      <c r="B305" s="42" t="s">
        <v>275</v>
      </c>
      <c r="C305" s="42" t="s">
        <v>159</v>
      </c>
      <c r="D305" s="42" t="s">
        <v>558</v>
      </c>
      <c r="E305" s="42" t="s">
        <v>173</v>
      </c>
      <c r="F305" s="7" t="e">
        <f aca="true" t="shared" si="107" ref="F305:K305">F306</f>
        <v>#REF!</v>
      </c>
      <c r="G305" s="7" t="e">
        <f t="shared" si="107"/>
        <v>#REF!</v>
      </c>
      <c r="H305" s="7" t="e">
        <f t="shared" si="107"/>
        <v>#REF!</v>
      </c>
      <c r="I305" s="7" t="e">
        <f t="shared" si="107"/>
        <v>#REF!</v>
      </c>
      <c r="J305" s="7" t="e">
        <f t="shared" si="107"/>
        <v>#REF!</v>
      </c>
      <c r="K305" s="7">
        <f t="shared" si="107"/>
        <v>70</v>
      </c>
    </row>
    <row r="306" spans="1:11" ht="53.25" customHeight="1">
      <c r="A306" s="31" t="s">
        <v>174</v>
      </c>
      <c r="B306" s="42" t="s">
        <v>275</v>
      </c>
      <c r="C306" s="42" t="s">
        <v>159</v>
      </c>
      <c r="D306" s="42" t="s">
        <v>558</v>
      </c>
      <c r="E306" s="42" t="s">
        <v>175</v>
      </c>
      <c r="F306" s="7" t="e">
        <f>#REF!</f>
        <v>#REF!</v>
      </c>
      <c r="G306" s="7" t="e">
        <f>#REF!</f>
        <v>#REF!</v>
      </c>
      <c r="H306" s="7" t="e">
        <f>#REF!</f>
        <v>#REF!</v>
      </c>
      <c r="I306" s="7" t="e">
        <f>#REF!</f>
        <v>#REF!</v>
      </c>
      <c r="J306" s="7" t="e">
        <f>#REF!</f>
        <v>#REF!</v>
      </c>
      <c r="K306" s="7">
        <f>'Прил.№5 ведомств.'!G1069</f>
        <v>70</v>
      </c>
    </row>
    <row r="307" spans="1:11" s="285" customFormat="1" ht="31.5">
      <c r="A307" s="277" t="s">
        <v>1100</v>
      </c>
      <c r="B307" s="42" t="s">
        <v>275</v>
      </c>
      <c r="C307" s="42" t="s">
        <v>159</v>
      </c>
      <c r="D307" s="42" t="s">
        <v>558</v>
      </c>
      <c r="E307" s="42" t="s">
        <v>1098</v>
      </c>
      <c r="F307" s="7"/>
      <c r="G307" s="7"/>
      <c r="H307" s="7"/>
      <c r="I307" s="7"/>
      <c r="J307" s="7"/>
      <c r="K307" s="7">
        <f>K308</f>
        <v>10000</v>
      </c>
    </row>
    <row r="308" spans="1:11" s="285" customFormat="1" ht="15.75">
      <c r="A308" s="277" t="s">
        <v>1152</v>
      </c>
      <c r="B308" s="42" t="s">
        <v>275</v>
      </c>
      <c r="C308" s="42" t="s">
        <v>159</v>
      </c>
      <c r="D308" s="42" t="s">
        <v>558</v>
      </c>
      <c r="E308" s="42" t="s">
        <v>1153</v>
      </c>
      <c r="F308" s="7"/>
      <c r="G308" s="7"/>
      <c r="H308" s="7"/>
      <c r="I308" s="7"/>
      <c r="J308" s="7"/>
      <c r="K308" s="7">
        <f>'Прил.№5 ведомств.'!G1071</f>
        <v>10000</v>
      </c>
    </row>
    <row r="309" spans="1:11" ht="15.75">
      <c r="A309" s="31" t="s">
        <v>176</v>
      </c>
      <c r="B309" s="42" t="s">
        <v>275</v>
      </c>
      <c r="C309" s="42" t="s">
        <v>159</v>
      </c>
      <c r="D309" s="42" t="s">
        <v>558</v>
      </c>
      <c r="E309" s="42" t="s">
        <v>186</v>
      </c>
      <c r="F309" s="7" t="e">
        <f aca="true" t="shared" si="108" ref="F309:K309">F310</f>
        <v>#REF!</v>
      </c>
      <c r="G309" s="7" t="e">
        <f t="shared" si="108"/>
        <v>#REF!</v>
      </c>
      <c r="H309" s="7" t="e">
        <f t="shared" si="108"/>
        <v>#REF!</v>
      </c>
      <c r="I309" s="7" t="e">
        <f t="shared" si="108"/>
        <v>#REF!</v>
      </c>
      <c r="J309" s="7" t="e">
        <f t="shared" si="108"/>
        <v>#REF!</v>
      </c>
      <c r="K309" s="7">
        <f t="shared" si="108"/>
        <v>25.59999999999991</v>
      </c>
    </row>
    <row r="310" spans="1:11" ht="47.25">
      <c r="A310" s="31" t="s">
        <v>225</v>
      </c>
      <c r="B310" s="42" t="s">
        <v>275</v>
      </c>
      <c r="C310" s="42" t="s">
        <v>159</v>
      </c>
      <c r="D310" s="42" t="s">
        <v>558</v>
      </c>
      <c r="E310" s="42" t="s">
        <v>201</v>
      </c>
      <c r="F310" s="7" t="e">
        <f>#REF!</f>
        <v>#REF!</v>
      </c>
      <c r="G310" s="7" t="e">
        <f>#REF!</f>
        <v>#REF!</v>
      </c>
      <c r="H310" s="7" t="e">
        <f>#REF!</f>
        <v>#REF!</v>
      </c>
      <c r="I310" s="7" t="e">
        <f>#REF!</f>
        <v>#REF!</v>
      </c>
      <c r="J310" s="7" t="e">
        <f>#REF!</f>
        <v>#REF!</v>
      </c>
      <c r="K310" s="7">
        <f>'Прил.№5 ведомств.'!G1073</f>
        <v>25.59999999999991</v>
      </c>
    </row>
    <row r="311" spans="1:11" ht="31.5">
      <c r="A311" s="31" t="s">
        <v>440</v>
      </c>
      <c r="B311" s="42" t="s">
        <v>275</v>
      </c>
      <c r="C311" s="42" t="s">
        <v>159</v>
      </c>
      <c r="D311" s="42" t="s">
        <v>441</v>
      </c>
      <c r="E311" s="8"/>
      <c r="F311" s="7" t="e">
        <f>F312</f>
        <v>#REF!</v>
      </c>
      <c r="G311" s="7" t="e">
        <f aca="true" t="shared" si="109" ref="G311:K312">G312</f>
        <v>#REF!</v>
      </c>
      <c r="H311" s="7" t="e">
        <f t="shared" si="109"/>
        <v>#REF!</v>
      </c>
      <c r="I311" s="7" t="e">
        <f t="shared" si="109"/>
        <v>#REF!</v>
      </c>
      <c r="J311" s="7" t="e">
        <f t="shared" si="109"/>
        <v>#REF!</v>
      </c>
      <c r="K311" s="7">
        <f t="shared" si="109"/>
        <v>4092.7999999999997</v>
      </c>
    </row>
    <row r="312" spans="1:11" ht="31.5">
      <c r="A312" s="31" t="s">
        <v>172</v>
      </c>
      <c r="B312" s="42" t="s">
        <v>275</v>
      </c>
      <c r="C312" s="42" t="s">
        <v>159</v>
      </c>
      <c r="D312" s="42" t="s">
        <v>441</v>
      </c>
      <c r="E312" s="42" t="s">
        <v>173</v>
      </c>
      <c r="F312" s="7" t="e">
        <f>F313</f>
        <v>#REF!</v>
      </c>
      <c r="G312" s="7" t="e">
        <f t="shared" si="109"/>
        <v>#REF!</v>
      </c>
      <c r="H312" s="7" t="e">
        <f t="shared" si="109"/>
        <v>#REF!</v>
      </c>
      <c r="I312" s="7" t="e">
        <f t="shared" si="109"/>
        <v>#REF!</v>
      </c>
      <c r="J312" s="7" t="e">
        <f t="shared" si="109"/>
        <v>#REF!</v>
      </c>
      <c r="K312" s="7">
        <f t="shared" si="109"/>
        <v>4092.7999999999997</v>
      </c>
    </row>
    <row r="313" spans="1:11" ht="47.25">
      <c r="A313" s="31" t="s">
        <v>174</v>
      </c>
      <c r="B313" s="42" t="s">
        <v>275</v>
      </c>
      <c r="C313" s="42" t="s">
        <v>159</v>
      </c>
      <c r="D313" s="42" t="s">
        <v>441</v>
      </c>
      <c r="E313" s="42" t="s">
        <v>175</v>
      </c>
      <c r="F313" s="7" t="e">
        <f>#REF!+#REF!</f>
        <v>#REF!</v>
      </c>
      <c r="G313" s="7" t="e">
        <f>#REF!+#REF!</f>
        <v>#REF!</v>
      </c>
      <c r="H313" s="7" t="e">
        <f>#REF!+#REF!</f>
        <v>#REF!</v>
      </c>
      <c r="I313" s="7" t="e">
        <f>#REF!+#REF!</f>
        <v>#REF!</v>
      </c>
      <c r="J313" s="7" t="e">
        <f>#REF!+#REF!</f>
        <v>#REF!</v>
      </c>
      <c r="K313" s="7">
        <f>'Прил.№5 ведомств.'!G1076+'Прил.№5 ведомств.'!G660</f>
        <v>4092.7999999999997</v>
      </c>
    </row>
    <row r="314" spans="1:11" ht="15.75">
      <c r="A314" s="26" t="s">
        <v>581</v>
      </c>
      <c r="B314" s="42" t="s">
        <v>275</v>
      </c>
      <c r="C314" s="42" t="s">
        <v>159</v>
      </c>
      <c r="D314" s="42" t="s">
        <v>582</v>
      </c>
      <c r="E314" s="42"/>
      <c r="F314" s="7"/>
      <c r="G314" s="7"/>
      <c r="H314" s="7"/>
      <c r="I314" s="7"/>
      <c r="J314" s="7"/>
      <c r="K314" s="7">
        <f>K315</f>
        <v>1260.3</v>
      </c>
    </row>
    <row r="315" spans="1:11" ht="31.5">
      <c r="A315" s="26" t="s">
        <v>172</v>
      </c>
      <c r="B315" s="42" t="s">
        <v>275</v>
      </c>
      <c r="C315" s="42" t="s">
        <v>159</v>
      </c>
      <c r="D315" s="42" t="s">
        <v>582</v>
      </c>
      <c r="E315" s="42" t="s">
        <v>173</v>
      </c>
      <c r="F315" s="7"/>
      <c r="G315" s="7"/>
      <c r="H315" s="7"/>
      <c r="I315" s="7"/>
      <c r="J315" s="7"/>
      <c r="K315" s="7">
        <f>K316</f>
        <v>1260.3</v>
      </c>
    </row>
    <row r="316" spans="1:11" ht="47.25">
      <c r="A316" s="26" t="s">
        <v>174</v>
      </c>
      <c r="B316" s="42" t="s">
        <v>275</v>
      </c>
      <c r="C316" s="42" t="s">
        <v>159</v>
      </c>
      <c r="D316" s="42" t="s">
        <v>582</v>
      </c>
      <c r="E316" s="42" t="s">
        <v>175</v>
      </c>
      <c r="F316" s="7"/>
      <c r="G316" s="7"/>
      <c r="H316" s="7"/>
      <c r="I316" s="7"/>
      <c r="J316" s="7"/>
      <c r="K316" s="7">
        <f>'Прил.№5 ведомств.'!G1079</f>
        <v>1260.3</v>
      </c>
    </row>
    <row r="317" spans="1:11" ht="15.75" hidden="1">
      <c r="A317" s="31" t="s">
        <v>438</v>
      </c>
      <c r="B317" s="42" t="s">
        <v>275</v>
      </c>
      <c r="C317" s="42" t="s">
        <v>159</v>
      </c>
      <c r="D317" s="42" t="s">
        <v>439</v>
      </c>
      <c r="E317" s="8"/>
      <c r="F317" s="7" t="e">
        <f aca="true" t="shared" si="110" ref="F317:K317">F320+F318</f>
        <v>#REF!</v>
      </c>
      <c r="G317" s="7" t="e">
        <f t="shared" si="110"/>
        <v>#REF!</v>
      </c>
      <c r="H317" s="7" t="e">
        <f t="shared" si="110"/>
        <v>#REF!</v>
      </c>
      <c r="I317" s="7" t="e">
        <f t="shared" si="110"/>
        <v>#REF!</v>
      </c>
      <c r="J317" s="7" t="e">
        <f t="shared" si="110"/>
        <v>#REF!</v>
      </c>
      <c r="K317" s="7">
        <f t="shared" si="110"/>
        <v>274.5</v>
      </c>
    </row>
    <row r="318" spans="1:11" ht="31.5" hidden="1">
      <c r="A318" s="31" t="s">
        <v>172</v>
      </c>
      <c r="B318" s="42" t="s">
        <v>275</v>
      </c>
      <c r="C318" s="42" t="s">
        <v>159</v>
      </c>
      <c r="D318" s="42" t="s">
        <v>439</v>
      </c>
      <c r="E318" s="42" t="s">
        <v>173</v>
      </c>
      <c r="F318" s="7" t="e">
        <f aca="true" t="shared" si="111" ref="F318:K318">F319</f>
        <v>#REF!</v>
      </c>
      <c r="G318" s="7" t="e">
        <f t="shared" si="111"/>
        <v>#REF!</v>
      </c>
      <c r="H318" s="7" t="e">
        <f t="shared" si="111"/>
        <v>#REF!</v>
      </c>
      <c r="I318" s="7" t="e">
        <f t="shared" si="111"/>
        <v>#REF!</v>
      </c>
      <c r="J318" s="7" t="e">
        <f t="shared" si="111"/>
        <v>#REF!</v>
      </c>
      <c r="K318" s="7">
        <f t="shared" si="111"/>
        <v>274.5</v>
      </c>
    </row>
    <row r="319" spans="1:11" ht="47.25" hidden="1">
      <c r="A319" s="31" t="s">
        <v>174</v>
      </c>
      <c r="B319" s="42" t="s">
        <v>275</v>
      </c>
      <c r="C319" s="42" t="s">
        <v>159</v>
      </c>
      <c r="D319" s="42" t="s">
        <v>439</v>
      </c>
      <c r="E319" s="42" t="s">
        <v>175</v>
      </c>
      <c r="F319" s="7" t="e">
        <f>#REF!</f>
        <v>#REF!</v>
      </c>
      <c r="G319" s="7" t="e">
        <f>#REF!</f>
        <v>#REF!</v>
      </c>
      <c r="H319" s="7" t="e">
        <f>#REF!</f>
        <v>#REF!</v>
      </c>
      <c r="I319" s="7" t="e">
        <f>#REF!</f>
        <v>#REF!</v>
      </c>
      <c r="J319" s="7" t="e">
        <f>#REF!</f>
        <v>#REF!</v>
      </c>
      <c r="K319" s="7">
        <f>'Прил.№5 ведомств.'!G663</f>
        <v>274.5</v>
      </c>
    </row>
    <row r="320" spans="1:11" ht="15.75" customHeight="1" hidden="1">
      <c r="A320" s="31" t="s">
        <v>176</v>
      </c>
      <c r="B320" s="42" t="s">
        <v>275</v>
      </c>
      <c r="C320" s="42" t="s">
        <v>159</v>
      </c>
      <c r="D320" s="42" t="s">
        <v>439</v>
      </c>
      <c r="E320" s="42" t="s">
        <v>186</v>
      </c>
      <c r="F320" s="7">
        <f aca="true" t="shared" si="112" ref="F320:K320">F321</f>
        <v>0</v>
      </c>
      <c r="G320" s="7">
        <f t="shared" si="112"/>
        <v>0</v>
      </c>
      <c r="H320" s="7">
        <f t="shared" si="112"/>
        <v>0</v>
      </c>
      <c r="I320" s="7">
        <f t="shared" si="112"/>
        <v>0</v>
      </c>
      <c r="J320" s="7">
        <f t="shared" si="112"/>
        <v>0</v>
      </c>
      <c r="K320" s="7">
        <f t="shared" si="112"/>
        <v>0</v>
      </c>
    </row>
    <row r="321" spans="1:11" ht="47.25" customHeight="1" hidden="1">
      <c r="A321" s="31" t="s">
        <v>225</v>
      </c>
      <c r="B321" s="42" t="s">
        <v>275</v>
      </c>
      <c r="C321" s="42" t="s">
        <v>159</v>
      </c>
      <c r="D321" s="42" t="s">
        <v>439</v>
      </c>
      <c r="E321" s="42" t="s">
        <v>201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</row>
    <row r="322" spans="1:11" ht="15.75">
      <c r="A322" s="43" t="s">
        <v>559</v>
      </c>
      <c r="B322" s="8" t="s">
        <v>275</v>
      </c>
      <c r="C322" s="8" t="s">
        <v>254</v>
      </c>
      <c r="D322" s="8"/>
      <c r="E322" s="8"/>
      <c r="F322" s="4" t="e">
        <f aca="true" t="shared" si="113" ref="F322:K322">F354+F323</f>
        <v>#REF!</v>
      </c>
      <c r="G322" s="4" t="e">
        <f t="shared" si="113"/>
        <v>#REF!</v>
      </c>
      <c r="H322" s="4" t="e">
        <f t="shared" si="113"/>
        <v>#REF!</v>
      </c>
      <c r="I322" s="4" t="e">
        <f t="shared" si="113"/>
        <v>#REF!</v>
      </c>
      <c r="J322" s="4" t="e">
        <f t="shared" si="113"/>
        <v>#REF!</v>
      </c>
      <c r="K322" s="4">
        <f t="shared" si="113"/>
        <v>107017.96</v>
      </c>
    </row>
    <row r="323" spans="1:11" ht="63">
      <c r="A323" s="26" t="s">
        <v>1060</v>
      </c>
      <c r="B323" s="42" t="s">
        <v>275</v>
      </c>
      <c r="C323" s="42" t="s">
        <v>254</v>
      </c>
      <c r="D323" s="21" t="s">
        <v>560</v>
      </c>
      <c r="E323" s="8"/>
      <c r="F323" s="7" t="e">
        <f aca="true" t="shared" si="114" ref="F323:K323">F327+F330+F335+F340+F345+F348+F351</f>
        <v>#REF!</v>
      </c>
      <c r="G323" s="7" t="e">
        <f t="shared" si="114"/>
        <v>#REF!</v>
      </c>
      <c r="H323" s="7" t="e">
        <f t="shared" si="114"/>
        <v>#REF!</v>
      </c>
      <c r="I323" s="7" t="e">
        <f t="shared" si="114"/>
        <v>#REF!</v>
      </c>
      <c r="J323" s="7" t="e">
        <f t="shared" si="114"/>
        <v>#REF!</v>
      </c>
      <c r="K323" s="7">
        <f t="shared" si="114"/>
        <v>9226.800000000001</v>
      </c>
    </row>
    <row r="324" spans="1:11" ht="47.25" customHeight="1" hidden="1">
      <c r="A324" s="26" t="s">
        <v>561</v>
      </c>
      <c r="B324" s="42" t="s">
        <v>275</v>
      </c>
      <c r="C324" s="42" t="s">
        <v>254</v>
      </c>
      <c r="D324" s="21" t="s">
        <v>562</v>
      </c>
      <c r="E324" s="8"/>
      <c r="F324" s="7">
        <f>F325</f>
        <v>0</v>
      </c>
      <c r="G324" s="7">
        <f aca="true" t="shared" si="115" ref="G324:K325">G325</f>
        <v>0</v>
      </c>
      <c r="H324" s="7">
        <f t="shared" si="115"/>
        <v>0</v>
      </c>
      <c r="I324" s="7">
        <f t="shared" si="115"/>
        <v>0</v>
      </c>
      <c r="J324" s="7">
        <f t="shared" si="115"/>
        <v>0</v>
      </c>
      <c r="K324" s="7">
        <f t="shared" si="115"/>
        <v>0</v>
      </c>
    </row>
    <row r="325" spans="1:11" ht="31.5" customHeight="1" hidden="1">
      <c r="A325" s="26" t="s">
        <v>172</v>
      </c>
      <c r="B325" s="42" t="s">
        <v>275</v>
      </c>
      <c r="C325" s="42" t="s">
        <v>254</v>
      </c>
      <c r="D325" s="21" t="s">
        <v>562</v>
      </c>
      <c r="E325" s="42" t="s">
        <v>173</v>
      </c>
      <c r="F325" s="7">
        <f>F326</f>
        <v>0</v>
      </c>
      <c r="G325" s="7">
        <f t="shared" si="115"/>
        <v>0</v>
      </c>
      <c r="H325" s="7">
        <f t="shared" si="115"/>
        <v>0</v>
      </c>
      <c r="I325" s="7">
        <f t="shared" si="115"/>
        <v>0</v>
      </c>
      <c r="J325" s="7">
        <f t="shared" si="115"/>
        <v>0</v>
      </c>
      <c r="K325" s="7">
        <f t="shared" si="115"/>
        <v>0</v>
      </c>
    </row>
    <row r="326" spans="1:11" ht="47.25" customHeight="1" hidden="1">
      <c r="A326" s="26" t="s">
        <v>174</v>
      </c>
      <c r="B326" s="42" t="s">
        <v>275</v>
      </c>
      <c r="C326" s="42" t="s">
        <v>254</v>
      </c>
      <c r="D326" s="21" t="s">
        <v>562</v>
      </c>
      <c r="E326" s="42" t="s">
        <v>175</v>
      </c>
      <c r="F326" s="7"/>
      <c r="G326" s="7"/>
      <c r="H326" s="7"/>
      <c r="I326" s="7"/>
      <c r="J326" s="7"/>
      <c r="K326" s="7"/>
    </row>
    <row r="327" spans="1:11" ht="15.75">
      <c r="A327" s="120" t="s">
        <v>563</v>
      </c>
      <c r="B327" s="42" t="s">
        <v>275</v>
      </c>
      <c r="C327" s="42" t="s">
        <v>254</v>
      </c>
      <c r="D327" s="21" t="s">
        <v>564</v>
      </c>
      <c r="E327" s="42"/>
      <c r="F327" s="7" t="e">
        <f>F328</f>
        <v>#REF!</v>
      </c>
      <c r="G327" s="7" t="e">
        <f aca="true" t="shared" si="116" ref="G327:K328">G328</f>
        <v>#REF!</v>
      </c>
      <c r="H327" s="7" t="e">
        <f t="shared" si="116"/>
        <v>#REF!</v>
      </c>
      <c r="I327" s="7" t="e">
        <f t="shared" si="116"/>
        <v>#REF!</v>
      </c>
      <c r="J327" s="7" t="e">
        <f t="shared" si="116"/>
        <v>#REF!</v>
      </c>
      <c r="K327" s="7">
        <f t="shared" si="116"/>
        <v>4377</v>
      </c>
    </row>
    <row r="328" spans="1:11" ht="31.5">
      <c r="A328" s="33" t="s">
        <v>172</v>
      </c>
      <c r="B328" s="42" t="s">
        <v>275</v>
      </c>
      <c r="C328" s="42" t="s">
        <v>254</v>
      </c>
      <c r="D328" s="21" t="s">
        <v>564</v>
      </c>
      <c r="E328" s="42" t="s">
        <v>173</v>
      </c>
      <c r="F328" s="7" t="e">
        <f>F329</f>
        <v>#REF!</v>
      </c>
      <c r="G328" s="7" t="e">
        <f t="shared" si="116"/>
        <v>#REF!</v>
      </c>
      <c r="H328" s="7" t="e">
        <f t="shared" si="116"/>
        <v>#REF!</v>
      </c>
      <c r="I328" s="7" t="e">
        <f t="shared" si="116"/>
        <v>#REF!</v>
      </c>
      <c r="J328" s="7" t="e">
        <f t="shared" si="116"/>
        <v>#REF!</v>
      </c>
      <c r="K328" s="7">
        <f t="shared" si="116"/>
        <v>4377</v>
      </c>
    </row>
    <row r="329" spans="1:11" ht="47.25">
      <c r="A329" s="33" t="s">
        <v>174</v>
      </c>
      <c r="B329" s="42" t="s">
        <v>275</v>
      </c>
      <c r="C329" s="42" t="s">
        <v>254</v>
      </c>
      <c r="D329" s="21" t="s">
        <v>564</v>
      </c>
      <c r="E329" s="42" t="s">
        <v>175</v>
      </c>
      <c r="F329" s="7" t="e">
        <f>#REF!</f>
        <v>#REF!</v>
      </c>
      <c r="G329" s="7" t="e">
        <f>#REF!</f>
        <v>#REF!</v>
      </c>
      <c r="H329" s="7" t="e">
        <f>#REF!</f>
        <v>#REF!</v>
      </c>
      <c r="I329" s="7" t="e">
        <f>#REF!</f>
        <v>#REF!</v>
      </c>
      <c r="J329" s="7" t="e">
        <f>#REF!</f>
        <v>#REF!</v>
      </c>
      <c r="K329" s="7">
        <f>'Прил.№5 ведомств.'!G1087</f>
        <v>4377</v>
      </c>
    </row>
    <row r="330" spans="1:11" ht="15.75">
      <c r="A330" s="120" t="s">
        <v>565</v>
      </c>
      <c r="B330" s="42" t="s">
        <v>275</v>
      </c>
      <c r="C330" s="42" t="s">
        <v>254</v>
      </c>
      <c r="D330" s="21" t="s">
        <v>566</v>
      </c>
      <c r="E330" s="42"/>
      <c r="F330" s="7" t="e">
        <f>F331</f>
        <v>#REF!</v>
      </c>
      <c r="G330" s="7" t="e">
        <f aca="true" t="shared" si="117" ref="G330:K331">G331</f>
        <v>#REF!</v>
      </c>
      <c r="H330" s="7" t="e">
        <f t="shared" si="117"/>
        <v>#REF!</v>
      </c>
      <c r="I330" s="7" t="e">
        <f t="shared" si="117"/>
        <v>#REF!</v>
      </c>
      <c r="J330" s="7" t="e">
        <f t="shared" si="117"/>
        <v>#REF!</v>
      </c>
      <c r="K330" s="7">
        <f>K331+K333</f>
        <v>400</v>
      </c>
    </row>
    <row r="331" spans="1:11" ht="31.5">
      <c r="A331" s="33" t="s">
        <v>172</v>
      </c>
      <c r="B331" s="42" t="s">
        <v>275</v>
      </c>
      <c r="C331" s="42" t="s">
        <v>254</v>
      </c>
      <c r="D331" s="21" t="s">
        <v>566</v>
      </c>
      <c r="E331" s="42" t="s">
        <v>173</v>
      </c>
      <c r="F331" s="7" t="e">
        <f>F332</f>
        <v>#REF!</v>
      </c>
      <c r="G331" s="7" t="e">
        <f t="shared" si="117"/>
        <v>#REF!</v>
      </c>
      <c r="H331" s="7" t="e">
        <f t="shared" si="117"/>
        <v>#REF!</v>
      </c>
      <c r="I331" s="7" t="e">
        <f t="shared" si="117"/>
        <v>#REF!</v>
      </c>
      <c r="J331" s="7" t="e">
        <f t="shared" si="117"/>
        <v>#REF!</v>
      </c>
      <c r="K331" s="7">
        <f t="shared" si="117"/>
        <v>400</v>
      </c>
    </row>
    <row r="332" spans="1:11" ht="47.25">
      <c r="A332" s="33" t="s">
        <v>174</v>
      </c>
      <c r="B332" s="42" t="s">
        <v>275</v>
      </c>
      <c r="C332" s="42" t="s">
        <v>254</v>
      </c>
      <c r="D332" s="21" t="s">
        <v>566</v>
      </c>
      <c r="E332" s="42" t="s">
        <v>175</v>
      </c>
      <c r="F332" s="7" t="e">
        <f>#REF!</f>
        <v>#REF!</v>
      </c>
      <c r="G332" s="7" t="e">
        <f>#REF!</f>
        <v>#REF!</v>
      </c>
      <c r="H332" s="7" t="e">
        <f>#REF!</f>
        <v>#REF!</v>
      </c>
      <c r="I332" s="7" t="e">
        <f>#REF!</f>
        <v>#REF!</v>
      </c>
      <c r="J332" s="7" t="e">
        <f>#REF!</f>
        <v>#REF!</v>
      </c>
      <c r="K332" s="7">
        <f>'Прил.№5 ведомств.'!G1090</f>
        <v>400</v>
      </c>
    </row>
    <row r="333" spans="1:11" ht="15.75" hidden="1">
      <c r="A333" s="31" t="s">
        <v>176</v>
      </c>
      <c r="B333" s="42" t="s">
        <v>275</v>
      </c>
      <c r="C333" s="42" t="s">
        <v>254</v>
      </c>
      <c r="D333" s="21" t="s">
        <v>566</v>
      </c>
      <c r="E333" s="42" t="s">
        <v>186</v>
      </c>
      <c r="F333" s="7"/>
      <c r="G333" s="7"/>
      <c r="H333" s="7"/>
      <c r="I333" s="7"/>
      <c r="J333" s="7"/>
      <c r="K333" s="7">
        <f>K334</f>
        <v>0</v>
      </c>
    </row>
    <row r="334" spans="1:11" ht="15.75" hidden="1">
      <c r="A334" s="31" t="s">
        <v>187</v>
      </c>
      <c r="B334" s="42" t="s">
        <v>275</v>
      </c>
      <c r="C334" s="42" t="s">
        <v>254</v>
      </c>
      <c r="D334" s="21" t="s">
        <v>566</v>
      </c>
      <c r="E334" s="42" t="s">
        <v>188</v>
      </c>
      <c r="F334" s="7"/>
      <c r="G334" s="7"/>
      <c r="H334" s="7"/>
      <c r="I334" s="7"/>
      <c r="J334" s="7"/>
      <c r="K334" s="7">
        <f>'Прил.№5 ведомств.'!G1092</f>
        <v>0</v>
      </c>
    </row>
    <row r="335" spans="1:11" ht="15.75">
      <c r="A335" s="120" t="s">
        <v>567</v>
      </c>
      <c r="B335" s="42" t="s">
        <v>275</v>
      </c>
      <c r="C335" s="42" t="s">
        <v>254</v>
      </c>
      <c r="D335" s="21" t="s">
        <v>568</v>
      </c>
      <c r="E335" s="42"/>
      <c r="F335" s="7" t="e">
        <f>F336</f>
        <v>#REF!</v>
      </c>
      <c r="G335" s="7" t="e">
        <f aca="true" t="shared" si="118" ref="G335:K336">G336</f>
        <v>#REF!</v>
      </c>
      <c r="H335" s="7" t="e">
        <f t="shared" si="118"/>
        <v>#REF!</v>
      </c>
      <c r="I335" s="7" t="e">
        <f t="shared" si="118"/>
        <v>#REF!</v>
      </c>
      <c r="J335" s="7" t="e">
        <f t="shared" si="118"/>
        <v>#REF!</v>
      </c>
      <c r="K335" s="7">
        <f>K336+K338</f>
        <v>1733</v>
      </c>
    </row>
    <row r="336" spans="1:11" ht="31.5">
      <c r="A336" s="33" t="s">
        <v>172</v>
      </c>
      <c r="B336" s="42" t="s">
        <v>275</v>
      </c>
      <c r="C336" s="42" t="s">
        <v>254</v>
      </c>
      <c r="D336" s="21" t="s">
        <v>568</v>
      </c>
      <c r="E336" s="42" t="s">
        <v>173</v>
      </c>
      <c r="F336" s="7" t="e">
        <f>F337</f>
        <v>#REF!</v>
      </c>
      <c r="G336" s="7" t="e">
        <f t="shared" si="118"/>
        <v>#REF!</v>
      </c>
      <c r="H336" s="7" t="e">
        <f t="shared" si="118"/>
        <v>#REF!</v>
      </c>
      <c r="I336" s="7" t="e">
        <f t="shared" si="118"/>
        <v>#REF!</v>
      </c>
      <c r="J336" s="7" t="e">
        <f t="shared" si="118"/>
        <v>#REF!</v>
      </c>
      <c r="K336" s="7">
        <f t="shared" si="118"/>
        <v>1733</v>
      </c>
    </row>
    <row r="337" spans="1:11" ht="47.25">
      <c r="A337" s="33" t="s">
        <v>174</v>
      </c>
      <c r="B337" s="42" t="s">
        <v>275</v>
      </c>
      <c r="C337" s="42" t="s">
        <v>254</v>
      </c>
      <c r="D337" s="21" t="s">
        <v>568</v>
      </c>
      <c r="E337" s="42" t="s">
        <v>175</v>
      </c>
      <c r="F337" s="7" t="e">
        <f>#REF!</f>
        <v>#REF!</v>
      </c>
      <c r="G337" s="7" t="e">
        <f>#REF!</f>
        <v>#REF!</v>
      </c>
      <c r="H337" s="7" t="e">
        <f>#REF!</f>
        <v>#REF!</v>
      </c>
      <c r="I337" s="7" t="e">
        <f>#REF!</f>
        <v>#REF!</v>
      </c>
      <c r="J337" s="7" t="e">
        <f>#REF!</f>
        <v>#REF!</v>
      </c>
      <c r="K337" s="7">
        <f>'Прил.№5 ведомств.'!G1095</f>
        <v>1733</v>
      </c>
    </row>
    <row r="338" spans="1:11" ht="15.75" hidden="1">
      <c r="A338" s="31" t="s">
        <v>176</v>
      </c>
      <c r="B338" s="42" t="s">
        <v>275</v>
      </c>
      <c r="C338" s="42" t="s">
        <v>254</v>
      </c>
      <c r="D338" s="21" t="s">
        <v>568</v>
      </c>
      <c r="E338" s="42" t="s">
        <v>186</v>
      </c>
      <c r="F338" s="7"/>
      <c r="G338" s="7"/>
      <c r="H338" s="7"/>
      <c r="I338" s="7"/>
      <c r="J338" s="7"/>
      <c r="K338" s="7">
        <f>K339</f>
        <v>0</v>
      </c>
    </row>
    <row r="339" spans="1:11" ht="15.75" hidden="1">
      <c r="A339" s="31" t="s">
        <v>610</v>
      </c>
      <c r="B339" s="42" t="s">
        <v>275</v>
      </c>
      <c r="C339" s="42" t="s">
        <v>254</v>
      </c>
      <c r="D339" s="21" t="s">
        <v>568</v>
      </c>
      <c r="E339" s="42" t="s">
        <v>179</v>
      </c>
      <c r="F339" s="7"/>
      <c r="G339" s="7"/>
      <c r="H339" s="7"/>
      <c r="I339" s="7"/>
      <c r="J339" s="7"/>
      <c r="K339" s="7">
        <v>0</v>
      </c>
    </row>
    <row r="340" spans="1:11" ht="15.75">
      <c r="A340" s="120" t="s">
        <v>569</v>
      </c>
      <c r="B340" s="42" t="s">
        <v>275</v>
      </c>
      <c r="C340" s="42" t="s">
        <v>254</v>
      </c>
      <c r="D340" s="21" t="s">
        <v>570</v>
      </c>
      <c r="E340" s="42"/>
      <c r="F340" s="7" t="e">
        <f>F341</f>
        <v>#REF!</v>
      </c>
      <c r="G340" s="7" t="e">
        <f aca="true" t="shared" si="119" ref="G340:K341">G341</f>
        <v>#REF!</v>
      </c>
      <c r="H340" s="7" t="e">
        <f t="shared" si="119"/>
        <v>#REF!</v>
      </c>
      <c r="I340" s="7" t="e">
        <f t="shared" si="119"/>
        <v>#REF!</v>
      </c>
      <c r="J340" s="7" t="e">
        <f t="shared" si="119"/>
        <v>#REF!</v>
      </c>
      <c r="K340" s="7">
        <f>K341+K343</f>
        <v>2588.2</v>
      </c>
    </row>
    <row r="341" spans="1:11" ht="31.5">
      <c r="A341" s="33" t="s">
        <v>172</v>
      </c>
      <c r="B341" s="42" t="s">
        <v>275</v>
      </c>
      <c r="C341" s="42" t="s">
        <v>254</v>
      </c>
      <c r="D341" s="21" t="s">
        <v>570</v>
      </c>
      <c r="E341" s="42" t="s">
        <v>173</v>
      </c>
      <c r="F341" s="7" t="e">
        <f>F342</f>
        <v>#REF!</v>
      </c>
      <c r="G341" s="7" t="e">
        <f t="shared" si="119"/>
        <v>#REF!</v>
      </c>
      <c r="H341" s="7" t="e">
        <f t="shared" si="119"/>
        <v>#REF!</v>
      </c>
      <c r="I341" s="7" t="e">
        <f t="shared" si="119"/>
        <v>#REF!</v>
      </c>
      <c r="J341" s="7" t="e">
        <f t="shared" si="119"/>
        <v>#REF!</v>
      </c>
      <c r="K341" s="7">
        <f t="shared" si="119"/>
        <v>2330</v>
      </c>
    </row>
    <row r="342" spans="1:11" ht="47.25">
      <c r="A342" s="33" t="s">
        <v>174</v>
      </c>
      <c r="B342" s="42" t="s">
        <v>275</v>
      </c>
      <c r="C342" s="42" t="s">
        <v>254</v>
      </c>
      <c r="D342" s="21" t="s">
        <v>570</v>
      </c>
      <c r="E342" s="42" t="s">
        <v>175</v>
      </c>
      <c r="F342" s="7" t="e">
        <f>#REF!</f>
        <v>#REF!</v>
      </c>
      <c r="G342" s="7" t="e">
        <f>#REF!</f>
        <v>#REF!</v>
      </c>
      <c r="H342" s="7" t="e">
        <f>#REF!</f>
        <v>#REF!</v>
      </c>
      <c r="I342" s="7" t="e">
        <f>#REF!</f>
        <v>#REF!</v>
      </c>
      <c r="J342" s="7" t="e">
        <f>#REF!</f>
        <v>#REF!</v>
      </c>
      <c r="K342" s="7">
        <f>'Прил.№5 ведомств.'!G1100</f>
        <v>2330</v>
      </c>
    </row>
    <row r="343" spans="1:11" s="285" customFormat="1" ht="31.5">
      <c r="A343" s="277" t="s">
        <v>1100</v>
      </c>
      <c r="B343" s="42" t="s">
        <v>275</v>
      </c>
      <c r="C343" s="42" t="s">
        <v>254</v>
      </c>
      <c r="D343" s="21" t="s">
        <v>570</v>
      </c>
      <c r="E343" s="42" t="s">
        <v>1098</v>
      </c>
      <c r="F343" s="7"/>
      <c r="G343" s="7"/>
      <c r="H343" s="7"/>
      <c r="I343" s="7"/>
      <c r="J343" s="7"/>
      <c r="K343" s="7">
        <f>K344</f>
        <v>258.2</v>
      </c>
    </row>
    <row r="344" spans="1:11" s="285" customFormat="1" ht="15.75">
      <c r="A344" s="277" t="s">
        <v>1152</v>
      </c>
      <c r="B344" s="42" t="s">
        <v>275</v>
      </c>
      <c r="C344" s="42" t="s">
        <v>254</v>
      </c>
      <c r="D344" s="21" t="s">
        <v>570</v>
      </c>
      <c r="E344" s="42" t="s">
        <v>1153</v>
      </c>
      <c r="F344" s="7"/>
      <c r="G344" s="7"/>
      <c r="H344" s="7"/>
      <c r="I344" s="7"/>
      <c r="J344" s="7"/>
      <c r="K344" s="7">
        <f>'Прил.№5 ведомств.'!G1102</f>
        <v>258.2</v>
      </c>
    </row>
    <row r="345" spans="1:11" ht="15.75">
      <c r="A345" s="120" t="s">
        <v>571</v>
      </c>
      <c r="B345" s="42" t="s">
        <v>275</v>
      </c>
      <c r="C345" s="42" t="s">
        <v>254</v>
      </c>
      <c r="D345" s="21" t="s">
        <v>572</v>
      </c>
      <c r="E345" s="42"/>
      <c r="F345" s="7" t="e">
        <f>F346</f>
        <v>#REF!</v>
      </c>
      <c r="G345" s="7" t="e">
        <f aca="true" t="shared" si="120" ref="G345:K346">G346</f>
        <v>#REF!</v>
      </c>
      <c r="H345" s="7" t="e">
        <f t="shared" si="120"/>
        <v>#REF!</v>
      </c>
      <c r="I345" s="7" t="e">
        <f t="shared" si="120"/>
        <v>#REF!</v>
      </c>
      <c r="J345" s="7" t="e">
        <f t="shared" si="120"/>
        <v>#REF!</v>
      </c>
      <c r="K345" s="7">
        <f t="shared" si="120"/>
        <v>28.6</v>
      </c>
    </row>
    <row r="346" spans="1:11" ht="31.5">
      <c r="A346" s="33" t="s">
        <v>172</v>
      </c>
      <c r="B346" s="42" t="s">
        <v>275</v>
      </c>
      <c r="C346" s="42" t="s">
        <v>254</v>
      </c>
      <c r="D346" s="21" t="s">
        <v>572</v>
      </c>
      <c r="E346" s="42" t="s">
        <v>173</v>
      </c>
      <c r="F346" s="7" t="e">
        <f>F347</f>
        <v>#REF!</v>
      </c>
      <c r="G346" s="7" t="e">
        <f t="shared" si="120"/>
        <v>#REF!</v>
      </c>
      <c r="H346" s="7" t="e">
        <f t="shared" si="120"/>
        <v>#REF!</v>
      </c>
      <c r="I346" s="7" t="e">
        <f t="shared" si="120"/>
        <v>#REF!</v>
      </c>
      <c r="J346" s="7" t="e">
        <f t="shared" si="120"/>
        <v>#REF!</v>
      </c>
      <c r="K346" s="7">
        <f t="shared" si="120"/>
        <v>28.6</v>
      </c>
    </row>
    <row r="347" spans="1:11" ht="47.25">
      <c r="A347" s="33" t="s">
        <v>174</v>
      </c>
      <c r="B347" s="42" t="s">
        <v>275</v>
      </c>
      <c r="C347" s="42" t="s">
        <v>254</v>
      </c>
      <c r="D347" s="21" t="s">
        <v>572</v>
      </c>
      <c r="E347" s="42" t="s">
        <v>175</v>
      </c>
      <c r="F347" s="7" t="e">
        <f>#REF!</f>
        <v>#REF!</v>
      </c>
      <c r="G347" s="7" t="e">
        <f>#REF!</f>
        <v>#REF!</v>
      </c>
      <c r="H347" s="7" t="e">
        <f>#REF!</f>
        <v>#REF!</v>
      </c>
      <c r="I347" s="7" t="e">
        <f>#REF!</f>
        <v>#REF!</v>
      </c>
      <c r="J347" s="7" t="e">
        <f>#REF!</f>
        <v>#REF!</v>
      </c>
      <c r="K347" s="7">
        <f>'Прил.№5 ведомств.'!G1105</f>
        <v>28.6</v>
      </c>
    </row>
    <row r="348" spans="1:11" ht="31.5" customHeight="1" hidden="1">
      <c r="A348" s="119" t="s">
        <v>573</v>
      </c>
      <c r="B348" s="42" t="s">
        <v>275</v>
      </c>
      <c r="C348" s="42" t="s">
        <v>254</v>
      </c>
      <c r="D348" s="21" t="s">
        <v>574</v>
      </c>
      <c r="E348" s="42"/>
      <c r="F348" s="7">
        <f>F349</f>
        <v>0</v>
      </c>
      <c r="G348" s="7">
        <f aca="true" t="shared" si="121" ref="G348:K349">G349</f>
        <v>0</v>
      </c>
      <c r="H348" s="7">
        <f t="shared" si="121"/>
        <v>0</v>
      </c>
      <c r="I348" s="7">
        <f t="shared" si="121"/>
        <v>0</v>
      </c>
      <c r="J348" s="7">
        <f t="shared" si="121"/>
        <v>0</v>
      </c>
      <c r="K348" s="7">
        <f t="shared" si="121"/>
        <v>0</v>
      </c>
    </row>
    <row r="349" spans="1:11" ht="31.5" customHeight="1" hidden="1">
      <c r="A349" s="33" t="s">
        <v>172</v>
      </c>
      <c r="B349" s="42" t="s">
        <v>275</v>
      </c>
      <c r="C349" s="42" t="s">
        <v>254</v>
      </c>
      <c r="D349" s="21" t="s">
        <v>574</v>
      </c>
      <c r="E349" s="42" t="s">
        <v>173</v>
      </c>
      <c r="F349" s="7">
        <f>F350</f>
        <v>0</v>
      </c>
      <c r="G349" s="7">
        <f t="shared" si="121"/>
        <v>0</v>
      </c>
      <c r="H349" s="7">
        <f t="shared" si="121"/>
        <v>0</v>
      </c>
      <c r="I349" s="7">
        <f t="shared" si="121"/>
        <v>0</v>
      </c>
      <c r="J349" s="7">
        <f t="shared" si="121"/>
        <v>0</v>
      </c>
      <c r="K349" s="7">
        <f t="shared" si="121"/>
        <v>0</v>
      </c>
    </row>
    <row r="350" spans="1:11" ht="47.25" customHeight="1" hidden="1">
      <c r="A350" s="33" t="s">
        <v>174</v>
      </c>
      <c r="B350" s="42" t="s">
        <v>275</v>
      </c>
      <c r="C350" s="42" t="s">
        <v>254</v>
      </c>
      <c r="D350" s="21" t="s">
        <v>574</v>
      </c>
      <c r="E350" s="42" t="s">
        <v>175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</row>
    <row r="351" spans="1:11" ht="15.75">
      <c r="A351" s="119" t="s">
        <v>575</v>
      </c>
      <c r="B351" s="42" t="s">
        <v>275</v>
      </c>
      <c r="C351" s="42" t="s">
        <v>254</v>
      </c>
      <c r="D351" s="21" t="s">
        <v>576</v>
      </c>
      <c r="E351" s="42"/>
      <c r="F351" s="7" t="e">
        <f>F352</f>
        <v>#REF!</v>
      </c>
      <c r="G351" s="7" t="e">
        <f aca="true" t="shared" si="122" ref="G351:K352">G352</f>
        <v>#REF!</v>
      </c>
      <c r="H351" s="7" t="e">
        <f t="shared" si="122"/>
        <v>#REF!</v>
      </c>
      <c r="I351" s="7" t="e">
        <f t="shared" si="122"/>
        <v>#REF!</v>
      </c>
      <c r="J351" s="7" t="e">
        <f t="shared" si="122"/>
        <v>#REF!</v>
      </c>
      <c r="K351" s="7">
        <f t="shared" si="122"/>
        <v>100</v>
      </c>
    </row>
    <row r="352" spans="1:11" ht="31.5">
      <c r="A352" s="26" t="s">
        <v>172</v>
      </c>
      <c r="B352" s="42" t="s">
        <v>275</v>
      </c>
      <c r="C352" s="42" t="s">
        <v>254</v>
      </c>
      <c r="D352" s="21" t="s">
        <v>576</v>
      </c>
      <c r="E352" s="42" t="s">
        <v>173</v>
      </c>
      <c r="F352" s="7" t="e">
        <f>F353</f>
        <v>#REF!</v>
      </c>
      <c r="G352" s="7" t="e">
        <f t="shared" si="122"/>
        <v>#REF!</v>
      </c>
      <c r="H352" s="7" t="e">
        <f t="shared" si="122"/>
        <v>#REF!</v>
      </c>
      <c r="I352" s="7" t="e">
        <f t="shared" si="122"/>
        <v>#REF!</v>
      </c>
      <c r="J352" s="7" t="e">
        <f t="shared" si="122"/>
        <v>#REF!</v>
      </c>
      <c r="K352" s="7">
        <f t="shared" si="122"/>
        <v>100</v>
      </c>
    </row>
    <row r="353" spans="1:11" ht="47.25">
      <c r="A353" s="26" t="s">
        <v>174</v>
      </c>
      <c r="B353" s="42" t="s">
        <v>275</v>
      </c>
      <c r="C353" s="42" t="s">
        <v>254</v>
      </c>
      <c r="D353" s="21" t="s">
        <v>576</v>
      </c>
      <c r="E353" s="42" t="s">
        <v>175</v>
      </c>
      <c r="F353" s="7" t="e">
        <f>#REF!</f>
        <v>#REF!</v>
      </c>
      <c r="G353" s="7" t="e">
        <f>#REF!</f>
        <v>#REF!</v>
      </c>
      <c r="H353" s="7" t="e">
        <f>#REF!</f>
        <v>#REF!</v>
      </c>
      <c r="I353" s="7" t="e">
        <f>#REF!</f>
        <v>#REF!</v>
      </c>
      <c r="J353" s="7" t="e">
        <f>#REF!</f>
        <v>#REF!</v>
      </c>
      <c r="K353" s="7">
        <f>'Прил.№5 ведомств.'!G1111</f>
        <v>100</v>
      </c>
    </row>
    <row r="354" spans="1:11" ht="15.75">
      <c r="A354" s="31" t="s">
        <v>162</v>
      </c>
      <c r="B354" s="42" t="s">
        <v>275</v>
      </c>
      <c r="C354" s="42" t="s">
        <v>254</v>
      </c>
      <c r="D354" s="42" t="s">
        <v>163</v>
      </c>
      <c r="E354" s="42"/>
      <c r="F354" s="7" t="e">
        <f>F355+F367</f>
        <v>#REF!</v>
      </c>
      <c r="G354" s="7" t="e">
        <f>G355+G367</f>
        <v>#REF!</v>
      </c>
      <c r="H354" s="7" t="e">
        <f>H355+H367</f>
        <v>#REF!</v>
      </c>
      <c r="I354" s="7" t="e">
        <f>I355+I367</f>
        <v>#REF!</v>
      </c>
      <c r="J354" s="7" t="e">
        <f>J355+J367</f>
        <v>#REF!</v>
      </c>
      <c r="K354" s="7">
        <f>K355+K367+K382</f>
        <v>97791.16</v>
      </c>
    </row>
    <row r="355" spans="1:11" ht="31.5" hidden="1">
      <c r="A355" s="31" t="s">
        <v>226</v>
      </c>
      <c r="B355" s="42" t="s">
        <v>275</v>
      </c>
      <c r="C355" s="42" t="s">
        <v>254</v>
      </c>
      <c r="D355" s="42" t="s">
        <v>227</v>
      </c>
      <c r="E355" s="42"/>
      <c r="F355" s="7" t="e">
        <f aca="true" t="shared" si="123" ref="F355:K355">F356+F359+F364</f>
        <v>#REF!</v>
      </c>
      <c r="G355" s="7" t="e">
        <f t="shared" si="123"/>
        <v>#REF!</v>
      </c>
      <c r="H355" s="7" t="e">
        <f t="shared" si="123"/>
        <v>#REF!</v>
      </c>
      <c r="I355" s="7" t="e">
        <f t="shared" si="123"/>
        <v>#REF!</v>
      </c>
      <c r="J355" s="7" t="e">
        <f t="shared" si="123"/>
        <v>#REF!</v>
      </c>
      <c r="K355" s="7">
        <f t="shared" si="123"/>
        <v>0</v>
      </c>
    </row>
    <row r="356" spans="1:11" ht="47.25" hidden="1">
      <c r="A356" s="26" t="s">
        <v>746</v>
      </c>
      <c r="B356" s="42" t="s">
        <v>275</v>
      </c>
      <c r="C356" s="42" t="s">
        <v>254</v>
      </c>
      <c r="D356" s="21" t="s">
        <v>577</v>
      </c>
      <c r="E356" s="42"/>
      <c r="F356" s="7" t="e">
        <f>F357</f>
        <v>#REF!</v>
      </c>
      <c r="G356" s="7" t="e">
        <f aca="true" t="shared" si="124" ref="G356:K357">G357</f>
        <v>#REF!</v>
      </c>
      <c r="H356" s="7" t="e">
        <f t="shared" si="124"/>
        <v>#REF!</v>
      </c>
      <c r="I356" s="7" t="e">
        <f t="shared" si="124"/>
        <v>#REF!</v>
      </c>
      <c r="J356" s="7" t="e">
        <f t="shared" si="124"/>
        <v>#REF!</v>
      </c>
      <c r="K356" s="7">
        <f t="shared" si="124"/>
        <v>0</v>
      </c>
    </row>
    <row r="357" spans="1:11" ht="31.5" hidden="1">
      <c r="A357" s="31" t="s">
        <v>172</v>
      </c>
      <c r="B357" s="42" t="s">
        <v>275</v>
      </c>
      <c r="C357" s="42" t="s">
        <v>254</v>
      </c>
      <c r="D357" s="21" t="s">
        <v>577</v>
      </c>
      <c r="E357" s="42" t="s">
        <v>173</v>
      </c>
      <c r="F357" s="7" t="e">
        <f>F358</f>
        <v>#REF!</v>
      </c>
      <c r="G357" s="7" t="e">
        <f t="shared" si="124"/>
        <v>#REF!</v>
      </c>
      <c r="H357" s="7" t="e">
        <f t="shared" si="124"/>
        <v>#REF!</v>
      </c>
      <c r="I357" s="7" t="e">
        <f t="shared" si="124"/>
        <v>#REF!</v>
      </c>
      <c r="J357" s="7" t="e">
        <f t="shared" si="124"/>
        <v>#REF!</v>
      </c>
      <c r="K357" s="7">
        <f t="shared" si="124"/>
        <v>0</v>
      </c>
    </row>
    <row r="358" spans="1:11" ht="47.25" hidden="1">
      <c r="A358" s="31" t="s">
        <v>174</v>
      </c>
      <c r="B358" s="42" t="s">
        <v>275</v>
      </c>
      <c r="C358" s="42" t="s">
        <v>254</v>
      </c>
      <c r="D358" s="21" t="s">
        <v>577</v>
      </c>
      <c r="E358" s="42" t="s">
        <v>175</v>
      </c>
      <c r="F358" s="7" t="e">
        <f>#REF!</f>
        <v>#REF!</v>
      </c>
      <c r="G358" s="7" t="e">
        <f>#REF!</f>
        <v>#REF!</v>
      </c>
      <c r="H358" s="7" t="e">
        <f>#REF!</f>
        <v>#REF!</v>
      </c>
      <c r="I358" s="7" t="e">
        <f>#REF!</f>
        <v>#REF!</v>
      </c>
      <c r="J358" s="7" t="e">
        <f>#REF!</f>
        <v>#REF!</v>
      </c>
      <c r="K358" s="7">
        <f>'Прил.№5 ведомств.'!G1115</f>
        <v>0</v>
      </c>
    </row>
    <row r="359" spans="1:11" ht="31.5" hidden="1">
      <c r="A359" s="31" t="s">
        <v>752</v>
      </c>
      <c r="B359" s="42" t="s">
        <v>275</v>
      </c>
      <c r="C359" s="42" t="s">
        <v>254</v>
      </c>
      <c r="D359" s="42" t="s">
        <v>578</v>
      </c>
      <c r="E359" s="42"/>
      <c r="F359" s="7" t="e">
        <f aca="true" t="shared" si="125" ref="F359:J360">F360</f>
        <v>#REF!</v>
      </c>
      <c r="G359" s="7" t="e">
        <f t="shared" si="125"/>
        <v>#REF!</v>
      </c>
      <c r="H359" s="7" t="e">
        <f t="shared" si="125"/>
        <v>#REF!</v>
      </c>
      <c r="I359" s="7" t="e">
        <f t="shared" si="125"/>
        <v>#REF!</v>
      </c>
      <c r="J359" s="7" t="e">
        <f t="shared" si="125"/>
        <v>#REF!</v>
      </c>
      <c r="K359" s="7">
        <f>K360+K362</f>
        <v>0</v>
      </c>
    </row>
    <row r="360" spans="1:11" ht="31.5" hidden="1">
      <c r="A360" s="31" t="s">
        <v>172</v>
      </c>
      <c r="B360" s="42" t="s">
        <v>275</v>
      </c>
      <c r="C360" s="42" t="s">
        <v>254</v>
      </c>
      <c r="D360" s="42" t="s">
        <v>578</v>
      </c>
      <c r="E360" s="42" t="s">
        <v>173</v>
      </c>
      <c r="F360" s="7" t="e">
        <f t="shared" si="125"/>
        <v>#REF!</v>
      </c>
      <c r="G360" s="7" t="e">
        <f t="shared" si="125"/>
        <v>#REF!</v>
      </c>
      <c r="H360" s="7" t="e">
        <f t="shared" si="125"/>
        <v>#REF!</v>
      </c>
      <c r="I360" s="7" t="e">
        <f t="shared" si="125"/>
        <v>#REF!</v>
      </c>
      <c r="J360" s="7" t="e">
        <f t="shared" si="125"/>
        <v>#REF!</v>
      </c>
      <c r="K360" s="7">
        <f>K361</f>
        <v>0</v>
      </c>
    </row>
    <row r="361" spans="1:11" ht="47.25" hidden="1">
      <c r="A361" s="31" t="s">
        <v>174</v>
      </c>
      <c r="B361" s="42" t="s">
        <v>275</v>
      </c>
      <c r="C361" s="42" t="s">
        <v>254</v>
      </c>
      <c r="D361" s="42" t="s">
        <v>578</v>
      </c>
      <c r="E361" s="42" t="s">
        <v>175</v>
      </c>
      <c r="F361" s="7" t="e">
        <f>#REF!</f>
        <v>#REF!</v>
      </c>
      <c r="G361" s="7" t="e">
        <f>#REF!</f>
        <v>#REF!</v>
      </c>
      <c r="H361" s="7" t="e">
        <f>#REF!</f>
        <v>#REF!</v>
      </c>
      <c r="I361" s="7" t="e">
        <f>#REF!</f>
        <v>#REF!</v>
      </c>
      <c r="J361" s="7" t="e">
        <f>#REF!</f>
        <v>#REF!</v>
      </c>
      <c r="K361" s="7">
        <f>'Прил.№5 ведомств.'!G1118</f>
        <v>0</v>
      </c>
    </row>
    <row r="362" spans="1:11" ht="15.75" hidden="1">
      <c r="A362" s="31" t="s">
        <v>176</v>
      </c>
      <c r="B362" s="42" t="s">
        <v>275</v>
      </c>
      <c r="C362" s="42" t="s">
        <v>254</v>
      </c>
      <c r="D362" s="42" t="s">
        <v>578</v>
      </c>
      <c r="E362" s="42" t="s">
        <v>186</v>
      </c>
      <c r="F362" s="7"/>
      <c r="G362" s="7"/>
      <c r="H362" s="7"/>
      <c r="I362" s="7"/>
      <c r="J362" s="7"/>
      <c r="K362" s="7">
        <f>K363</f>
        <v>0</v>
      </c>
    </row>
    <row r="363" spans="1:11" ht="15.75" hidden="1">
      <c r="A363" s="31" t="s">
        <v>610</v>
      </c>
      <c r="B363" s="42" t="s">
        <v>275</v>
      </c>
      <c r="C363" s="42" t="s">
        <v>254</v>
      </c>
      <c r="D363" s="42" t="s">
        <v>578</v>
      </c>
      <c r="E363" s="42" t="s">
        <v>179</v>
      </c>
      <c r="F363" s="7"/>
      <c r="G363" s="7"/>
      <c r="H363" s="7"/>
      <c r="I363" s="7"/>
      <c r="J363" s="7"/>
      <c r="K363" s="7">
        <f>'Прил.№5 ведомств.'!G1120</f>
        <v>0</v>
      </c>
    </row>
    <row r="364" spans="1:11" ht="47.25" hidden="1">
      <c r="A364" s="26" t="s">
        <v>753</v>
      </c>
      <c r="B364" s="42" t="s">
        <v>275</v>
      </c>
      <c r="C364" s="42" t="s">
        <v>254</v>
      </c>
      <c r="D364" s="21" t="s">
        <v>754</v>
      </c>
      <c r="E364" s="42"/>
      <c r="F364" s="7" t="e">
        <f>F365</f>
        <v>#REF!</v>
      </c>
      <c r="G364" s="7" t="e">
        <f aca="true" t="shared" si="126" ref="G364:K365">G365</f>
        <v>#REF!</v>
      </c>
      <c r="H364" s="7" t="e">
        <f t="shared" si="126"/>
        <v>#REF!</v>
      </c>
      <c r="I364" s="7" t="e">
        <f t="shared" si="126"/>
        <v>#REF!</v>
      </c>
      <c r="J364" s="7" t="e">
        <f t="shared" si="126"/>
        <v>#REF!</v>
      </c>
      <c r="K364" s="7">
        <f t="shared" si="126"/>
        <v>0</v>
      </c>
    </row>
    <row r="365" spans="1:11" ht="31.5" hidden="1">
      <c r="A365" s="26" t="s">
        <v>172</v>
      </c>
      <c r="B365" s="42" t="s">
        <v>275</v>
      </c>
      <c r="C365" s="42" t="s">
        <v>254</v>
      </c>
      <c r="D365" s="21" t="s">
        <v>754</v>
      </c>
      <c r="E365" s="42" t="s">
        <v>173</v>
      </c>
      <c r="F365" s="7" t="e">
        <f>F366</f>
        <v>#REF!</v>
      </c>
      <c r="G365" s="7" t="e">
        <f t="shared" si="126"/>
        <v>#REF!</v>
      </c>
      <c r="H365" s="7" t="e">
        <f t="shared" si="126"/>
        <v>#REF!</v>
      </c>
      <c r="I365" s="7" t="e">
        <f t="shared" si="126"/>
        <v>#REF!</v>
      </c>
      <c r="J365" s="7" t="e">
        <f t="shared" si="126"/>
        <v>#REF!</v>
      </c>
      <c r="K365" s="7">
        <f t="shared" si="126"/>
        <v>0</v>
      </c>
    </row>
    <row r="366" spans="1:11" ht="47.25" hidden="1">
      <c r="A366" s="26" t="s">
        <v>174</v>
      </c>
      <c r="B366" s="42" t="s">
        <v>275</v>
      </c>
      <c r="C366" s="42" t="s">
        <v>254</v>
      </c>
      <c r="D366" s="21" t="s">
        <v>754</v>
      </c>
      <c r="E366" s="42" t="s">
        <v>175</v>
      </c>
      <c r="F366" s="7" t="e">
        <f>#REF!</f>
        <v>#REF!</v>
      </c>
      <c r="G366" s="7" t="e">
        <f>#REF!</f>
        <v>#REF!</v>
      </c>
      <c r="H366" s="7" t="e">
        <f>#REF!</f>
        <v>#REF!</v>
      </c>
      <c r="I366" s="7" t="e">
        <f>#REF!</f>
        <v>#REF!</v>
      </c>
      <c r="J366" s="7" t="e">
        <f>#REF!</f>
        <v>#REF!</v>
      </c>
      <c r="K366" s="7">
        <f>'Прил.№5 ведомств.'!G1123</f>
        <v>0</v>
      </c>
    </row>
    <row r="367" spans="1:11" ht="15.75">
      <c r="A367" s="31" t="s">
        <v>182</v>
      </c>
      <c r="B367" s="42" t="s">
        <v>275</v>
      </c>
      <c r="C367" s="42" t="s">
        <v>254</v>
      </c>
      <c r="D367" s="42" t="s">
        <v>183</v>
      </c>
      <c r="E367" s="8"/>
      <c r="F367" s="7" t="e">
        <f>F368+F374</f>
        <v>#REF!</v>
      </c>
      <c r="G367" s="7" t="e">
        <f>G368+G374</f>
        <v>#REF!</v>
      </c>
      <c r="H367" s="7" t="e">
        <f>H368+H374</f>
        <v>#REF!</v>
      </c>
      <c r="I367" s="7" t="e">
        <f>I368+I374</f>
        <v>#REF!</v>
      </c>
      <c r="J367" s="7" t="e">
        <f>J368+J374</f>
        <v>#REF!</v>
      </c>
      <c r="K367" s="7">
        <f>K368+K374+K390+K379</f>
        <v>24027.4</v>
      </c>
    </row>
    <row r="368" spans="1:11" ht="15.75">
      <c r="A368" s="31" t="s">
        <v>579</v>
      </c>
      <c r="B368" s="42" t="s">
        <v>275</v>
      </c>
      <c r="C368" s="42" t="s">
        <v>254</v>
      </c>
      <c r="D368" s="42" t="s">
        <v>580</v>
      </c>
      <c r="E368" s="8"/>
      <c r="F368" s="7" t="e">
        <f aca="true" t="shared" si="127" ref="F368:K368">F369+F371</f>
        <v>#REF!</v>
      </c>
      <c r="G368" s="7" t="e">
        <f t="shared" si="127"/>
        <v>#REF!</v>
      </c>
      <c r="H368" s="7" t="e">
        <f t="shared" si="127"/>
        <v>#REF!</v>
      </c>
      <c r="I368" s="7" t="e">
        <f t="shared" si="127"/>
        <v>#REF!</v>
      </c>
      <c r="J368" s="7" t="e">
        <f t="shared" si="127"/>
        <v>#REF!</v>
      </c>
      <c r="K368" s="7">
        <f t="shared" si="127"/>
        <v>15371.8</v>
      </c>
    </row>
    <row r="369" spans="1:11" ht="31.5">
      <c r="A369" s="31" t="s">
        <v>172</v>
      </c>
      <c r="B369" s="42" t="s">
        <v>275</v>
      </c>
      <c r="C369" s="42" t="s">
        <v>254</v>
      </c>
      <c r="D369" s="42" t="s">
        <v>580</v>
      </c>
      <c r="E369" s="42" t="s">
        <v>173</v>
      </c>
      <c r="F369" s="7" t="e">
        <f aca="true" t="shared" si="128" ref="F369:K369">F370</f>
        <v>#REF!</v>
      </c>
      <c r="G369" s="7" t="e">
        <f t="shared" si="128"/>
        <v>#REF!</v>
      </c>
      <c r="H369" s="7" t="e">
        <f t="shared" si="128"/>
        <v>#REF!</v>
      </c>
      <c r="I369" s="7" t="e">
        <f t="shared" si="128"/>
        <v>#REF!</v>
      </c>
      <c r="J369" s="7" t="e">
        <f t="shared" si="128"/>
        <v>#REF!</v>
      </c>
      <c r="K369" s="7">
        <f t="shared" si="128"/>
        <v>371.7999999999998</v>
      </c>
    </row>
    <row r="370" spans="1:11" ht="47.25">
      <c r="A370" s="31" t="s">
        <v>174</v>
      </c>
      <c r="B370" s="42" t="s">
        <v>275</v>
      </c>
      <c r="C370" s="42" t="s">
        <v>254</v>
      </c>
      <c r="D370" s="42" t="s">
        <v>580</v>
      </c>
      <c r="E370" s="42" t="s">
        <v>175</v>
      </c>
      <c r="F370" s="7" t="e">
        <f>#REF!</f>
        <v>#REF!</v>
      </c>
      <c r="G370" s="7" t="e">
        <f>#REF!</f>
        <v>#REF!</v>
      </c>
      <c r="H370" s="7" t="e">
        <f>#REF!</f>
        <v>#REF!</v>
      </c>
      <c r="I370" s="7" t="e">
        <f>#REF!</f>
        <v>#REF!</v>
      </c>
      <c r="J370" s="7" t="e">
        <f>#REF!</f>
        <v>#REF!</v>
      </c>
      <c r="K370" s="7">
        <f>'Прил.№5 ведомств.'!G1127</f>
        <v>371.7999999999998</v>
      </c>
    </row>
    <row r="371" spans="1:11" ht="15.75">
      <c r="A371" s="31" t="s">
        <v>176</v>
      </c>
      <c r="B371" s="42" t="s">
        <v>275</v>
      </c>
      <c r="C371" s="42" t="s">
        <v>254</v>
      </c>
      <c r="D371" s="42" t="s">
        <v>580</v>
      </c>
      <c r="E371" s="42" t="s">
        <v>186</v>
      </c>
      <c r="F371" s="7" t="e">
        <f aca="true" t="shared" si="129" ref="F371:K371">F373+F372</f>
        <v>#REF!</v>
      </c>
      <c r="G371" s="7" t="e">
        <f t="shared" si="129"/>
        <v>#REF!</v>
      </c>
      <c r="H371" s="7" t="e">
        <f t="shared" si="129"/>
        <v>#REF!</v>
      </c>
      <c r="I371" s="7" t="e">
        <f t="shared" si="129"/>
        <v>#REF!</v>
      </c>
      <c r="J371" s="7" t="e">
        <f t="shared" si="129"/>
        <v>#REF!</v>
      </c>
      <c r="K371" s="7">
        <f t="shared" si="129"/>
        <v>15000</v>
      </c>
    </row>
    <row r="372" spans="1:11" ht="47.25" customHeight="1">
      <c r="A372" s="31" t="s">
        <v>225</v>
      </c>
      <c r="B372" s="42" t="s">
        <v>275</v>
      </c>
      <c r="C372" s="42" t="s">
        <v>254</v>
      </c>
      <c r="D372" s="42" t="s">
        <v>580</v>
      </c>
      <c r="E372" s="42" t="s">
        <v>201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f>'Прил.№5 ведомств.'!G1132</f>
        <v>15000</v>
      </c>
    </row>
    <row r="373" spans="1:11" ht="15.75" hidden="1">
      <c r="A373" s="31" t="s">
        <v>610</v>
      </c>
      <c r="B373" s="42" t="s">
        <v>275</v>
      </c>
      <c r="C373" s="42" t="s">
        <v>254</v>
      </c>
      <c r="D373" s="42" t="s">
        <v>580</v>
      </c>
      <c r="E373" s="42" t="s">
        <v>179</v>
      </c>
      <c r="F373" s="7" t="e">
        <f>#REF!</f>
        <v>#REF!</v>
      </c>
      <c r="G373" s="7" t="e">
        <f>#REF!</f>
        <v>#REF!</v>
      </c>
      <c r="H373" s="7" t="e">
        <f>#REF!</f>
        <v>#REF!</v>
      </c>
      <c r="I373" s="7" t="e">
        <f>#REF!</f>
        <v>#REF!</v>
      </c>
      <c r="J373" s="7" t="e">
        <f>#REF!</f>
        <v>#REF!</v>
      </c>
      <c r="K373" s="7">
        <f>'Прил.№5 ведомств.'!G1130</f>
        <v>0</v>
      </c>
    </row>
    <row r="374" spans="1:11" ht="15.75">
      <c r="A374" s="31" t="s">
        <v>581</v>
      </c>
      <c r="B374" s="42" t="s">
        <v>275</v>
      </c>
      <c r="C374" s="42" t="s">
        <v>254</v>
      </c>
      <c r="D374" s="42" t="s">
        <v>582</v>
      </c>
      <c r="E374" s="42"/>
      <c r="F374" s="7" t="e">
        <f>F377</f>
        <v>#REF!</v>
      </c>
      <c r="G374" s="7" t="e">
        <f>G377</f>
        <v>#REF!</v>
      </c>
      <c r="H374" s="7" t="e">
        <f>H377</f>
        <v>#REF!</v>
      </c>
      <c r="I374" s="7" t="e">
        <f>I377</f>
        <v>#REF!</v>
      </c>
      <c r="J374" s="7" t="e">
        <f>J377</f>
        <v>#REF!</v>
      </c>
      <c r="K374" s="7">
        <f>K377+K375</f>
        <v>8655.6</v>
      </c>
    </row>
    <row r="375" spans="1:11" ht="31.5">
      <c r="A375" s="31" t="s">
        <v>172</v>
      </c>
      <c r="B375" s="42" t="s">
        <v>275</v>
      </c>
      <c r="C375" s="42" t="s">
        <v>254</v>
      </c>
      <c r="D375" s="42" t="s">
        <v>582</v>
      </c>
      <c r="E375" s="42" t="s">
        <v>173</v>
      </c>
      <c r="F375" s="7"/>
      <c r="G375" s="7"/>
      <c r="H375" s="7"/>
      <c r="I375" s="7"/>
      <c r="J375" s="7"/>
      <c r="K375" s="7">
        <f>K376</f>
        <v>7767.800000000001</v>
      </c>
    </row>
    <row r="376" spans="1:11" ht="47.25">
      <c r="A376" s="31" t="s">
        <v>174</v>
      </c>
      <c r="B376" s="42" t="s">
        <v>275</v>
      </c>
      <c r="C376" s="42" t="s">
        <v>254</v>
      </c>
      <c r="D376" s="42" t="s">
        <v>582</v>
      </c>
      <c r="E376" s="42" t="s">
        <v>175</v>
      </c>
      <c r="F376" s="7"/>
      <c r="G376" s="7"/>
      <c r="H376" s="7"/>
      <c r="I376" s="7"/>
      <c r="J376" s="7"/>
      <c r="K376" s="7">
        <f>'Прил.№5 ведомств.'!G1135</f>
        <v>7767.800000000001</v>
      </c>
    </row>
    <row r="377" spans="1:11" ht="15.75">
      <c r="A377" s="31" t="s">
        <v>176</v>
      </c>
      <c r="B377" s="42" t="s">
        <v>275</v>
      </c>
      <c r="C377" s="42" t="s">
        <v>254</v>
      </c>
      <c r="D377" s="42" t="s">
        <v>582</v>
      </c>
      <c r="E377" s="42" t="s">
        <v>186</v>
      </c>
      <c r="F377" s="7" t="e">
        <f aca="true" t="shared" si="130" ref="F377:K377">F378</f>
        <v>#REF!</v>
      </c>
      <c r="G377" s="7" t="e">
        <f t="shared" si="130"/>
        <v>#REF!</v>
      </c>
      <c r="H377" s="7" t="e">
        <f t="shared" si="130"/>
        <v>#REF!</v>
      </c>
      <c r="I377" s="7" t="e">
        <f t="shared" si="130"/>
        <v>#REF!</v>
      </c>
      <c r="J377" s="7" t="e">
        <f t="shared" si="130"/>
        <v>#REF!</v>
      </c>
      <c r="K377" s="7">
        <f t="shared" si="130"/>
        <v>887.8000000000001</v>
      </c>
    </row>
    <row r="378" spans="1:11" ht="15.75">
      <c r="A378" s="31" t="s">
        <v>187</v>
      </c>
      <c r="B378" s="42" t="s">
        <v>275</v>
      </c>
      <c r="C378" s="42" t="s">
        <v>254</v>
      </c>
      <c r="D378" s="42" t="s">
        <v>582</v>
      </c>
      <c r="E378" s="42" t="s">
        <v>188</v>
      </c>
      <c r="F378" s="7" t="e">
        <f>#REF!</f>
        <v>#REF!</v>
      </c>
      <c r="G378" s="7" t="e">
        <f>#REF!</f>
        <v>#REF!</v>
      </c>
      <c r="H378" s="7" t="e">
        <f>#REF!</f>
        <v>#REF!</v>
      </c>
      <c r="I378" s="7" t="e">
        <f>#REF!</f>
        <v>#REF!</v>
      </c>
      <c r="J378" s="7" t="e">
        <f>#REF!</f>
        <v>#REF!</v>
      </c>
      <c r="K378" s="7">
        <f>'Прил.№5 ведомств.'!G1137</f>
        <v>887.8000000000001</v>
      </c>
    </row>
    <row r="379" spans="1:11" ht="15.75" hidden="1">
      <c r="A379" s="26" t="s">
        <v>184</v>
      </c>
      <c r="B379" s="42" t="s">
        <v>275</v>
      </c>
      <c r="C379" s="42" t="s">
        <v>254</v>
      </c>
      <c r="D379" s="42" t="s">
        <v>185</v>
      </c>
      <c r="E379" s="42"/>
      <c r="F379" s="7"/>
      <c r="G379" s="7"/>
      <c r="H379" s="7"/>
      <c r="I379" s="7"/>
      <c r="J379" s="7"/>
      <c r="K379" s="7">
        <f>K380</f>
        <v>0</v>
      </c>
    </row>
    <row r="380" spans="1:11" ht="15.75" hidden="1">
      <c r="A380" s="26" t="s">
        <v>176</v>
      </c>
      <c r="B380" s="42" t="s">
        <v>275</v>
      </c>
      <c r="C380" s="42" t="s">
        <v>254</v>
      </c>
      <c r="D380" s="42" t="s">
        <v>185</v>
      </c>
      <c r="E380" s="42" t="s">
        <v>186</v>
      </c>
      <c r="F380" s="7"/>
      <c r="G380" s="7"/>
      <c r="H380" s="7"/>
      <c r="I380" s="7"/>
      <c r="J380" s="7"/>
      <c r="K380" s="7">
        <f>K381</f>
        <v>0</v>
      </c>
    </row>
    <row r="381" spans="1:11" ht="15.75" hidden="1">
      <c r="A381" s="26" t="s">
        <v>187</v>
      </c>
      <c r="B381" s="42" t="s">
        <v>275</v>
      </c>
      <c r="C381" s="42" t="s">
        <v>254</v>
      </c>
      <c r="D381" s="42" t="s">
        <v>185</v>
      </c>
      <c r="E381" s="42" t="s">
        <v>188</v>
      </c>
      <c r="F381" s="7"/>
      <c r="G381" s="7"/>
      <c r="H381" s="7"/>
      <c r="I381" s="7"/>
      <c r="J381" s="7"/>
      <c r="K381" s="7">
        <f>'Прил.№5 ведомств.'!G1140</f>
        <v>0</v>
      </c>
    </row>
    <row r="382" spans="1:11" s="285" customFormat="1" ht="47.25">
      <c r="A382" s="26" t="s">
        <v>1069</v>
      </c>
      <c r="B382" s="42" t="s">
        <v>275</v>
      </c>
      <c r="C382" s="42" t="s">
        <v>254</v>
      </c>
      <c r="D382" s="42" t="s">
        <v>1070</v>
      </c>
      <c r="E382" s="42"/>
      <c r="F382" s="7"/>
      <c r="G382" s="7"/>
      <c r="H382" s="7"/>
      <c r="I382" s="7"/>
      <c r="J382" s="7"/>
      <c r="K382" s="7">
        <f>K383+K393+K401</f>
        <v>73763.76000000001</v>
      </c>
    </row>
    <row r="383" spans="1:11" ht="47.25">
      <c r="A383" s="26" t="s">
        <v>1071</v>
      </c>
      <c r="B383" s="42" t="s">
        <v>275</v>
      </c>
      <c r="C383" s="42" t="s">
        <v>254</v>
      </c>
      <c r="D383" s="21" t="s">
        <v>1073</v>
      </c>
      <c r="E383" s="42"/>
      <c r="F383" s="7">
        <f>F384</f>
        <v>0</v>
      </c>
      <c r="G383" s="7">
        <f aca="true" t="shared" si="131" ref="G383:K384">G384</f>
        <v>0</v>
      </c>
      <c r="H383" s="7">
        <f t="shared" si="131"/>
        <v>0</v>
      </c>
      <c r="I383" s="7">
        <f t="shared" si="131"/>
        <v>0</v>
      </c>
      <c r="J383" s="7">
        <f t="shared" si="131"/>
        <v>0</v>
      </c>
      <c r="K383" s="7">
        <f>K384+K386</f>
        <v>20500</v>
      </c>
    </row>
    <row r="384" spans="1:11" ht="31.5" customHeight="1">
      <c r="A384" s="26" t="s">
        <v>172</v>
      </c>
      <c r="B384" s="42" t="s">
        <v>275</v>
      </c>
      <c r="C384" s="42" t="s">
        <v>254</v>
      </c>
      <c r="D384" s="21" t="s">
        <v>1073</v>
      </c>
      <c r="E384" s="42" t="s">
        <v>173</v>
      </c>
      <c r="F384" s="7">
        <f>F385</f>
        <v>0</v>
      </c>
      <c r="G384" s="7">
        <f t="shared" si="131"/>
        <v>0</v>
      </c>
      <c r="H384" s="7">
        <f t="shared" si="131"/>
        <v>0</v>
      </c>
      <c r="I384" s="7">
        <f t="shared" si="131"/>
        <v>0</v>
      </c>
      <c r="J384" s="7">
        <f t="shared" si="131"/>
        <v>0</v>
      </c>
      <c r="K384" s="7">
        <f t="shared" si="131"/>
        <v>1925.4000000000015</v>
      </c>
    </row>
    <row r="385" spans="1:11" ht="47.25" customHeight="1">
      <c r="A385" s="26" t="s">
        <v>174</v>
      </c>
      <c r="B385" s="42" t="s">
        <v>275</v>
      </c>
      <c r="C385" s="42" t="s">
        <v>254</v>
      </c>
      <c r="D385" s="21" t="s">
        <v>1073</v>
      </c>
      <c r="E385" s="42" t="s">
        <v>175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>'Прил.№5 ведомств.'!G1144</f>
        <v>1925.4000000000015</v>
      </c>
    </row>
    <row r="386" spans="1:11" s="285" customFormat="1" ht="47.25" customHeight="1">
      <c r="A386" s="277" t="s">
        <v>1100</v>
      </c>
      <c r="B386" s="42" t="s">
        <v>275</v>
      </c>
      <c r="C386" s="42" t="s">
        <v>254</v>
      </c>
      <c r="D386" s="21" t="s">
        <v>1073</v>
      </c>
      <c r="E386" s="42" t="s">
        <v>1098</v>
      </c>
      <c r="F386" s="7"/>
      <c r="G386" s="7"/>
      <c r="H386" s="7"/>
      <c r="I386" s="7"/>
      <c r="J386" s="7"/>
      <c r="K386" s="7">
        <f>K387</f>
        <v>18574.6</v>
      </c>
    </row>
    <row r="387" spans="1:11" s="285" customFormat="1" ht="47.25" customHeight="1">
      <c r="A387" s="277" t="s">
        <v>1152</v>
      </c>
      <c r="B387" s="42" t="s">
        <v>275</v>
      </c>
      <c r="C387" s="42" t="s">
        <v>254</v>
      </c>
      <c r="D387" s="21" t="s">
        <v>1073</v>
      </c>
      <c r="E387" s="42" t="s">
        <v>1153</v>
      </c>
      <c r="F387" s="7"/>
      <c r="G387" s="7"/>
      <c r="H387" s="7"/>
      <c r="I387" s="7"/>
      <c r="J387" s="7"/>
      <c r="K387" s="7">
        <f>'Прил.№5 ведомств.'!G1146</f>
        <v>18574.6</v>
      </c>
    </row>
    <row r="388" spans="1:11" ht="15.75" hidden="1">
      <c r="A388" s="31" t="s">
        <v>176</v>
      </c>
      <c r="B388" s="42" t="s">
        <v>275</v>
      </c>
      <c r="C388" s="42" t="s">
        <v>254</v>
      </c>
      <c r="D388" s="21" t="s">
        <v>936</v>
      </c>
      <c r="E388" s="42" t="s">
        <v>186</v>
      </c>
      <c r="F388" s="7"/>
      <c r="G388" s="7"/>
      <c r="H388" s="7"/>
      <c r="I388" s="7"/>
      <c r="J388" s="7"/>
      <c r="K388" s="7">
        <f>K389</f>
        <v>0</v>
      </c>
    </row>
    <row r="389" spans="1:11" ht="15.75" hidden="1">
      <c r="A389" s="31" t="s">
        <v>610</v>
      </c>
      <c r="B389" s="42" t="s">
        <v>275</v>
      </c>
      <c r="C389" s="42" t="s">
        <v>254</v>
      </c>
      <c r="D389" s="21" t="s">
        <v>936</v>
      </c>
      <c r="E389" s="42" t="s">
        <v>179</v>
      </c>
      <c r="F389" s="7"/>
      <c r="G389" s="7"/>
      <c r="H389" s="7"/>
      <c r="I389" s="7"/>
      <c r="J389" s="7"/>
      <c r="K389" s="7">
        <f>'Прил.№5 ведомств.'!G1148</f>
        <v>0</v>
      </c>
    </row>
    <row r="390" spans="1:11" ht="63" hidden="1">
      <c r="A390" s="26" t="s">
        <v>956</v>
      </c>
      <c r="B390" s="42" t="s">
        <v>275</v>
      </c>
      <c r="C390" s="42" t="s">
        <v>254</v>
      </c>
      <c r="D390" s="21" t="s">
        <v>957</v>
      </c>
      <c r="E390" s="42"/>
      <c r="F390" s="7"/>
      <c r="G390" s="7"/>
      <c r="H390" s="7"/>
      <c r="I390" s="7"/>
      <c r="J390" s="7"/>
      <c r="K390" s="7">
        <f>K391</f>
        <v>0</v>
      </c>
    </row>
    <row r="391" spans="1:11" ht="31.5" hidden="1">
      <c r="A391" s="26" t="s">
        <v>172</v>
      </c>
      <c r="B391" s="42" t="s">
        <v>275</v>
      </c>
      <c r="C391" s="42" t="s">
        <v>254</v>
      </c>
      <c r="D391" s="21" t="s">
        <v>957</v>
      </c>
      <c r="E391" s="42" t="s">
        <v>173</v>
      </c>
      <c r="F391" s="7"/>
      <c r="G391" s="7"/>
      <c r="H391" s="7"/>
      <c r="I391" s="7"/>
      <c r="J391" s="7"/>
      <c r="K391" s="7">
        <f>K392</f>
        <v>0</v>
      </c>
    </row>
    <row r="392" spans="1:11" ht="47.25" hidden="1">
      <c r="A392" s="26" t="s">
        <v>174</v>
      </c>
      <c r="B392" s="42" t="s">
        <v>275</v>
      </c>
      <c r="C392" s="42" t="s">
        <v>254</v>
      </c>
      <c r="D392" s="21" t="s">
        <v>957</v>
      </c>
      <c r="E392" s="42" t="s">
        <v>175</v>
      </c>
      <c r="F392" s="7"/>
      <c r="G392" s="7"/>
      <c r="H392" s="7"/>
      <c r="I392" s="7"/>
      <c r="J392" s="7"/>
      <c r="K392" s="7">
        <f>'Прил.№5 ведомств.'!G1151</f>
        <v>0</v>
      </c>
    </row>
    <row r="393" spans="1:11" ht="47.25">
      <c r="A393" s="119" t="s">
        <v>1084</v>
      </c>
      <c r="B393" s="42" t="s">
        <v>275</v>
      </c>
      <c r="C393" s="42" t="s">
        <v>254</v>
      </c>
      <c r="D393" s="21" t="s">
        <v>1085</v>
      </c>
      <c r="E393" s="42"/>
      <c r="F393" s="7"/>
      <c r="G393" s="7"/>
      <c r="H393" s="7"/>
      <c r="I393" s="7"/>
      <c r="J393" s="7"/>
      <c r="K393" s="7">
        <f>K394+K396+K399</f>
        <v>49220.13</v>
      </c>
    </row>
    <row r="394" spans="1:11" ht="31.5" hidden="1">
      <c r="A394" s="26" t="s">
        <v>172</v>
      </c>
      <c r="B394" s="42" t="s">
        <v>275</v>
      </c>
      <c r="C394" s="42" t="s">
        <v>254</v>
      </c>
      <c r="D394" s="21" t="s">
        <v>1085</v>
      </c>
      <c r="E394" s="42" t="s">
        <v>173</v>
      </c>
      <c r="F394" s="7"/>
      <c r="G394" s="7"/>
      <c r="H394" s="7"/>
      <c r="I394" s="7"/>
      <c r="J394" s="7"/>
      <c r="K394" s="7">
        <f>K395</f>
        <v>0.029999999998835847</v>
      </c>
    </row>
    <row r="395" spans="1:11" ht="47.25" hidden="1">
      <c r="A395" s="26" t="s">
        <v>174</v>
      </c>
      <c r="B395" s="42" t="s">
        <v>275</v>
      </c>
      <c r="C395" s="42" t="s">
        <v>254</v>
      </c>
      <c r="D395" s="21" t="s">
        <v>1085</v>
      </c>
      <c r="E395" s="42" t="s">
        <v>175</v>
      </c>
      <c r="F395" s="7"/>
      <c r="G395" s="7"/>
      <c r="H395" s="7"/>
      <c r="I395" s="7"/>
      <c r="J395" s="7"/>
      <c r="K395" s="7">
        <f>'Прил.№5 ведомств.'!G1154</f>
        <v>0.029999999998835847</v>
      </c>
    </row>
    <row r="396" spans="1:11" s="285" customFormat="1" ht="31.5">
      <c r="A396" s="277" t="s">
        <v>1100</v>
      </c>
      <c r="B396" s="42" t="s">
        <v>275</v>
      </c>
      <c r="C396" s="42" t="s">
        <v>254</v>
      </c>
      <c r="D396" s="21" t="s">
        <v>1085</v>
      </c>
      <c r="E396" s="42" t="s">
        <v>1098</v>
      </c>
      <c r="F396" s="7"/>
      <c r="G396" s="7"/>
      <c r="H396" s="7"/>
      <c r="I396" s="7"/>
      <c r="J396" s="7"/>
      <c r="K396" s="7">
        <f>K397+K398</f>
        <v>49220.1</v>
      </c>
    </row>
    <row r="397" spans="1:11" s="285" customFormat="1" ht="63" hidden="1">
      <c r="A397" s="277" t="s">
        <v>1101</v>
      </c>
      <c r="B397" s="42" t="s">
        <v>275</v>
      </c>
      <c r="C397" s="42" t="s">
        <v>254</v>
      </c>
      <c r="D397" s="21" t="s">
        <v>1085</v>
      </c>
      <c r="E397" s="42" t="s">
        <v>1150</v>
      </c>
      <c r="F397" s="7"/>
      <c r="G397" s="7"/>
      <c r="H397" s="7"/>
      <c r="I397" s="7"/>
      <c r="J397" s="7"/>
      <c r="K397" s="7">
        <f>'Прил.№5 ведомств.'!G1156</f>
        <v>0</v>
      </c>
    </row>
    <row r="398" spans="1:11" s="285" customFormat="1" ht="15.75">
      <c r="A398" s="277" t="s">
        <v>1152</v>
      </c>
      <c r="B398" s="42" t="s">
        <v>275</v>
      </c>
      <c r="C398" s="42" t="s">
        <v>254</v>
      </c>
      <c r="D398" s="21" t="s">
        <v>1085</v>
      </c>
      <c r="E398" s="42" t="s">
        <v>1153</v>
      </c>
      <c r="F398" s="7"/>
      <c r="G398" s="7"/>
      <c r="H398" s="7"/>
      <c r="I398" s="7"/>
      <c r="J398" s="7"/>
      <c r="K398" s="7">
        <f>'Прил.№5 ведомств.'!G1157</f>
        <v>49220.1</v>
      </c>
    </row>
    <row r="399" spans="1:11" s="285" customFormat="1" ht="15.75" hidden="1">
      <c r="A399" s="277" t="s">
        <v>176</v>
      </c>
      <c r="B399" s="42" t="s">
        <v>275</v>
      </c>
      <c r="C399" s="42" t="s">
        <v>254</v>
      </c>
      <c r="D399" s="21" t="s">
        <v>1085</v>
      </c>
      <c r="E399" s="42" t="s">
        <v>186</v>
      </c>
      <c r="F399" s="7"/>
      <c r="G399" s="7"/>
      <c r="H399" s="7"/>
      <c r="I399" s="7"/>
      <c r="J399" s="7"/>
      <c r="K399" s="7">
        <f>K400</f>
        <v>0</v>
      </c>
    </row>
    <row r="400" spans="1:11" s="285" customFormat="1" ht="15.75" hidden="1">
      <c r="A400" s="277" t="s">
        <v>610</v>
      </c>
      <c r="B400" s="42" t="s">
        <v>275</v>
      </c>
      <c r="C400" s="42" t="s">
        <v>254</v>
      </c>
      <c r="D400" s="21" t="s">
        <v>1085</v>
      </c>
      <c r="E400" s="42" t="s">
        <v>179</v>
      </c>
      <c r="F400" s="7"/>
      <c r="G400" s="7"/>
      <c r="H400" s="7"/>
      <c r="I400" s="7"/>
      <c r="J400" s="7"/>
      <c r="K400" s="7">
        <f>'Прил.№5 ведомств.'!G1159</f>
        <v>0</v>
      </c>
    </row>
    <row r="401" spans="1:11" s="285" customFormat="1" ht="31.5">
      <c r="A401" s="26" t="s">
        <v>1167</v>
      </c>
      <c r="B401" s="42" t="s">
        <v>275</v>
      </c>
      <c r="C401" s="42" t="s">
        <v>254</v>
      </c>
      <c r="D401" s="21" t="s">
        <v>1166</v>
      </c>
      <c r="E401" s="42"/>
      <c r="F401" s="7"/>
      <c r="G401" s="7"/>
      <c r="H401" s="7"/>
      <c r="I401" s="7"/>
      <c r="J401" s="7"/>
      <c r="K401" s="7">
        <f>K402</f>
        <v>4043.63</v>
      </c>
    </row>
    <row r="402" spans="1:11" s="285" customFormat="1" ht="31.5">
      <c r="A402" s="26" t="s">
        <v>172</v>
      </c>
      <c r="B402" s="42" t="s">
        <v>275</v>
      </c>
      <c r="C402" s="42" t="s">
        <v>254</v>
      </c>
      <c r="D402" s="21" t="s">
        <v>1166</v>
      </c>
      <c r="E402" s="42" t="s">
        <v>173</v>
      </c>
      <c r="F402" s="7"/>
      <c r="G402" s="7"/>
      <c r="H402" s="7"/>
      <c r="I402" s="7"/>
      <c r="J402" s="7"/>
      <c r="K402" s="7">
        <f>K403</f>
        <v>4043.63</v>
      </c>
    </row>
    <row r="403" spans="1:11" s="285" customFormat="1" ht="47.25">
      <c r="A403" s="26" t="s">
        <v>174</v>
      </c>
      <c r="B403" s="42" t="s">
        <v>275</v>
      </c>
      <c r="C403" s="42" t="s">
        <v>254</v>
      </c>
      <c r="D403" s="21" t="s">
        <v>1166</v>
      </c>
      <c r="E403" s="42" t="s">
        <v>175</v>
      </c>
      <c r="F403" s="7"/>
      <c r="G403" s="7"/>
      <c r="H403" s="7"/>
      <c r="I403" s="7"/>
      <c r="J403" s="7"/>
      <c r="K403" s="7">
        <f>'Прил.№5 ведомств.'!G1162</f>
        <v>4043.63</v>
      </c>
    </row>
    <row r="404" spans="1:11" ht="15.75">
      <c r="A404" s="43" t="s">
        <v>583</v>
      </c>
      <c r="B404" s="8" t="s">
        <v>275</v>
      </c>
      <c r="C404" s="8" t="s">
        <v>256</v>
      </c>
      <c r="D404" s="8"/>
      <c r="E404" s="8"/>
      <c r="F404" s="4" t="e">
        <f aca="true" t="shared" si="132" ref="F404:K404">F405+F443+F439</f>
        <v>#REF!</v>
      </c>
      <c r="G404" s="4" t="e">
        <f t="shared" si="132"/>
        <v>#REF!</v>
      </c>
      <c r="H404" s="4" t="e">
        <f t="shared" si="132"/>
        <v>#REF!</v>
      </c>
      <c r="I404" s="4" t="e">
        <f t="shared" si="132"/>
        <v>#REF!</v>
      </c>
      <c r="J404" s="4" t="e">
        <f t="shared" si="132"/>
        <v>#REF!</v>
      </c>
      <c r="K404" s="4">
        <f t="shared" si="132"/>
        <v>6792.79</v>
      </c>
    </row>
    <row r="405" spans="1:11" ht="48" customHeight="1">
      <c r="A405" s="26" t="s">
        <v>584</v>
      </c>
      <c r="B405" s="42" t="s">
        <v>275</v>
      </c>
      <c r="C405" s="42" t="s">
        <v>256</v>
      </c>
      <c r="D405" s="42" t="s">
        <v>585</v>
      </c>
      <c r="E405" s="42"/>
      <c r="F405" s="7" t="e">
        <f aca="true" t="shared" si="133" ref="F405:K405">F406+F422</f>
        <v>#REF!</v>
      </c>
      <c r="G405" s="7" t="e">
        <f t="shared" si="133"/>
        <v>#REF!</v>
      </c>
      <c r="H405" s="7" t="e">
        <f t="shared" si="133"/>
        <v>#REF!</v>
      </c>
      <c r="I405" s="7" t="e">
        <f t="shared" si="133"/>
        <v>#REF!</v>
      </c>
      <c r="J405" s="7" t="e">
        <f t="shared" si="133"/>
        <v>#REF!</v>
      </c>
      <c r="K405" s="7">
        <f t="shared" si="133"/>
        <v>2124.3699999999994</v>
      </c>
    </row>
    <row r="406" spans="1:11" ht="47.25">
      <c r="A406" s="26" t="s">
        <v>586</v>
      </c>
      <c r="B406" s="21" t="s">
        <v>275</v>
      </c>
      <c r="C406" s="21" t="s">
        <v>256</v>
      </c>
      <c r="D406" s="21" t="s">
        <v>587</v>
      </c>
      <c r="E406" s="21"/>
      <c r="F406" s="7" t="e">
        <f>F410+F407+F416</f>
        <v>#REF!</v>
      </c>
      <c r="G406" s="7" t="e">
        <f>G410+G407+G416</f>
        <v>#REF!</v>
      </c>
      <c r="H406" s="7" t="e">
        <f>H410+H407+H416</f>
        <v>#REF!</v>
      </c>
      <c r="I406" s="7" t="e">
        <f>I410+I407+I416</f>
        <v>#REF!</v>
      </c>
      <c r="J406" s="7" t="e">
        <f>J410+J407+J416</f>
        <v>#REF!</v>
      </c>
      <c r="K406" s="7">
        <f>K410+K407+K416+K419</f>
        <v>1401.8699999999994</v>
      </c>
    </row>
    <row r="407" spans="1:11" ht="24" customHeight="1">
      <c r="A407" s="26" t="s">
        <v>588</v>
      </c>
      <c r="B407" s="21" t="s">
        <v>275</v>
      </c>
      <c r="C407" s="21" t="s">
        <v>256</v>
      </c>
      <c r="D407" s="21" t="s">
        <v>589</v>
      </c>
      <c r="E407" s="21"/>
      <c r="F407" s="7" t="e">
        <f>F408</f>
        <v>#REF!</v>
      </c>
      <c r="G407" s="7" t="e">
        <f aca="true" t="shared" si="134" ref="G407:K408">G408</f>
        <v>#REF!</v>
      </c>
      <c r="H407" s="7" t="e">
        <f t="shared" si="134"/>
        <v>#REF!</v>
      </c>
      <c r="I407" s="7" t="e">
        <f t="shared" si="134"/>
        <v>#REF!</v>
      </c>
      <c r="J407" s="7" t="e">
        <f t="shared" si="134"/>
        <v>#REF!</v>
      </c>
      <c r="K407" s="7">
        <f t="shared" si="134"/>
        <v>12.5</v>
      </c>
    </row>
    <row r="408" spans="1:11" ht="31.5">
      <c r="A408" s="26" t="s">
        <v>172</v>
      </c>
      <c r="B408" s="21" t="s">
        <v>275</v>
      </c>
      <c r="C408" s="21" t="s">
        <v>256</v>
      </c>
      <c r="D408" s="21" t="s">
        <v>589</v>
      </c>
      <c r="E408" s="21" t="s">
        <v>173</v>
      </c>
      <c r="F408" s="7" t="e">
        <f>F409</f>
        <v>#REF!</v>
      </c>
      <c r="G408" s="7" t="e">
        <f t="shared" si="134"/>
        <v>#REF!</v>
      </c>
      <c r="H408" s="7" t="e">
        <f t="shared" si="134"/>
        <v>#REF!</v>
      </c>
      <c r="I408" s="7" t="e">
        <f t="shared" si="134"/>
        <v>#REF!</v>
      </c>
      <c r="J408" s="7" t="e">
        <f t="shared" si="134"/>
        <v>#REF!</v>
      </c>
      <c r="K408" s="7">
        <f t="shared" si="134"/>
        <v>12.5</v>
      </c>
    </row>
    <row r="409" spans="1:11" ht="47.25">
      <c r="A409" s="26" t="s">
        <v>174</v>
      </c>
      <c r="B409" s="21" t="s">
        <v>275</v>
      </c>
      <c r="C409" s="21" t="s">
        <v>256</v>
      </c>
      <c r="D409" s="21" t="s">
        <v>589</v>
      </c>
      <c r="E409" s="21" t="s">
        <v>175</v>
      </c>
      <c r="F409" s="7" t="e">
        <f>#REF!</f>
        <v>#REF!</v>
      </c>
      <c r="G409" s="7" t="e">
        <f>#REF!</f>
        <v>#REF!</v>
      </c>
      <c r="H409" s="7" t="e">
        <f>#REF!</f>
        <v>#REF!</v>
      </c>
      <c r="I409" s="7" t="e">
        <f>#REF!</f>
        <v>#REF!</v>
      </c>
      <c r="J409" s="7" t="e">
        <f>#REF!</f>
        <v>#REF!</v>
      </c>
      <c r="K409" s="7">
        <f>'Прил.№5 ведомств.'!G1168</f>
        <v>12.5</v>
      </c>
    </row>
    <row r="410" spans="1:11" ht="15.75">
      <c r="A410" s="26" t="s">
        <v>590</v>
      </c>
      <c r="B410" s="21" t="s">
        <v>275</v>
      </c>
      <c r="C410" s="21" t="s">
        <v>256</v>
      </c>
      <c r="D410" s="21" t="s">
        <v>591</v>
      </c>
      <c r="E410" s="21"/>
      <c r="F410" s="7" t="e">
        <f>F411</f>
        <v>#REF!</v>
      </c>
      <c r="G410" s="7" t="e">
        <f aca="true" t="shared" si="135" ref="G410:K411">G411</f>
        <v>#REF!</v>
      </c>
      <c r="H410" s="7" t="e">
        <f t="shared" si="135"/>
        <v>#REF!</v>
      </c>
      <c r="I410" s="7" t="e">
        <f t="shared" si="135"/>
        <v>#REF!</v>
      </c>
      <c r="J410" s="7" t="e">
        <f t="shared" si="135"/>
        <v>#REF!</v>
      </c>
      <c r="K410" s="7">
        <f>K411+K413</f>
        <v>643.3</v>
      </c>
    </row>
    <row r="411" spans="1:11" ht="31.5">
      <c r="A411" s="26" t="s">
        <v>172</v>
      </c>
      <c r="B411" s="21" t="s">
        <v>275</v>
      </c>
      <c r="C411" s="21" t="s">
        <v>256</v>
      </c>
      <c r="D411" s="21" t="s">
        <v>591</v>
      </c>
      <c r="E411" s="21" t="s">
        <v>173</v>
      </c>
      <c r="F411" s="7" t="e">
        <f>F412</f>
        <v>#REF!</v>
      </c>
      <c r="G411" s="7" t="e">
        <f t="shared" si="135"/>
        <v>#REF!</v>
      </c>
      <c r="H411" s="7" t="e">
        <f t="shared" si="135"/>
        <v>#REF!</v>
      </c>
      <c r="I411" s="7" t="e">
        <f t="shared" si="135"/>
        <v>#REF!</v>
      </c>
      <c r="J411" s="7" t="e">
        <f t="shared" si="135"/>
        <v>#REF!</v>
      </c>
      <c r="K411" s="7">
        <f t="shared" si="135"/>
        <v>602</v>
      </c>
    </row>
    <row r="412" spans="1:11" ht="47.25">
      <c r="A412" s="26" t="s">
        <v>174</v>
      </c>
      <c r="B412" s="21" t="s">
        <v>275</v>
      </c>
      <c r="C412" s="21" t="s">
        <v>256</v>
      </c>
      <c r="D412" s="21" t="s">
        <v>591</v>
      </c>
      <c r="E412" s="21" t="s">
        <v>175</v>
      </c>
      <c r="F412" s="7" t="e">
        <f>#REF!</f>
        <v>#REF!</v>
      </c>
      <c r="G412" s="7" t="e">
        <f>#REF!</f>
        <v>#REF!</v>
      </c>
      <c r="H412" s="7" t="e">
        <f>#REF!</f>
        <v>#REF!</v>
      </c>
      <c r="I412" s="7" t="e">
        <f>#REF!</f>
        <v>#REF!</v>
      </c>
      <c r="J412" s="7" t="e">
        <f>#REF!</f>
        <v>#REF!</v>
      </c>
      <c r="K412" s="7">
        <f>'Прил.№5 ведомств.'!G1171</f>
        <v>602</v>
      </c>
    </row>
    <row r="413" spans="1:11" ht="15.75">
      <c r="A413" s="31" t="s">
        <v>176</v>
      </c>
      <c r="B413" s="21" t="s">
        <v>275</v>
      </c>
      <c r="C413" s="21" t="s">
        <v>256</v>
      </c>
      <c r="D413" s="21" t="s">
        <v>591</v>
      </c>
      <c r="E413" s="21" t="s">
        <v>186</v>
      </c>
      <c r="F413" s="7"/>
      <c r="G413" s="7"/>
      <c r="H413" s="7"/>
      <c r="I413" s="7"/>
      <c r="J413" s="7"/>
      <c r="K413" s="7">
        <f>K415+K414</f>
        <v>41.3</v>
      </c>
    </row>
    <row r="414" spans="1:11" s="285" customFormat="1" ht="15.75">
      <c r="A414" s="31" t="s">
        <v>187</v>
      </c>
      <c r="B414" s="21" t="s">
        <v>275</v>
      </c>
      <c r="C414" s="21" t="s">
        <v>256</v>
      </c>
      <c r="D414" s="21" t="s">
        <v>591</v>
      </c>
      <c r="E414" s="21" t="s">
        <v>188</v>
      </c>
      <c r="F414" s="7"/>
      <c r="G414" s="7"/>
      <c r="H414" s="7"/>
      <c r="I414" s="7"/>
      <c r="J414" s="7"/>
      <c r="K414" s="7">
        <f>'Прил.№5 ведомств.'!G1173</f>
        <v>41.3</v>
      </c>
    </row>
    <row r="415" spans="1:11" ht="15.75" hidden="1">
      <c r="A415" s="31" t="s">
        <v>610</v>
      </c>
      <c r="B415" s="21" t="s">
        <v>275</v>
      </c>
      <c r="C415" s="21" t="s">
        <v>256</v>
      </c>
      <c r="D415" s="21" t="s">
        <v>591</v>
      </c>
      <c r="E415" s="21" t="s">
        <v>179</v>
      </c>
      <c r="F415" s="7"/>
      <c r="G415" s="7"/>
      <c r="H415" s="7"/>
      <c r="I415" s="7"/>
      <c r="J415" s="7"/>
      <c r="K415" s="7">
        <f>'Прил.№5 ведомств.'!G1174</f>
        <v>0</v>
      </c>
    </row>
    <row r="416" spans="1:11" ht="15.75">
      <c r="A416" s="26" t="s">
        <v>592</v>
      </c>
      <c r="B416" s="21" t="s">
        <v>275</v>
      </c>
      <c r="C416" s="21" t="s">
        <v>256</v>
      </c>
      <c r="D416" s="21" t="s">
        <v>593</v>
      </c>
      <c r="E416" s="21"/>
      <c r="F416" s="7" t="e">
        <f>F417</f>
        <v>#REF!</v>
      </c>
      <c r="G416" s="7" t="e">
        <f aca="true" t="shared" si="136" ref="G416:K417">G417</f>
        <v>#REF!</v>
      </c>
      <c r="H416" s="7" t="e">
        <f t="shared" si="136"/>
        <v>#REF!</v>
      </c>
      <c r="I416" s="7" t="e">
        <f t="shared" si="136"/>
        <v>#REF!</v>
      </c>
      <c r="J416" s="7" t="e">
        <f t="shared" si="136"/>
        <v>#REF!</v>
      </c>
      <c r="K416" s="7">
        <f t="shared" si="136"/>
        <v>746.0699999999995</v>
      </c>
    </row>
    <row r="417" spans="1:11" ht="31.5">
      <c r="A417" s="26" t="s">
        <v>172</v>
      </c>
      <c r="B417" s="21" t="s">
        <v>275</v>
      </c>
      <c r="C417" s="21" t="s">
        <v>256</v>
      </c>
      <c r="D417" s="21" t="s">
        <v>593</v>
      </c>
      <c r="E417" s="21" t="s">
        <v>173</v>
      </c>
      <c r="F417" s="7" t="e">
        <f>F418</f>
        <v>#REF!</v>
      </c>
      <c r="G417" s="7" t="e">
        <f t="shared" si="136"/>
        <v>#REF!</v>
      </c>
      <c r="H417" s="7" t="e">
        <f t="shared" si="136"/>
        <v>#REF!</v>
      </c>
      <c r="I417" s="7" t="e">
        <f t="shared" si="136"/>
        <v>#REF!</v>
      </c>
      <c r="J417" s="7" t="e">
        <f t="shared" si="136"/>
        <v>#REF!</v>
      </c>
      <c r="K417" s="7">
        <f t="shared" si="136"/>
        <v>746.0699999999995</v>
      </c>
    </row>
    <row r="418" spans="1:11" ht="47.25">
      <c r="A418" s="26" t="s">
        <v>174</v>
      </c>
      <c r="B418" s="21" t="s">
        <v>275</v>
      </c>
      <c r="C418" s="21" t="s">
        <v>256</v>
      </c>
      <c r="D418" s="21" t="s">
        <v>593</v>
      </c>
      <c r="E418" s="21" t="s">
        <v>175</v>
      </c>
      <c r="F418" s="7" t="e">
        <f>#REF!</f>
        <v>#REF!</v>
      </c>
      <c r="G418" s="7" t="e">
        <f>#REF!</f>
        <v>#REF!</v>
      </c>
      <c r="H418" s="7" t="e">
        <f>#REF!</f>
        <v>#REF!</v>
      </c>
      <c r="I418" s="7" t="e">
        <f>#REF!</f>
        <v>#REF!</v>
      </c>
      <c r="J418" s="7" t="e">
        <f>#REF!</f>
        <v>#REF!</v>
      </c>
      <c r="K418" s="7">
        <f>'Прил.№5 ведомств.'!G1177</f>
        <v>746.0699999999995</v>
      </c>
    </row>
    <row r="419" spans="1:11" ht="31.5" hidden="1">
      <c r="A419" s="26" t="s">
        <v>603</v>
      </c>
      <c r="B419" s="21" t="s">
        <v>275</v>
      </c>
      <c r="C419" s="21" t="s">
        <v>256</v>
      </c>
      <c r="D419" s="21" t="s">
        <v>943</v>
      </c>
      <c r="E419" s="21"/>
      <c r="F419" s="7"/>
      <c r="G419" s="7"/>
      <c r="H419" s="7"/>
      <c r="I419" s="7"/>
      <c r="J419" s="7"/>
      <c r="K419" s="7">
        <f>K420</f>
        <v>0</v>
      </c>
    </row>
    <row r="420" spans="1:11" ht="31.5" hidden="1">
      <c r="A420" s="26" t="s">
        <v>172</v>
      </c>
      <c r="B420" s="21" t="s">
        <v>275</v>
      </c>
      <c r="C420" s="21" t="s">
        <v>256</v>
      </c>
      <c r="D420" s="21" t="s">
        <v>943</v>
      </c>
      <c r="E420" s="21" t="s">
        <v>173</v>
      </c>
      <c r="F420" s="7"/>
      <c r="G420" s="7"/>
      <c r="H420" s="7"/>
      <c r="I420" s="7"/>
      <c r="J420" s="7"/>
      <c r="K420" s="7">
        <f>K421</f>
        <v>0</v>
      </c>
    </row>
    <row r="421" spans="1:11" ht="47.25" hidden="1">
      <c r="A421" s="26" t="s">
        <v>174</v>
      </c>
      <c r="B421" s="21" t="s">
        <v>275</v>
      </c>
      <c r="C421" s="21" t="s">
        <v>256</v>
      </c>
      <c r="D421" s="21" t="s">
        <v>943</v>
      </c>
      <c r="E421" s="21" t="s">
        <v>175</v>
      </c>
      <c r="F421" s="7"/>
      <c r="G421" s="7"/>
      <c r="H421" s="7"/>
      <c r="I421" s="7"/>
      <c r="J421" s="7"/>
      <c r="K421" s="7">
        <f>'Прил.№5 ведомств.'!G1180</f>
        <v>0</v>
      </c>
    </row>
    <row r="422" spans="1:11" ht="47.25">
      <c r="A422" s="26" t="s">
        <v>594</v>
      </c>
      <c r="B422" s="21" t="s">
        <v>275</v>
      </c>
      <c r="C422" s="21" t="s">
        <v>256</v>
      </c>
      <c r="D422" s="21" t="s">
        <v>595</v>
      </c>
      <c r="E422" s="21"/>
      <c r="F422" s="7" t="e">
        <f aca="true" t="shared" si="137" ref="F422:K422">F423+F428+F431+F436</f>
        <v>#REF!</v>
      </c>
      <c r="G422" s="7" t="e">
        <f t="shared" si="137"/>
        <v>#REF!</v>
      </c>
      <c r="H422" s="7" t="e">
        <f t="shared" si="137"/>
        <v>#REF!</v>
      </c>
      <c r="I422" s="7" t="e">
        <f t="shared" si="137"/>
        <v>#REF!</v>
      </c>
      <c r="J422" s="7" t="e">
        <f t="shared" si="137"/>
        <v>#REF!</v>
      </c>
      <c r="K422" s="7">
        <f t="shared" si="137"/>
        <v>722.5</v>
      </c>
    </row>
    <row r="423" spans="1:11" ht="15.75">
      <c r="A423" s="26" t="s">
        <v>592</v>
      </c>
      <c r="B423" s="21" t="s">
        <v>275</v>
      </c>
      <c r="C423" s="21" t="s">
        <v>256</v>
      </c>
      <c r="D423" s="21" t="s">
        <v>596</v>
      </c>
      <c r="E423" s="21"/>
      <c r="F423" s="7" t="e">
        <f aca="true" t="shared" si="138" ref="F423:K423">F424+F426</f>
        <v>#REF!</v>
      </c>
      <c r="G423" s="7" t="e">
        <f t="shared" si="138"/>
        <v>#REF!</v>
      </c>
      <c r="H423" s="7" t="e">
        <f t="shared" si="138"/>
        <v>#REF!</v>
      </c>
      <c r="I423" s="7" t="e">
        <f t="shared" si="138"/>
        <v>#REF!</v>
      </c>
      <c r="J423" s="7" t="e">
        <f t="shared" si="138"/>
        <v>#REF!</v>
      </c>
      <c r="K423" s="7">
        <f t="shared" si="138"/>
        <v>11</v>
      </c>
    </row>
    <row r="424" spans="1:11" ht="78.75" hidden="1">
      <c r="A424" s="26" t="s">
        <v>168</v>
      </c>
      <c r="B424" s="21" t="s">
        <v>275</v>
      </c>
      <c r="C424" s="21" t="s">
        <v>256</v>
      </c>
      <c r="D424" s="21" t="s">
        <v>596</v>
      </c>
      <c r="E424" s="21" t="s">
        <v>169</v>
      </c>
      <c r="F424" s="7" t="e">
        <f aca="true" t="shared" si="139" ref="F424:K424">F425</f>
        <v>#REF!</v>
      </c>
      <c r="G424" s="7" t="e">
        <f t="shared" si="139"/>
        <v>#REF!</v>
      </c>
      <c r="H424" s="7" t="e">
        <f t="shared" si="139"/>
        <v>#REF!</v>
      </c>
      <c r="I424" s="7" t="e">
        <f t="shared" si="139"/>
        <v>#REF!</v>
      </c>
      <c r="J424" s="7" t="e">
        <f t="shared" si="139"/>
        <v>#REF!</v>
      </c>
      <c r="K424" s="7">
        <f t="shared" si="139"/>
        <v>0</v>
      </c>
    </row>
    <row r="425" spans="1:11" ht="31.5" hidden="1">
      <c r="A425" s="47" t="s">
        <v>383</v>
      </c>
      <c r="B425" s="21" t="s">
        <v>275</v>
      </c>
      <c r="C425" s="21" t="s">
        <v>256</v>
      </c>
      <c r="D425" s="21" t="s">
        <v>596</v>
      </c>
      <c r="E425" s="21" t="s">
        <v>250</v>
      </c>
      <c r="F425" s="7" t="e">
        <f>#REF!</f>
        <v>#REF!</v>
      </c>
      <c r="G425" s="7" t="e">
        <f>#REF!</f>
        <v>#REF!</v>
      </c>
      <c r="H425" s="7" t="e">
        <f>#REF!</f>
        <v>#REF!</v>
      </c>
      <c r="I425" s="7" t="e">
        <f>#REF!</f>
        <v>#REF!</v>
      </c>
      <c r="J425" s="7" t="e">
        <f>#REF!</f>
        <v>#REF!</v>
      </c>
      <c r="K425" s="7">
        <f>'Прил.№5 ведомств.'!G1184</f>
        <v>0</v>
      </c>
    </row>
    <row r="426" spans="1:11" ht="31.5">
      <c r="A426" s="26" t="s">
        <v>172</v>
      </c>
      <c r="B426" s="21" t="s">
        <v>275</v>
      </c>
      <c r="C426" s="21" t="s">
        <v>256</v>
      </c>
      <c r="D426" s="21" t="s">
        <v>596</v>
      </c>
      <c r="E426" s="21" t="s">
        <v>173</v>
      </c>
      <c r="F426" s="7" t="e">
        <f aca="true" t="shared" si="140" ref="F426:K426">F427</f>
        <v>#REF!</v>
      </c>
      <c r="G426" s="7" t="e">
        <f t="shared" si="140"/>
        <v>#REF!</v>
      </c>
      <c r="H426" s="7" t="e">
        <f t="shared" si="140"/>
        <v>#REF!</v>
      </c>
      <c r="I426" s="7" t="e">
        <f t="shared" si="140"/>
        <v>#REF!</v>
      </c>
      <c r="J426" s="7" t="e">
        <f t="shared" si="140"/>
        <v>#REF!</v>
      </c>
      <c r="K426" s="7">
        <f t="shared" si="140"/>
        <v>11</v>
      </c>
    </row>
    <row r="427" spans="1:11" ht="47.25">
      <c r="A427" s="26" t="s">
        <v>174</v>
      </c>
      <c r="B427" s="21" t="s">
        <v>275</v>
      </c>
      <c r="C427" s="21" t="s">
        <v>256</v>
      </c>
      <c r="D427" s="21" t="s">
        <v>596</v>
      </c>
      <c r="E427" s="21" t="s">
        <v>175</v>
      </c>
      <c r="F427" s="7" t="e">
        <f>#REF!</f>
        <v>#REF!</v>
      </c>
      <c r="G427" s="7" t="e">
        <f>#REF!</f>
        <v>#REF!</v>
      </c>
      <c r="H427" s="7" t="e">
        <f>#REF!</f>
        <v>#REF!</v>
      </c>
      <c r="I427" s="7" t="e">
        <f>#REF!</f>
        <v>#REF!</v>
      </c>
      <c r="J427" s="7" t="e">
        <f>#REF!</f>
        <v>#REF!</v>
      </c>
      <c r="K427" s="7">
        <f>'Прил.№5 ведомств.'!G1186</f>
        <v>11</v>
      </c>
    </row>
    <row r="428" spans="1:11" ht="15.75">
      <c r="A428" s="26" t="s">
        <v>597</v>
      </c>
      <c r="B428" s="21" t="s">
        <v>275</v>
      </c>
      <c r="C428" s="21" t="s">
        <v>256</v>
      </c>
      <c r="D428" s="21" t="s">
        <v>598</v>
      </c>
      <c r="E428" s="21"/>
      <c r="F428" s="7" t="e">
        <f>F429</f>
        <v>#REF!</v>
      </c>
      <c r="G428" s="7" t="e">
        <f aca="true" t="shared" si="141" ref="G428:K429">G429</f>
        <v>#REF!</v>
      </c>
      <c r="H428" s="7" t="e">
        <f t="shared" si="141"/>
        <v>#REF!</v>
      </c>
      <c r="I428" s="7" t="e">
        <f t="shared" si="141"/>
        <v>#REF!</v>
      </c>
      <c r="J428" s="7" t="e">
        <f t="shared" si="141"/>
        <v>#REF!</v>
      </c>
      <c r="K428" s="7">
        <f t="shared" si="141"/>
        <v>4</v>
      </c>
    </row>
    <row r="429" spans="1:11" ht="31.5">
      <c r="A429" s="26" t="s">
        <v>172</v>
      </c>
      <c r="B429" s="21" t="s">
        <v>275</v>
      </c>
      <c r="C429" s="21" t="s">
        <v>256</v>
      </c>
      <c r="D429" s="21" t="s">
        <v>598</v>
      </c>
      <c r="E429" s="21" t="s">
        <v>173</v>
      </c>
      <c r="F429" s="7" t="e">
        <f>F430</f>
        <v>#REF!</v>
      </c>
      <c r="G429" s="7" t="e">
        <f t="shared" si="141"/>
        <v>#REF!</v>
      </c>
      <c r="H429" s="7" t="e">
        <f t="shared" si="141"/>
        <v>#REF!</v>
      </c>
      <c r="I429" s="7" t="e">
        <f t="shared" si="141"/>
        <v>#REF!</v>
      </c>
      <c r="J429" s="7" t="e">
        <f t="shared" si="141"/>
        <v>#REF!</v>
      </c>
      <c r="K429" s="7">
        <f t="shared" si="141"/>
        <v>4</v>
      </c>
    </row>
    <row r="430" spans="1:11" ht="47.25">
      <c r="A430" s="26" t="s">
        <v>174</v>
      </c>
      <c r="B430" s="21" t="s">
        <v>275</v>
      </c>
      <c r="C430" s="21" t="s">
        <v>256</v>
      </c>
      <c r="D430" s="21" t="s">
        <v>598</v>
      </c>
      <c r="E430" s="21" t="s">
        <v>175</v>
      </c>
      <c r="F430" s="7" t="e">
        <f>#REF!</f>
        <v>#REF!</v>
      </c>
      <c r="G430" s="7" t="e">
        <f>#REF!</f>
        <v>#REF!</v>
      </c>
      <c r="H430" s="7" t="e">
        <f>#REF!</f>
        <v>#REF!</v>
      </c>
      <c r="I430" s="7" t="e">
        <f>#REF!</f>
        <v>#REF!</v>
      </c>
      <c r="J430" s="7" t="e">
        <f>#REF!</f>
        <v>#REF!</v>
      </c>
      <c r="K430" s="7">
        <f>'Прил.№5 ведомств.'!G1189</f>
        <v>4</v>
      </c>
    </row>
    <row r="431" spans="1:11" ht="47.25">
      <c r="A431" s="120" t="s">
        <v>599</v>
      </c>
      <c r="B431" s="21" t="s">
        <v>275</v>
      </c>
      <c r="C431" s="21" t="s">
        <v>256</v>
      </c>
      <c r="D431" s="21" t="s">
        <v>600</v>
      </c>
      <c r="E431" s="21"/>
      <c r="F431" s="7" t="e">
        <f>F432</f>
        <v>#REF!</v>
      </c>
      <c r="G431" s="7" t="e">
        <f aca="true" t="shared" si="142" ref="G431:K432">G432</f>
        <v>#REF!</v>
      </c>
      <c r="H431" s="7" t="e">
        <f t="shared" si="142"/>
        <v>#REF!</v>
      </c>
      <c r="I431" s="7" t="e">
        <f t="shared" si="142"/>
        <v>#REF!</v>
      </c>
      <c r="J431" s="7" t="e">
        <f t="shared" si="142"/>
        <v>#REF!</v>
      </c>
      <c r="K431" s="7">
        <f>K432+K434</f>
        <v>707.5</v>
      </c>
    </row>
    <row r="432" spans="1:11" ht="31.5">
      <c r="A432" s="26" t="s">
        <v>172</v>
      </c>
      <c r="B432" s="21" t="s">
        <v>275</v>
      </c>
      <c r="C432" s="21" t="s">
        <v>256</v>
      </c>
      <c r="D432" s="21" t="s">
        <v>600</v>
      </c>
      <c r="E432" s="21" t="s">
        <v>173</v>
      </c>
      <c r="F432" s="7" t="e">
        <f>F433</f>
        <v>#REF!</v>
      </c>
      <c r="G432" s="7" t="e">
        <f t="shared" si="142"/>
        <v>#REF!</v>
      </c>
      <c r="H432" s="7" t="e">
        <f t="shared" si="142"/>
        <v>#REF!</v>
      </c>
      <c r="I432" s="7" t="e">
        <f t="shared" si="142"/>
        <v>#REF!</v>
      </c>
      <c r="J432" s="7" t="e">
        <f t="shared" si="142"/>
        <v>#REF!</v>
      </c>
      <c r="K432" s="7">
        <f t="shared" si="142"/>
        <v>632.5</v>
      </c>
    </row>
    <row r="433" spans="1:11" ht="47.25">
      <c r="A433" s="26" t="s">
        <v>174</v>
      </c>
      <c r="B433" s="21" t="s">
        <v>275</v>
      </c>
      <c r="C433" s="21" t="s">
        <v>256</v>
      </c>
      <c r="D433" s="21" t="s">
        <v>600</v>
      </c>
      <c r="E433" s="21" t="s">
        <v>175</v>
      </c>
      <c r="F433" s="7" t="e">
        <f>#REF!</f>
        <v>#REF!</v>
      </c>
      <c r="G433" s="7" t="e">
        <f>#REF!</f>
        <v>#REF!</v>
      </c>
      <c r="H433" s="7" t="e">
        <f>#REF!</f>
        <v>#REF!</v>
      </c>
      <c r="I433" s="7" t="e">
        <f>#REF!</f>
        <v>#REF!</v>
      </c>
      <c r="J433" s="7" t="e">
        <f>#REF!</f>
        <v>#REF!</v>
      </c>
      <c r="K433" s="7">
        <f>'Прил.№5 ведомств.'!G1192</f>
        <v>632.5</v>
      </c>
    </row>
    <row r="434" spans="1:11" s="285" customFormat="1" ht="15.75">
      <c r="A434" s="31" t="s">
        <v>176</v>
      </c>
      <c r="B434" s="21" t="s">
        <v>275</v>
      </c>
      <c r="C434" s="21" t="s">
        <v>256</v>
      </c>
      <c r="D434" s="21" t="s">
        <v>600</v>
      </c>
      <c r="E434" s="21" t="s">
        <v>186</v>
      </c>
      <c r="F434" s="7"/>
      <c r="G434" s="7"/>
      <c r="H434" s="7"/>
      <c r="I434" s="7"/>
      <c r="J434" s="7"/>
      <c r="K434" s="7">
        <f>K435</f>
        <v>75</v>
      </c>
    </row>
    <row r="435" spans="1:11" s="285" customFormat="1" ht="15.75">
      <c r="A435" s="31" t="s">
        <v>610</v>
      </c>
      <c r="B435" s="21" t="s">
        <v>275</v>
      </c>
      <c r="C435" s="21" t="s">
        <v>256</v>
      </c>
      <c r="D435" s="21" t="s">
        <v>600</v>
      </c>
      <c r="E435" s="21" t="s">
        <v>179</v>
      </c>
      <c r="F435" s="7"/>
      <c r="G435" s="7"/>
      <c r="H435" s="7"/>
      <c r="I435" s="7"/>
      <c r="J435" s="7"/>
      <c r="K435" s="7">
        <f>'Прил.№5 ведомств.'!G1194</f>
        <v>75</v>
      </c>
    </row>
    <row r="436" spans="1:11" ht="15.75" hidden="1">
      <c r="A436" s="120" t="s">
        <v>601</v>
      </c>
      <c r="B436" s="21" t="s">
        <v>275</v>
      </c>
      <c r="C436" s="21" t="s">
        <v>256</v>
      </c>
      <c r="D436" s="21" t="s">
        <v>602</v>
      </c>
      <c r="E436" s="21"/>
      <c r="F436" s="7" t="e">
        <f>F437</f>
        <v>#REF!</v>
      </c>
      <c r="G436" s="7" t="e">
        <f aca="true" t="shared" si="143" ref="G436:K437">G437</f>
        <v>#REF!</v>
      </c>
      <c r="H436" s="7" t="e">
        <f t="shared" si="143"/>
        <v>#REF!</v>
      </c>
      <c r="I436" s="7" t="e">
        <f t="shared" si="143"/>
        <v>#REF!</v>
      </c>
      <c r="J436" s="7" t="e">
        <f t="shared" si="143"/>
        <v>#REF!</v>
      </c>
      <c r="K436" s="7">
        <f t="shared" si="143"/>
        <v>0</v>
      </c>
    </row>
    <row r="437" spans="1:11" ht="31.5" hidden="1">
      <c r="A437" s="26" t="s">
        <v>172</v>
      </c>
      <c r="B437" s="21" t="s">
        <v>275</v>
      </c>
      <c r="C437" s="21" t="s">
        <v>256</v>
      </c>
      <c r="D437" s="21" t="s">
        <v>602</v>
      </c>
      <c r="E437" s="21" t="s">
        <v>173</v>
      </c>
      <c r="F437" s="7" t="e">
        <f>F438</f>
        <v>#REF!</v>
      </c>
      <c r="G437" s="7" t="e">
        <f t="shared" si="143"/>
        <v>#REF!</v>
      </c>
      <c r="H437" s="7" t="e">
        <f t="shared" si="143"/>
        <v>#REF!</v>
      </c>
      <c r="I437" s="7" t="e">
        <f t="shared" si="143"/>
        <v>#REF!</v>
      </c>
      <c r="J437" s="7" t="e">
        <f t="shared" si="143"/>
        <v>#REF!</v>
      </c>
      <c r="K437" s="7">
        <f t="shared" si="143"/>
        <v>0</v>
      </c>
    </row>
    <row r="438" spans="1:11" ht="47.25" hidden="1">
      <c r="A438" s="26" t="s">
        <v>174</v>
      </c>
      <c r="B438" s="21" t="s">
        <v>275</v>
      </c>
      <c r="C438" s="21" t="s">
        <v>256</v>
      </c>
      <c r="D438" s="21" t="s">
        <v>602</v>
      </c>
      <c r="E438" s="21" t="s">
        <v>175</v>
      </c>
      <c r="F438" s="7" t="e">
        <f>#REF!</f>
        <v>#REF!</v>
      </c>
      <c r="G438" s="7" t="e">
        <f>#REF!</f>
        <v>#REF!</v>
      </c>
      <c r="H438" s="7" t="e">
        <f>#REF!</f>
        <v>#REF!</v>
      </c>
      <c r="I438" s="7" t="e">
        <f>#REF!</f>
        <v>#REF!</v>
      </c>
      <c r="J438" s="7" t="e">
        <f>#REF!</f>
        <v>#REF!</v>
      </c>
      <c r="K438" s="7">
        <f>'Прил.№5 ведомств.'!G1197</f>
        <v>0</v>
      </c>
    </row>
    <row r="439" spans="1:11" ht="63">
      <c r="A439" s="26" t="s">
        <v>968</v>
      </c>
      <c r="B439" s="21" t="s">
        <v>275</v>
      </c>
      <c r="C439" s="21" t="s">
        <v>256</v>
      </c>
      <c r="D439" s="21" t="s">
        <v>786</v>
      </c>
      <c r="E439" s="21"/>
      <c r="F439" s="7" t="e">
        <f>F440</f>
        <v>#REF!</v>
      </c>
      <c r="G439" s="7" t="e">
        <f aca="true" t="shared" si="144" ref="G439:K441">G440</f>
        <v>#REF!</v>
      </c>
      <c r="H439" s="7" t="e">
        <f t="shared" si="144"/>
        <v>#REF!</v>
      </c>
      <c r="I439" s="7" t="e">
        <f t="shared" si="144"/>
        <v>#REF!</v>
      </c>
      <c r="J439" s="7" t="e">
        <f t="shared" si="144"/>
        <v>#REF!</v>
      </c>
      <c r="K439" s="7">
        <f t="shared" si="144"/>
        <v>2614.5200000000004</v>
      </c>
    </row>
    <row r="440" spans="1:11" ht="31.5">
      <c r="A440" s="150" t="s">
        <v>785</v>
      </c>
      <c r="B440" s="21" t="s">
        <v>275</v>
      </c>
      <c r="C440" s="21" t="s">
        <v>256</v>
      </c>
      <c r="D440" s="21" t="s">
        <v>1094</v>
      </c>
      <c r="E440" s="21"/>
      <c r="F440" s="7" t="e">
        <f>F441</f>
        <v>#REF!</v>
      </c>
      <c r="G440" s="7" t="e">
        <f t="shared" si="144"/>
        <v>#REF!</v>
      </c>
      <c r="H440" s="7" t="e">
        <f t="shared" si="144"/>
        <v>#REF!</v>
      </c>
      <c r="I440" s="7" t="e">
        <f t="shared" si="144"/>
        <v>#REF!</v>
      </c>
      <c r="J440" s="7" t="e">
        <f t="shared" si="144"/>
        <v>#REF!</v>
      </c>
      <c r="K440" s="7">
        <f t="shared" si="144"/>
        <v>2614.5200000000004</v>
      </c>
    </row>
    <row r="441" spans="1:11" ht="31.5">
      <c r="A441" s="26" t="s">
        <v>172</v>
      </c>
      <c r="B441" s="21" t="s">
        <v>275</v>
      </c>
      <c r="C441" s="21" t="s">
        <v>256</v>
      </c>
      <c r="D441" s="21" t="s">
        <v>1094</v>
      </c>
      <c r="E441" s="21" t="s">
        <v>173</v>
      </c>
      <c r="F441" s="7" t="e">
        <f>F442</f>
        <v>#REF!</v>
      </c>
      <c r="G441" s="7" t="e">
        <f t="shared" si="144"/>
        <v>#REF!</v>
      </c>
      <c r="H441" s="7" t="e">
        <f t="shared" si="144"/>
        <v>#REF!</v>
      </c>
      <c r="I441" s="7" t="e">
        <f t="shared" si="144"/>
        <v>#REF!</v>
      </c>
      <c r="J441" s="7" t="e">
        <f t="shared" si="144"/>
        <v>#REF!</v>
      </c>
      <c r="K441" s="7">
        <f t="shared" si="144"/>
        <v>2614.5200000000004</v>
      </c>
    </row>
    <row r="442" spans="1:11" ht="47.25">
      <c r="A442" s="26" t="s">
        <v>174</v>
      </c>
      <c r="B442" s="21" t="s">
        <v>275</v>
      </c>
      <c r="C442" s="21" t="s">
        <v>256</v>
      </c>
      <c r="D442" s="21" t="s">
        <v>1094</v>
      </c>
      <c r="E442" s="21" t="s">
        <v>175</v>
      </c>
      <c r="F442" s="7" t="e">
        <f>#REF!</f>
        <v>#REF!</v>
      </c>
      <c r="G442" s="7" t="e">
        <f>#REF!</f>
        <v>#REF!</v>
      </c>
      <c r="H442" s="7" t="e">
        <f>#REF!</f>
        <v>#REF!</v>
      </c>
      <c r="I442" s="7" t="e">
        <f>#REF!</f>
        <v>#REF!</v>
      </c>
      <c r="J442" s="7" t="e">
        <f>#REF!</f>
        <v>#REF!</v>
      </c>
      <c r="K442" s="7">
        <f>'Прил.№5 ведомств.'!G1201</f>
        <v>2614.5200000000004</v>
      </c>
    </row>
    <row r="443" spans="1:11" ht="15.75">
      <c r="A443" s="31" t="s">
        <v>162</v>
      </c>
      <c r="B443" s="42" t="s">
        <v>275</v>
      </c>
      <c r="C443" s="42" t="s">
        <v>256</v>
      </c>
      <c r="D443" s="42" t="s">
        <v>163</v>
      </c>
      <c r="E443" s="8"/>
      <c r="F443" s="7" t="e">
        <f aca="true" t="shared" si="145" ref="F443:K443">F444+F460</f>
        <v>#REF!</v>
      </c>
      <c r="G443" s="7" t="e">
        <f t="shared" si="145"/>
        <v>#REF!</v>
      </c>
      <c r="H443" s="7" t="e">
        <f t="shared" si="145"/>
        <v>#REF!</v>
      </c>
      <c r="I443" s="7" t="e">
        <f t="shared" si="145"/>
        <v>#REF!</v>
      </c>
      <c r="J443" s="7" t="e">
        <f t="shared" si="145"/>
        <v>#REF!</v>
      </c>
      <c r="K443" s="7">
        <f t="shared" si="145"/>
        <v>2053.9</v>
      </c>
    </row>
    <row r="444" spans="1:11" ht="31.5">
      <c r="A444" s="31" t="s">
        <v>226</v>
      </c>
      <c r="B444" s="42" t="s">
        <v>275</v>
      </c>
      <c r="C444" s="42" t="s">
        <v>256</v>
      </c>
      <c r="D444" s="42" t="s">
        <v>227</v>
      </c>
      <c r="E444" s="8"/>
      <c r="F444" s="7" t="e">
        <f aca="true" t="shared" si="146" ref="F444:J444">F445+F448+F454+F457</f>
        <v>#REF!</v>
      </c>
      <c r="G444" s="7" t="e">
        <f t="shared" si="146"/>
        <v>#REF!</v>
      </c>
      <c r="H444" s="7" t="e">
        <f t="shared" si="146"/>
        <v>#REF!</v>
      </c>
      <c r="I444" s="7" t="e">
        <f t="shared" si="146"/>
        <v>#REF!</v>
      </c>
      <c r="J444" s="7" t="e">
        <f t="shared" si="146"/>
        <v>#REF!</v>
      </c>
      <c r="K444" s="7">
        <f>K448+K451+K454</f>
        <v>1663.9</v>
      </c>
    </row>
    <row r="445" spans="1:11" ht="35.25" customHeight="1" hidden="1">
      <c r="A445" s="47" t="s">
        <v>603</v>
      </c>
      <c r="B445" s="42" t="s">
        <v>275</v>
      </c>
      <c r="C445" s="42" t="s">
        <v>256</v>
      </c>
      <c r="D445" s="42" t="s">
        <v>604</v>
      </c>
      <c r="E445" s="8"/>
      <c r="F445" s="7" t="e">
        <f>F446</f>
        <v>#REF!</v>
      </c>
      <c r="G445" s="7" t="e">
        <f aca="true" t="shared" si="147" ref="G445:K446">G446</f>
        <v>#REF!</v>
      </c>
      <c r="H445" s="7" t="e">
        <f t="shared" si="147"/>
        <v>#REF!</v>
      </c>
      <c r="I445" s="7" t="e">
        <f t="shared" si="147"/>
        <v>#REF!</v>
      </c>
      <c r="J445" s="7" t="e">
        <f t="shared" si="147"/>
        <v>#REF!</v>
      </c>
      <c r="K445" s="7">
        <f t="shared" si="147"/>
        <v>0</v>
      </c>
    </row>
    <row r="446" spans="1:11" ht="31.5" hidden="1">
      <c r="A446" s="31" t="s">
        <v>172</v>
      </c>
      <c r="B446" s="42" t="s">
        <v>275</v>
      </c>
      <c r="C446" s="42" t="s">
        <v>256</v>
      </c>
      <c r="D446" s="42" t="s">
        <v>604</v>
      </c>
      <c r="E446" s="42" t="s">
        <v>173</v>
      </c>
      <c r="F446" s="7" t="e">
        <f>F447</f>
        <v>#REF!</v>
      </c>
      <c r="G446" s="7" t="e">
        <f t="shared" si="147"/>
        <v>#REF!</v>
      </c>
      <c r="H446" s="7" t="e">
        <f t="shared" si="147"/>
        <v>#REF!</v>
      </c>
      <c r="I446" s="7" t="e">
        <f t="shared" si="147"/>
        <v>#REF!</v>
      </c>
      <c r="J446" s="7" t="e">
        <f t="shared" si="147"/>
        <v>#REF!</v>
      </c>
      <c r="K446" s="7">
        <f t="shared" si="147"/>
        <v>0</v>
      </c>
    </row>
    <row r="447" spans="1:11" ht="47.25" hidden="1">
      <c r="A447" s="31" t="s">
        <v>174</v>
      </c>
      <c r="B447" s="42" t="s">
        <v>275</v>
      </c>
      <c r="C447" s="42" t="s">
        <v>256</v>
      </c>
      <c r="D447" s="42" t="s">
        <v>604</v>
      </c>
      <c r="E447" s="42" t="s">
        <v>175</v>
      </c>
      <c r="F447" s="7" t="e">
        <f>#REF!</f>
        <v>#REF!</v>
      </c>
      <c r="G447" s="7" t="e">
        <f>#REF!</f>
        <v>#REF!</v>
      </c>
      <c r="H447" s="7" t="e">
        <f>#REF!</f>
        <v>#REF!</v>
      </c>
      <c r="I447" s="7" t="e">
        <f>#REF!</f>
        <v>#REF!</v>
      </c>
      <c r="J447" s="7" t="e">
        <f>#REF!</f>
        <v>#REF!</v>
      </c>
      <c r="K447" s="7">
        <f>'Прил.№5 ведомств.'!G1205</f>
        <v>0</v>
      </c>
    </row>
    <row r="448" spans="1:11" ht="31.5">
      <c r="A448" s="26" t="s">
        <v>755</v>
      </c>
      <c r="B448" s="42" t="s">
        <v>275</v>
      </c>
      <c r="C448" s="42" t="s">
        <v>256</v>
      </c>
      <c r="D448" s="21" t="s">
        <v>756</v>
      </c>
      <c r="E448" s="42"/>
      <c r="F448" s="7" t="e">
        <f>F449</f>
        <v>#REF!</v>
      </c>
      <c r="G448" s="7" t="e">
        <f aca="true" t="shared" si="148" ref="G448:K449">G449</f>
        <v>#REF!</v>
      </c>
      <c r="H448" s="7" t="e">
        <f t="shared" si="148"/>
        <v>#REF!</v>
      </c>
      <c r="I448" s="7" t="e">
        <f t="shared" si="148"/>
        <v>#REF!</v>
      </c>
      <c r="J448" s="7" t="e">
        <f t="shared" si="148"/>
        <v>#REF!</v>
      </c>
      <c r="K448" s="7">
        <f t="shared" si="148"/>
        <v>244</v>
      </c>
    </row>
    <row r="449" spans="1:11" ht="31.5">
      <c r="A449" s="26" t="s">
        <v>172</v>
      </c>
      <c r="B449" s="42" t="s">
        <v>275</v>
      </c>
      <c r="C449" s="42" t="s">
        <v>256</v>
      </c>
      <c r="D449" s="21" t="s">
        <v>756</v>
      </c>
      <c r="E449" s="42" t="s">
        <v>173</v>
      </c>
      <c r="F449" s="7" t="e">
        <f>F450</f>
        <v>#REF!</v>
      </c>
      <c r="G449" s="7" t="e">
        <f t="shared" si="148"/>
        <v>#REF!</v>
      </c>
      <c r="H449" s="7" t="e">
        <f t="shared" si="148"/>
        <v>#REF!</v>
      </c>
      <c r="I449" s="7" t="e">
        <f t="shared" si="148"/>
        <v>#REF!</v>
      </c>
      <c r="J449" s="7" t="e">
        <f t="shared" si="148"/>
        <v>#REF!</v>
      </c>
      <c r="K449" s="7">
        <f t="shared" si="148"/>
        <v>244</v>
      </c>
    </row>
    <row r="450" spans="1:11" ht="47.25">
      <c r="A450" s="26" t="s">
        <v>174</v>
      </c>
      <c r="B450" s="42" t="s">
        <v>275</v>
      </c>
      <c r="C450" s="42" t="s">
        <v>256</v>
      </c>
      <c r="D450" s="21" t="s">
        <v>756</v>
      </c>
      <c r="E450" s="42" t="s">
        <v>175</v>
      </c>
      <c r="F450" s="7" t="e">
        <f>#REF!</f>
        <v>#REF!</v>
      </c>
      <c r="G450" s="7" t="e">
        <f>#REF!</f>
        <v>#REF!</v>
      </c>
      <c r="H450" s="7" t="e">
        <f>#REF!</f>
        <v>#REF!</v>
      </c>
      <c r="I450" s="7" t="e">
        <f>#REF!</f>
        <v>#REF!</v>
      </c>
      <c r="J450" s="7" t="e">
        <f>#REF!</f>
        <v>#REF!</v>
      </c>
      <c r="K450" s="7">
        <f>'Прил.№5 ведомств.'!G1209</f>
        <v>244</v>
      </c>
    </row>
    <row r="451" spans="1:11" s="285" customFormat="1" ht="63">
      <c r="A451" s="277" t="s">
        <v>1116</v>
      </c>
      <c r="B451" s="42" t="s">
        <v>275</v>
      </c>
      <c r="C451" s="42" t="s">
        <v>256</v>
      </c>
      <c r="D451" s="334" t="s">
        <v>1115</v>
      </c>
      <c r="E451" s="42"/>
      <c r="F451" s="7"/>
      <c r="G451" s="7"/>
      <c r="H451" s="7"/>
      <c r="I451" s="7"/>
      <c r="J451" s="7"/>
      <c r="K451" s="7">
        <f>K452</f>
        <v>1419.9</v>
      </c>
    </row>
    <row r="452" spans="1:11" s="285" customFormat="1" ht="31.5">
      <c r="A452" s="277" t="s">
        <v>172</v>
      </c>
      <c r="B452" s="42" t="s">
        <v>275</v>
      </c>
      <c r="C452" s="42" t="s">
        <v>256</v>
      </c>
      <c r="D452" s="334" t="s">
        <v>1115</v>
      </c>
      <c r="E452" s="42" t="s">
        <v>173</v>
      </c>
      <c r="F452" s="7"/>
      <c r="G452" s="7"/>
      <c r="H452" s="7"/>
      <c r="I452" s="7"/>
      <c r="J452" s="7"/>
      <c r="K452" s="7">
        <f>K453</f>
        <v>1419.9</v>
      </c>
    </row>
    <row r="453" spans="1:11" s="285" customFormat="1" ht="47.25">
      <c r="A453" s="26" t="s">
        <v>174</v>
      </c>
      <c r="B453" s="42" t="s">
        <v>275</v>
      </c>
      <c r="C453" s="42" t="s">
        <v>256</v>
      </c>
      <c r="D453" s="334" t="s">
        <v>1115</v>
      </c>
      <c r="E453" s="42" t="s">
        <v>175</v>
      </c>
      <c r="F453" s="7"/>
      <c r="G453" s="7"/>
      <c r="H453" s="7"/>
      <c r="I453" s="7"/>
      <c r="J453" s="7"/>
      <c r="K453" s="7">
        <f>'Прил.№5 ведомств.'!G1212</f>
        <v>1419.9</v>
      </c>
    </row>
    <row r="454" spans="1:11" ht="47.25" hidden="1">
      <c r="A454" s="26" t="s">
        <v>757</v>
      </c>
      <c r="B454" s="42" t="s">
        <v>275</v>
      </c>
      <c r="C454" s="42" t="s">
        <v>256</v>
      </c>
      <c r="D454" s="42" t="s">
        <v>605</v>
      </c>
      <c r="E454" s="42"/>
      <c r="F454" s="7" t="e">
        <f>F455</f>
        <v>#REF!</v>
      </c>
      <c r="G454" s="7" t="e">
        <f aca="true" t="shared" si="149" ref="G454:K455">G455</f>
        <v>#REF!</v>
      </c>
      <c r="H454" s="7" t="e">
        <f t="shared" si="149"/>
        <v>#REF!</v>
      </c>
      <c r="I454" s="7" t="e">
        <f t="shared" si="149"/>
        <v>#REF!</v>
      </c>
      <c r="J454" s="7" t="e">
        <f t="shared" si="149"/>
        <v>#REF!</v>
      </c>
      <c r="K454" s="7">
        <f t="shared" si="149"/>
        <v>0</v>
      </c>
    </row>
    <row r="455" spans="1:11" ht="31.5" hidden="1">
      <c r="A455" s="31" t="s">
        <v>172</v>
      </c>
      <c r="B455" s="42" t="s">
        <v>275</v>
      </c>
      <c r="C455" s="42" t="s">
        <v>256</v>
      </c>
      <c r="D455" s="42" t="s">
        <v>605</v>
      </c>
      <c r="E455" s="42" t="s">
        <v>173</v>
      </c>
      <c r="F455" s="7" t="e">
        <f>F456</f>
        <v>#REF!</v>
      </c>
      <c r="G455" s="7" t="e">
        <f t="shared" si="149"/>
        <v>#REF!</v>
      </c>
      <c r="H455" s="7" t="e">
        <f t="shared" si="149"/>
        <v>#REF!</v>
      </c>
      <c r="I455" s="7" t="e">
        <f t="shared" si="149"/>
        <v>#REF!</v>
      </c>
      <c r="J455" s="7" t="e">
        <f t="shared" si="149"/>
        <v>#REF!</v>
      </c>
      <c r="K455" s="7">
        <f t="shared" si="149"/>
        <v>0</v>
      </c>
    </row>
    <row r="456" spans="1:11" ht="47.25" hidden="1">
      <c r="A456" s="31" t="s">
        <v>174</v>
      </c>
      <c r="B456" s="42" t="s">
        <v>275</v>
      </c>
      <c r="C456" s="42" t="s">
        <v>256</v>
      </c>
      <c r="D456" s="42" t="s">
        <v>605</v>
      </c>
      <c r="E456" s="42" t="s">
        <v>175</v>
      </c>
      <c r="F456" s="7" t="e">
        <f>#REF!</f>
        <v>#REF!</v>
      </c>
      <c r="G456" s="7" t="e">
        <f>#REF!</f>
        <v>#REF!</v>
      </c>
      <c r="H456" s="7" t="e">
        <f>#REF!</f>
        <v>#REF!</v>
      </c>
      <c r="I456" s="7" t="e">
        <f>#REF!</f>
        <v>#REF!</v>
      </c>
      <c r="J456" s="7" t="e">
        <f>#REF!</f>
        <v>#REF!</v>
      </c>
      <c r="K456" s="7">
        <f>'Прил.№5 ведомств.'!G1215</f>
        <v>0</v>
      </c>
    </row>
    <row r="457" spans="1:11" ht="53.25" customHeight="1" hidden="1">
      <c r="A457" s="26" t="s">
        <v>758</v>
      </c>
      <c r="B457" s="42" t="s">
        <v>275</v>
      </c>
      <c r="C457" s="42" t="s">
        <v>256</v>
      </c>
      <c r="D457" s="21" t="s">
        <v>759</v>
      </c>
      <c r="E457" s="42"/>
      <c r="F457" s="7" t="e">
        <f>F458</f>
        <v>#REF!</v>
      </c>
      <c r="G457" s="7" t="e">
        <f aca="true" t="shared" si="150" ref="G457:K458">G458</f>
        <v>#REF!</v>
      </c>
      <c r="H457" s="7" t="e">
        <f t="shared" si="150"/>
        <v>#REF!</v>
      </c>
      <c r="I457" s="7" t="e">
        <f t="shared" si="150"/>
        <v>#REF!</v>
      </c>
      <c r="J457" s="7" t="e">
        <f t="shared" si="150"/>
        <v>#REF!</v>
      </c>
      <c r="K457" s="7">
        <f t="shared" si="150"/>
        <v>0</v>
      </c>
    </row>
    <row r="458" spans="1:11" ht="31.5" hidden="1">
      <c r="A458" s="26" t="s">
        <v>172</v>
      </c>
      <c r="B458" s="42" t="s">
        <v>275</v>
      </c>
      <c r="C458" s="42" t="s">
        <v>256</v>
      </c>
      <c r="D458" s="21" t="s">
        <v>759</v>
      </c>
      <c r="E458" s="42" t="s">
        <v>173</v>
      </c>
      <c r="F458" s="7" t="e">
        <f>F459</f>
        <v>#REF!</v>
      </c>
      <c r="G458" s="7" t="e">
        <f t="shared" si="150"/>
        <v>#REF!</v>
      </c>
      <c r="H458" s="7" t="e">
        <f t="shared" si="150"/>
        <v>#REF!</v>
      </c>
      <c r="I458" s="7" t="e">
        <f t="shared" si="150"/>
        <v>#REF!</v>
      </c>
      <c r="J458" s="7" t="e">
        <f t="shared" si="150"/>
        <v>#REF!</v>
      </c>
      <c r="K458" s="7">
        <f t="shared" si="150"/>
        <v>0</v>
      </c>
    </row>
    <row r="459" spans="1:11" ht="47.25" hidden="1">
      <c r="A459" s="26" t="s">
        <v>174</v>
      </c>
      <c r="B459" s="42" t="s">
        <v>275</v>
      </c>
      <c r="C459" s="42" t="s">
        <v>256</v>
      </c>
      <c r="D459" s="21" t="s">
        <v>759</v>
      </c>
      <c r="E459" s="42" t="s">
        <v>175</v>
      </c>
      <c r="F459" s="7" t="e">
        <f>#REF!</f>
        <v>#REF!</v>
      </c>
      <c r="G459" s="7" t="e">
        <f>#REF!</f>
        <v>#REF!</v>
      </c>
      <c r="H459" s="7" t="e">
        <f>#REF!</f>
        <v>#REF!</v>
      </c>
      <c r="I459" s="7" t="e">
        <f>#REF!</f>
        <v>#REF!</v>
      </c>
      <c r="J459" s="7" t="e">
        <f>#REF!</f>
        <v>#REF!</v>
      </c>
      <c r="K459" s="7">
        <f>'Прил.№5 ведомств.'!G1218</f>
        <v>0</v>
      </c>
    </row>
    <row r="460" spans="1:11" ht="15.75">
      <c r="A460" s="31" t="s">
        <v>182</v>
      </c>
      <c r="B460" s="42" t="s">
        <v>275</v>
      </c>
      <c r="C460" s="42" t="s">
        <v>256</v>
      </c>
      <c r="D460" s="42" t="s">
        <v>183</v>
      </c>
      <c r="E460" s="8"/>
      <c r="F460" s="7" t="e">
        <f>F461+F464</f>
        <v>#REF!</v>
      </c>
      <c r="G460" s="7" t="e">
        <f>G461+G464</f>
        <v>#REF!</v>
      </c>
      <c r="H460" s="7" t="e">
        <f>H461+H464</f>
        <v>#REF!</v>
      </c>
      <c r="I460" s="7" t="e">
        <f>I461+I464</f>
        <v>#REF!</v>
      </c>
      <c r="J460" s="7" t="e">
        <f>J461+J464</f>
        <v>#REF!</v>
      </c>
      <c r="K460" s="7">
        <f>K461+K464+K467</f>
        <v>390</v>
      </c>
    </row>
    <row r="461" spans="1:11" ht="15.75">
      <c r="A461" s="47" t="s">
        <v>644</v>
      </c>
      <c r="B461" s="42" t="s">
        <v>275</v>
      </c>
      <c r="C461" s="42" t="s">
        <v>256</v>
      </c>
      <c r="D461" s="42" t="s">
        <v>607</v>
      </c>
      <c r="E461" s="42"/>
      <c r="F461" s="7" t="e">
        <f>F462</f>
        <v>#REF!</v>
      </c>
      <c r="G461" s="7" t="e">
        <f aca="true" t="shared" si="151" ref="G461:K462">G462</f>
        <v>#REF!</v>
      </c>
      <c r="H461" s="7" t="e">
        <f t="shared" si="151"/>
        <v>#REF!</v>
      </c>
      <c r="I461" s="7" t="e">
        <f t="shared" si="151"/>
        <v>#REF!</v>
      </c>
      <c r="J461" s="7" t="e">
        <f t="shared" si="151"/>
        <v>#REF!</v>
      </c>
      <c r="K461" s="7">
        <f t="shared" si="151"/>
        <v>390</v>
      </c>
    </row>
    <row r="462" spans="1:11" ht="31.5">
      <c r="A462" s="31" t="s">
        <v>172</v>
      </c>
      <c r="B462" s="42" t="s">
        <v>275</v>
      </c>
      <c r="C462" s="42" t="s">
        <v>256</v>
      </c>
      <c r="D462" s="42" t="s">
        <v>607</v>
      </c>
      <c r="E462" s="42" t="s">
        <v>173</v>
      </c>
      <c r="F462" s="7" t="e">
        <f>F463</f>
        <v>#REF!</v>
      </c>
      <c r="G462" s="7" t="e">
        <f t="shared" si="151"/>
        <v>#REF!</v>
      </c>
      <c r="H462" s="7" t="e">
        <f t="shared" si="151"/>
        <v>#REF!</v>
      </c>
      <c r="I462" s="7" t="e">
        <f t="shared" si="151"/>
        <v>#REF!</v>
      </c>
      <c r="J462" s="7" t="e">
        <f t="shared" si="151"/>
        <v>#REF!</v>
      </c>
      <c r="K462" s="7">
        <f t="shared" si="151"/>
        <v>390</v>
      </c>
    </row>
    <row r="463" spans="1:11" ht="47.25">
      <c r="A463" s="31" t="s">
        <v>174</v>
      </c>
      <c r="B463" s="42" t="s">
        <v>275</v>
      </c>
      <c r="C463" s="42" t="s">
        <v>256</v>
      </c>
      <c r="D463" s="42" t="s">
        <v>607</v>
      </c>
      <c r="E463" s="42" t="s">
        <v>175</v>
      </c>
      <c r="F463" s="7" t="e">
        <f>#REF!</f>
        <v>#REF!</v>
      </c>
      <c r="G463" s="7" t="e">
        <f>#REF!</f>
        <v>#REF!</v>
      </c>
      <c r="H463" s="7" t="e">
        <f>#REF!</f>
        <v>#REF!</v>
      </c>
      <c r="I463" s="7" t="e">
        <f>#REF!</f>
        <v>#REF!</v>
      </c>
      <c r="J463" s="7" t="e">
        <f>#REF!</f>
        <v>#REF!</v>
      </c>
      <c r="K463" s="7">
        <f>'Прил.№5 ведомств.'!G1222</f>
        <v>390</v>
      </c>
    </row>
    <row r="464" spans="1:11" ht="15.75" customHeight="1" hidden="1">
      <c r="A464" s="31" t="s">
        <v>608</v>
      </c>
      <c r="B464" s="42" t="s">
        <v>275</v>
      </c>
      <c r="C464" s="42" t="s">
        <v>256</v>
      </c>
      <c r="D464" s="42" t="s">
        <v>609</v>
      </c>
      <c r="E464" s="8"/>
      <c r="F464" s="7" t="e">
        <f>F465</f>
        <v>#REF!</v>
      </c>
      <c r="G464" s="7" t="e">
        <f aca="true" t="shared" si="152" ref="G464:K465">G465</f>
        <v>#REF!</v>
      </c>
      <c r="H464" s="7" t="e">
        <f t="shared" si="152"/>
        <v>#REF!</v>
      </c>
      <c r="I464" s="7" t="e">
        <f t="shared" si="152"/>
        <v>#REF!</v>
      </c>
      <c r="J464" s="7" t="e">
        <f t="shared" si="152"/>
        <v>#REF!</v>
      </c>
      <c r="K464" s="7">
        <f t="shared" si="152"/>
        <v>0</v>
      </c>
    </row>
    <row r="465" spans="1:11" ht="15.75" customHeight="1" hidden="1">
      <c r="A465" s="31" t="s">
        <v>176</v>
      </c>
      <c r="B465" s="42" t="s">
        <v>275</v>
      </c>
      <c r="C465" s="42" t="s">
        <v>256</v>
      </c>
      <c r="D465" s="42" t="s">
        <v>609</v>
      </c>
      <c r="E465" s="42" t="s">
        <v>186</v>
      </c>
      <c r="F465" s="7" t="e">
        <f>F466</f>
        <v>#REF!</v>
      </c>
      <c r="G465" s="7" t="e">
        <f t="shared" si="152"/>
        <v>#REF!</v>
      </c>
      <c r="H465" s="7" t="e">
        <f t="shared" si="152"/>
        <v>#REF!</v>
      </c>
      <c r="I465" s="7" t="e">
        <f t="shared" si="152"/>
        <v>#REF!</v>
      </c>
      <c r="J465" s="7" t="e">
        <f t="shared" si="152"/>
        <v>#REF!</v>
      </c>
      <c r="K465" s="7">
        <f t="shared" si="152"/>
        <v>0</v>
      </c>
    </row>
    <row r="466" spans="1:11" ht="15.75" customHeight="1" hidden="1">
      <c r="A466" s="31" t="s">
        <v>610</v>
      </c>
      <c r="B466" s="42" t="s">
        <v>275</v>
      </c>
      <c r="C466" s="42" t="s">
        <v>256</v>
      </c>
      <c r="D466" s="42" t="s">
        <v>609</v>
      </c>
      <c r="E466" s="42" t="s">
        <v>179</v>
      </c>
      <c r="F466" s="7" t="e">
        <f>#REF!</f>
        <v>#REF!</v>
      </c>
      <c r="G466" s="7" t="e">
        <f>#REF!</f>
        <v>#REF!</v>
      </c>
      <c r="H466" s="7" t="e">
        <f>#REF!</f>
        <v>#REF!</v>
      </c>
      <c r="I466" s="7" t="e">
        <f>#REF!</f>
        <v>#REF!</v>
      </c>
      <c r="J466" s="7" t="e">
        <f>#REF!</f>
        <v>#REF!</v>
      </c>
      <c r="K466" s="7">
        <f>'Прил.№5 ведомств.'!G1225</f>
        <v>0</v>
      </c>
    </row>
    <row r="467" spans="1:11" s="1" customFormat="1" ht="63" hidden="1">
      <c r="A467" s="26" t="s">
        <v>962</v>
      </c>
      <c r="B467" s="42" t="s">
        <v>275</v>
      </c>
      <c r="C467" s="42" t="s">
        <v>256</v>
      </c>
      <c r="D467" s="42" t="s">
        <v>963</v>
      </c>
      <c r="E467" s="42"/>
      <c r="F467" s="7"/>
      <c r="G467" s="7"/>
      <c r="H467" s="7"/>
      <c r="I467" s="7"/>
      <c r="J467" s="7"/>
      <c r="K467" s="7">
        <f>K468</f>
        <v>0</v>
      </c>
    </row>
    <row r="468" spans="1:11" ht="15.75" customHeight="1" hidden="1">
      <c r="A468" s="31" t="s">
        <v>172</v>
      </c>
      <c r="B468" s="42" t="s">
        <v>275</v>
      </c>
      <c r="C468" s="42" t="s">
        <v>256</v>
      </c>
      <c r="D468" s="42" t="s">
        <v>963</v>
      </c>
      <c r="E468" s="42" t="s">
        <v>173</v>
      </c>
      <c r="F468" s="7"/>
      <c r="G468" s="7"/>
      <c r="H468" s="7"/>
      <c r="I468" s="7"/>
      <c r="J468" s="7"/>
      <c r="K468" s="7">
        <f>K469</f>
        <v>0</v>
      </c>
    </row>
    <row r="469" spans="1:11" ht="15.75" customHeight="1" hidden="1">
      <c r="A469" s="31" t="s">
        <v>174</v>
      </c>
      <c r="B469" s="42" t="s">
        <v>275</v>
      </c>
      <c r="C469" s="42" t="s">
        <v>256</v>
      </c>
      <c r="D469" s="42" t="s">
        <v>963</v>
      </c>
      <c r="E469" s="42" t="s">
        <v>175</v>
      </c>
      <c r="F469" s="7"/>
      <c r="G469" s="7"/>
      <c r="H469" s="7"/>
      <c r="I469" s="7"/>
      <c r="J469" s="7"/>
      <c r="K469" s="7">
        <f>'Прил.№5 ведомств.'!G1228</f>
        <v>0</v>
      </c>
    </row>
    <row r="470" spans="1:11" ht="31.5">
      <c r="A470" s="43" t="s">
        <v>611</v>
      </c>
      <c r="B470" s="8" t="s">
        <v>275</v>
      </c>
      <c r="C470" s="8" t="s">
        <v>275</v>
      </c>
      <c r="D470" s="8"/>
      <c r="E470" s="8"/>
      <c r="F470" s="4" t="e">
        <f aca="true" t="shared" si="153" ref="F470:K470">F471</f>
        <v>#REF!</v>
      </c>
      <c r="G470" s="4" t="e">
        <f t="shared" si="153"/>
        <v>#REF!</v>
      </c>
      <c r="H470" s="4" t="e">
        <f t="shared" si="153"/>
        <v>#REF!</v>
      </c>
      <c r="I470" s="4" t="e">
        <f t="shared" si="153"/>
        <v>#REF!</v>
      </c>
      <c r="J470" s="4" t="e">
        <f t="shared" si="153"/>
        <v>#REF!</v>
      </c>
      <c r="K470" s="4">
        <f t="shared" si="153"/>
        <v>33787.3</v>
      </c>
    </row>
    <row r="471" spans="1:11" ht="15.75">
      <c r="A471" s="31" t="s">
        <v>162</v>
      </c>
      <c r="B471" s="42" t="s">
        <v>275</v>
      </c>
      <c r="C471" s="42" t="s">
        <v>275</v>
      </c>
      <c r="D471" s="42" t="s">
        <v>163</v>
      </c>
      <c r="E471" s="42"/>
      <c r="F471" s="7" t="e">
        <f aca="true" t="shared" si="154" ref="F471:K471">F480+F472</f>
        <v>#REF!</v>
      </c>
      <c r="G471" s="7" t="e">
        <f t="shared" si="154"/>
        <v>#REF!</v>
      </c>
      <c r="H471" s="7" t="e">
        <f t="shared" si="154"/>
        <v>#REF!</v>
      </c>
      <c r="I471" s="7" t="e">
        <f t="shared" si="154"/>
        <v>#REF!</v>
      </c>
      <c r="J471" s="7" t="e">
        <f t="shared" si="154"/>
        <v>#REF!</v>
      </c>
      <c r="K471" s="7">
        <f t="shared" si="154"/>
        <v>33787.3</v>
      </c>
    </row>
    <row r="472" spans="1:11" ht="31.5">
      <c r="A472" s="31" t="s">
        <v>164</v>
      </c>
      <c r="B472" s="42" t="s">
        <v>275</v>
      </c>
      <c r="C472" s="42" t="s">
        <v>275</v>
      </c>
      <c r="D472" s="42" t="s">
        <v>165</v>
      </c>
      <c r="E472" s="42"/>
      <c r="F472" s="7" t="e">
        <f aca="true" t="shared" si="155" ref="F472:K472">F473</f>
        <v>#REF!</v>
      </c>
      <c r="G472" s="7" t="e">
        <f t="shared" si="155"/>
        <v>#REF!</v>
      </c>
      <c r="H472" s="7" t="e">
        <f t="shared" si="155"/>
        <v>#REF!</v>
      </c>
      <c r="I472" s="7" t="e">
        <f t="shared" si="155"/>
        <v>#REF!</v>
      </c>
      <c r="J472" s="7" t="e">
        <f t="shared" si="155"/>
        <v>#REF!</v>
      </c>
      <c r="K472" s="7">
        <f t="shared" si="155"/>
        <v>12857.2</v>
      </c>
    </row>
    <row r="473" spans="1:11" ht="31.5">
      <c r="A473" s="31" t="s">
        <v>645</v>
      </c>
      <c r="B473" s="42" t="s">
        <v>275</v>
      </c>
      <c r="C473" s="42" t="s">
        <v>275</v>
      </c>
      <c r="D473" s="42" t="s">
        <v>167</v>
      </c>
      <c r="E473" s="42"/>
      <c r="F473" s="7" t="e">
        <f aca="true" t="shared" si="156" ref="F473:K473">F474+F476+F478</f>
        <v>#REF!</v>
      </c>
      <c r="G473" s="7" t="e">
        <f t="shared" si="156"/>
        <v>#REF!</v>
      </c>
      <c r="H473" s="7" t="e">
        <f t="shared" si="156"/>
        <v>#REF!</v>
      </c>
      <c r="I473" s="7" t="e">
        <f t="shared" si="156"/>
        <v>#REF!</v>
      </c>
      <c r="J473" s="7" t="e">
        <f t="shared" si="156"/>
        <v>#REF!</v>
      </c>
      <c r="K473" s="7">
        <f t="shared" si="156"/>
        <v>12857.2</v>
      </c>
    </row>
    <row r="474" spans="1:11" ht="81.75" customHeight="1">
      <c r="A474" s="31" t="s">
        <v>168</v>
      </c>
      <c r="B474" s="42" t="s">
        <v>275</v>
      </c>
      <c r="C474" s="42" t="s">
        <v>275</v>
      </c>
      <c r="D474" s="42" t="s">
        <v>167</v>
      </c>
      <c r="E474" s="42" t="s">
        <v>169</v>
      </c>
      <c r="F474" s="62" t="e">
        <f aca="true" t="shared" si="157" ref="F474:K474">F475</f>
        <v>#REF!</v>
      </c>
      <c r="G474" s="62" t="e">
        <f t="shared" si="157"/>
        <v>#REF!</v>
      </c>
      <c r="H474" s="62" t="e">
        <f t="shared" si="157"/>
        <v>#REF!</v>
      </c>
      <c r="I474" s="62" t="e">
        <f t="shared" si="157"/>
        <v>#REF!</v>
      </c>
      <c r="J474" s="62" t="e">
        <f t="shared" si="157"/>
        <v>#REF!</v>
      </c>
      <c r="K474" s="62">
        <f t="shared" si="157"/>
        <v>12785.7</v>
      </c>
    </row>
    <row r="475" spans="1:11" ht="31.5">
      <c r="A475" s="31" t="s">
        <v>170</v>
      </c>
      <c r="B475" s="42" t="s">
        <v>275</v>
      </c>
      <c r="C475" s="42" t="s">
        <v>275</v>
      </c>
      <c r="D475" s="42" t="s">
        <v>167</v>
      </c>
      <c r="E475" s="42" t="s">
        <v>171</v>
      </c>
      <c r="F475" s="62" t="e">
        <f>#REF!</f>
        <v>#REF!</v>
      </c>
      <c r="G475" s="62" t="e">
        <f>#REF!</f>
        <v>#REF!</v>
      </c>
      <c r="H475" s="62" t="e">
        <f>#REF!</f>
        <v>#REF!</v>
      </c>
      <c r="I475" s="62" t="e">
        <f>#REF!</f>
        <v>#REF!</v>
      </c>
      <c r="J475" s="62" t="e">
        <f>#REF!</f>
        <v>#REF!</v>
      </c>
      <c r="K475" s="62">
        <f>'Прил.№5 ведомств.'!G1234</f>
        <v>12785.7</v>
      </c>
    </row>
    <row r="476" spans="1:11" ht="31.5">
      <c r="A476" s="31" t="s">
        <v>172</v>
      </c>
      <c r="B476" s="42" t="s">
        <v>275</v>
      </c>
      <c r="C476" s="42" t="s">
        <v>275</v>
      </c>
      <c r="D476" s="42" t="s">
        <v>167</v>
      </c>
      <c r="E476" s="42" t="s">
        <v>173</v>
      </c>
      <c r="F476" s="62" t="e">
        <f aca="true" t="shared" si="158" ref="F476:K476">F477</f>
        <v>#REF!</v>
      </c>
      <c r="G476" s="62" t="e">
        <f t="shared" si="158"/>
        <v>#REF!</v>
      </c>
      <c r="H476" s="62" t="e">
        <f t="shared" si="158"/>
        <v>#REF!</v>
      </c>
      <c r="I476" s="62" t="e">
        <f t="shared" si="158"/>
        <v>#REF!</v>
      </c>
      <c r="J476" s="62" t="e">
        <f t="shared" si="158"/>
        <v>#REF!</v>
      </c>
      <c r="K476" s="62">
        <f t="shared" si="158"/>
        <v>25</v>
      </c>
    </row>
    <row r="477" spans="1:11" ht="47.25">
      <c r="A477" s="31" t="s">
        <v>174</v>
      </c>
      <c r="B477" s="42" t="s">
        <v>275</v>
      </c>
      <c r="C477" s="42" t="s">
        <v>275</v>
      </c>
      <c r="D477" s="42" t="s">
        <v>167</v>
      </c>
      <c r="E477" s="42" t="s">
        <v>175</v>
      </c>
      <c r="F477" s="62" t="e">
        <f>#REF!</f>
        <v>#REF!</v>
      </c>
      <c r="G477" s="62" t="e">
        <f>#REF!</f>
        <v>#REF!</v>
      </c>
      <c r="H477" s="62" t="e">
        <f>#REF!</f>
        <v>#REF!</v>
      </c>
      <c r="I477" s="62" t="e">
        <f>#REF!</f>
        <v>#REF!</v>
      </c>
      <c r="J477" s="62" t="e">
        <f>#REF!</f>
        <v>#REF!</v>
      </c>
      <c r="K477" s="62">
        <f>'Прил.№5 ведомств.'!G1236</f>
        <v>25</v>
      </c>
    </row>
    <row r="478" spans="1:11" ht="15.75">
      <c r="A478" s="31" t="s">
        <v>176</v>
      </c>
      <c r="B478" s="42" t="s">
        <v>275</v>
      </c>
      <c r="C478" s="42" t="s">
        <v>275</v>
      </c>
      <c r="D478" s="42" t="s">
        <v>167</v>
      </c>
      <c r="E478" s="42" t="s">
        <v>186</v>
      </c>
      <c r="F478" s="62" t="e">
        <f aca="true" t="shared" si="159" ref="F478:K478">F479</f>
        <v>#REF!</v>
      </c>
      <c r="G478" s="62" t="e">
        <f t="shared" si="159"/>
        <v>#REF!</v>
      </c>
      <c r="H478" s="62" t="e">
        <f t="shared" si="159"/>
        <v>#REF!</v>
      </c>
      <c r="I478" s="62" t="e">
        <f t="shared" si="159"/>
        <v>#REF!</v>
      </c>
      <c r="J478" s="62" t="e">
        <f t="shared" si="159"/>
        <v>#REF!</v>
      </c>
      <c r="K478" s="62">
        <f t="shared" si="159"/>
        <v>46.5</v>
      </c>
    </row>
    <row r="479" spans="1:11" ht="15.75">
      <c r="A479" s="31" t="s">
        <v>610</v>
      </c>
      <c r="B479" s="42" t="s">
        <v>275</v>
      </c>
      <c r="C479" s="42" t="s">
        <v>275</v>
      </c>
      <c r="D479" s="42" t="s">
        <v>167</v>
      </c>
      <c r="E479" s="42" t="s">
        <v>179</v>
      </c>
      <c r="F479" s="62" t="e">
        <f>#REF!</f>
        <v>#REF!</v>
      </c>
      <c r="G479" s="62" t="e">
        <f>#REF!</f>
        <v>#REF!</v>
      </c>
      <c r="H479" s="62" t="e">
        <f>#REF!</f>
        <v>#REF!</v>
      </c>
      <c r="I479" s="62" t="e">
        <f>#REF!</f>
        <v>#REF!</v>
      </c>
      <c r="J479" s="62" t="e">
        <f>#REF!</f>
        <v>#REF!</v>
      </c>
      <c r="K479" s="62">
        <f>'Прил.№5 ведомств.'!G1238</f>
        <v>46.5</v>
      </c>
    </row>
    <row r="480" spans="1:11" ht="15.75">
      <c r="A480" s="31" t="s">
        <v>182</v>
      </c>
      <c r="B480" s="42" t="s">
        <v>275</v>
      </c>
      <c r="C480" s="42" t="s">
        <v>275</v>
      </c>
      <c r="D480" s="42" t="s">
        <v>183</v>
      </c>
      <c r="E480" s="42"/>
      <c r="F480" s="7" t="e">
        <f>F481+F484</f>
        <v>#REF!</v>
      </c>
      <c r="G480" s="7" t="e">
        <f>G481+G484</f>
        <v>#REF!</v>
      </c>
      <c r="H480" s="7" t="e">
        <f>H481+H484</f>
        <v>#REF!</v>
      </c>
      <c r="I480" s="7" t="e">
        <f>I481+I484</f>
        <v>#REF!</v>
      </c>
      <c r="J480" s="7" t="e">
        <f>J481+J484</f>
        <v>#REF!</v>
      </c>
      <c r="K480" s="7">
        <f>K481+K484+K489</f>
        <v>20930.100000000002</v>
      </c>
    </row>
    <row r="481" spans="1:11" ht="31.5">
      <c r="A481" s="31" t="s">
        <v>612</v>
      </c>
      <c r="B481" s="42" t="s">
        <v>275</v>
      </c>
      <c r="C481" s="42" t="s">
        <v>275</v>
      </c>
      <c r="D481" s="42" t="s">
        <v>613</v>
      </c>
      <c r="E481" s="42"/>
      <c r="F481" s="62" t="e">
        <f>F482</f>
        <v>#REF!</v>
      </c>
      <c r="G481" s="62" t="e">
        <f aca="true" t="shared" si="160" ref="G481:K482">G482</f>
        <v>#REF!</v>
      </c>
      <c r="H481" s="62" t="e">
        <f t="shared" si="160"/>
        <v>#REF!</v>
      </c>
      <c r="I481" s="62" t="e">
        <f t="shared" si="160"/>
        <v>#REF!</v>
      </c>
      <c r="J481" s="62" t="e">
        <f t="shared" si="160"/>
        <v>#REF!</v>
      </c>
      <c r="K481" s="62">
        <f t="shared" si="160"/>
        <v>5882.2</v>
      </c>
    </row>
    <row r="482" spans="1:11" ht="15.75">
      <c r="A482" s="31" t="s">
        <v>176</v>
      </c>
      <c r="B482" s="42" t="s">
        <v>275</v>
      </c>
      <c r="C482" s="42" t="s">
        <v>275</v>
      </c>
      <c r="D482" s="42" t="s">
        <v>613</v>
      </c>
      <c r="E482" s="42" t="s">
        <v>186</v>
      </c>
      <c r="F482" s="62" t="e">
        <f>F483</f>
        <v>#REF!</v>
      </c>
      <c r="G482" s="62" t="e">
        <f t="shared" si="160"/>
        <v>#REF!</v>
      </c>
      <c r="H482" s="62" t="e">
        <f t="shared" si="160"/>
        <v>#REF!</v>
      </c>
      <c r="I482" s="62" t="e">
        <f t="shared" si="160"/>
        <v>#REF!</v>
      </c>
      <c r="J482" s="62" t="e">
        <f t="shared" si="160"/>
        <v>#REF!</v>
      </c>
      <c r="K482" s="62">
        <f t="shared" si="160"/>
        <v>5882.2</v>
      </c>
    </row>
    <row r="483" spans="1:11" ht="15.75">
      <c r="A483" s="31" t="s">
        <v>610</v>
      </c>
      <c r="B483" s="42" t="s">
        <v>275</v>
      </c>
      <c r="C483" s="42" t="s">
        <v>275</v>
      </c>
      <c r="D483" s="42" t="s">
        <v>613</v>
      </c>
      <c r="E483" s="42" t="s">
        <v>179</v>
      </c>
      <c r="F483" s="62" t="e">
        <f>#REF!</f>
        <v>#REF!</v>
      </c>
      <c r="G483" s="62" t="e">
        <f>#REF!</f>
        <v>#REF!</v>
      </c>
      <c r="H483" s="62" t="e">
        <f>#REF!</f>
        <v>#REF!</v>
      </c>
      <c r="I483" s="62" t="e">
        <f>#REF!</f>
        <v>#REF!</v>
      </c>
      <c r="J483" s="62" t="e">
        <f>#REF!</f>
        <v>#REF!</v>
      </c>
      <c r="K483" s="62">
        <f>'Прил.№5 ведомств.'!G1242</f>
        <v>5882.2</v>
      </c>
    </row>
    <row r="484" spans="1:11" ht="31.5">
      <c r="A484" s="26" t="s">
        <v>381</v>
      </c>
      <c r="B484" s="42" t="s">
        <v>275</v>
      </c>
      <c r="C484" s="42" t="s">
        <v>275</v>
      </c>
      <c r="D484" s="42" t="s">
        <v>382</v>
      </c>
      <c r="E484" s="42"/>
      <c r="F484" s="7" t="e">
        <f aca="true" t="shared" si="161" ref="F484:K484">F485+F487</f>
        <v>#REF!</v>
      </c>
      <c r="G484" s="7" t="e">
        <f t="shared" si="161"/>
        <v>#REF!</v>
      </c>
      <c r="H484" s="7" t="e">
        <f t="shared" si="161"/>
        <v>#REF!</v>
      </c>
      <c r="I484" s="7" t="e">
        <f t="shared" si="161"/>
        <v>#REF!</v>
      </c>
      <c r="J484" s="7" t="e">
        <f t="shared" si="161"/>
        <v>#REF!</v>
      </c>
      <c r="K484" s="7">
        <f t="shared" si="161"/>
        <v>9047.900000000001</v>
      </c>
    </row>
    <row r="485" spans="1:11" ht="78.75">
      <c r="A485" s="31" t="s">
        <v>168</v>
      </c>
      <c r="B485" s="42" t="s">
        <v>275</v>
      </c>
      <c r="C485" s="42" t="s">
        <v>275</v>
      </c>
      <c r="D485" s="42" t="s">
        <v>382</v>
      </c>
      <c r="E485" s="42" t="s">
        <v>169</v>
      </c>
      <c r="F485" s="62" t="e">
        <f aca="true" t="shared" si="162" ref="F485:K485">F486</f>
        <v>#REF!</v>
      </c>
      <c r="G485" s="62" t="e">
        <f t="shared" si="162"/>
        <v>#REF!</v>
      </c>
      <c r="H485" s="62" t="e">
        <f t="shared" si="162"/>
        <v>#REF!</v>
      </c>
      <c r="I485" s="62" t="e">
        <f t="shared" si="162"/>
        <v>#REF!</v>
      </c>
      <c r="J485" s="62" t="e">
        <f t="shared" si="162"/>
        <v>#REF!</v>
      </c>
      <c r="K485" s="62">
        <f t="shared" si="162"/>
        <v>7255.700000000001</v>
      </c>
    </row>
    <row r="486" spans="1:11" ht="31.5">
      <c r="A486" s="47" t="s">
        <v>383</v>
      </c>
      <c r="B486" s="42" t="s">
        <v>275</v>
      </c>
      <c r="C486" s="42" t="s">
        <v>275</v>
      </c>
      <c r="D486" s="42" t="s">
        <v>382</v>
      </c>
      <c r="E486" s="42" t="s">
        <v>250</v>
      </c>
      <c r="F486" s="62" t="e">
        <f>#REF!</f>
        <v>#REF!</v>
      </c>
      <c r="G486" s="62" t="e">
        <f>#REF!</f>
        <v>#REF!</v>
      </c>
      <c r="H486" s="62" t="e">
        <f>#REF!</f>
        <v>#REF!</v>
      </c>
      <c r="I486" s="62" t="e">
        <f>#REF!</f>
        <v>#REF!</v>
      </c>
      <c r="J486" s="62" t="e">
        <f>#REF!</f>
        <v>#REF!</v>
      </c>
      <c r="K486" s="62">
        <f>'Прил.№5 ведомств.'!G1245</f>
        <v>7255.700000000001</v>
      </c>
    </row>
    <row r="487" spans="1:11" ht="31.5">
      <c r="A487" s="31" t="s">
        <v>172</v>
      </c>
      <c r="B487" s="42" t="s">
        <v>275</v>
      </c>
      <c r="C487" s="42" t="s">
        <v>275</v>
      </c>
      <c r="D487" s="42" t="s">
        <v>382</v>
      </c>
      <c r="E487" s="42" t="s">
        <v>173</v>
      </c>
      <c r="F487" s="62" t="e">
        <f aca="true" t="shared" si="163" ref="F487:K487">F488</f>
        <v>#REF!</v>
      </c>
      <c r="G487" s="62" t="e">
        <f t="shared" si="163"/>
        <v>#REF!</v>
      </c>
      <c r="H487" s="62" t="e">
        <f t="shared" si="163"/>
        <v>#REF!</v>
      </c>
      <c r="I487" s="62" t="e">
        <f t="shared" si="163"/>
        <v>#REF!</v>
      </c>
      <c r="J487" s="62" t="e">
        <f t="shared" si="163"/>
        <v>#REF!</v>
      </c>
      <c r="K487" s="62">
        <f t="shared" si="163"/>
        <v>1792.2</v>
      </c>
    </row>
    <row r="488" spans="1:11" ht="47.25">
      <c r="A488" s="31" t="s">
        <v>174</v>
      </c>
      <c r="B488" s="42" t="s">
        <v>275</v>
      </c>
      <c r="C488" s="42" t="s">
        <v>275</v>
      </c>
      <c r="D488" s="42" t="s">
        <v>382</v>
      </c>
      <c r="E488" s="42" t="s">
        <v>175</v>
      </c>
      <c r="F488" s="62" t="e">
        <f>#REF!</f>
        <v>#REF!</v>
      </c>
      <c r="G488" s="62" t="e">
        <f>#REF!</f>
        <v>#REF!</v>
      </c>
      <c r="H488" s="62" t="e">
        <f>#REF!</f>
        <v>#REF!</v>
      </c>
      <c r="I488" s="62" t="e">
        <f>#REF!</f>
        <v>#REF!</v>
      </c>
      <c r="J488" s="62" t="e">
        <f>#REF!</f>
        <v>#REF!</v>
      </c>
      <c r="K488" s="62">
        <f>'Прил.№5 ведомств.'!G1247</f>
        <v>1792.2</v>
      </c>
    </row>
    <row r="489" spans="1:11" ht="31.5">
      <c r="A489" s="26" t="s">
        <v>1061</v>
      </c>
      <c r="B489" s="42" t="s">
        <v>275</v>
      </c>
      <c r="C489" s="42" t="s">
        <v>275</v>
      </c>
      <c r="D489" s="21" t="s">
        <v>1062</v>
      </c>
      <c r="E489" s="42"/>
      <c r="F489" s="62"/>
      <c r="G489" s="62"/>
      <c r="H489" s="62"/>
      <c r="I489" s="62"/>
      <c r="J489" s="62"/>
      <c r="K489" s="62">
        <f>K490</f>
        <v>6000</v>
      </c>
    </row>
    <row r="490" spans="1:11" ht="15.75">
      <c r="A490" s="26" t="s">
        <v>176</v>
      </c>
      <c r="B490" s="42" t="s">
        <v>275</v>
      </c>
      <c r="C490" s="42" t="s">
        <v>275</v>
      </c>
      <c r="D490" s="21" t="s">
        <v>1062</v>
      </c>
      <c r="E490" s="42" t="s">
        <v>186</v>
      </c>
      <c r="F490" s="62"/>
      <c r="G490" s="62"/>
      <c r="H490" s="62"/>
      <c r="I490" s="62"/>
      <c r="J490" s="62"/>
      <c r="K490" s="62">
        <f>K491</f>
        <v>6000</v>
      </c>
    </row>
    <row r="491" spans="1:11" ht="47.25">
      <c r="A491" s="26" t="s">
        <v>225</v>
      </c>
      <c r="B491" s="42" t="s">
        <v>275</v>
      </c>
      <c r="C491" s="42" t="s">
        <v>275</v>
      </c>
      <c r="D491" s="21" t="s">
        <v>1062</v>
      </c>
      <c r="E491" s="42" t="s">
        <v>201</v>
      </c>
      <c r="F491" s="62"/>
      <c r="G491" s="62"/>
      <c r="H491" s="62"/>
      <c r="I491" s="62"/>
      <c r="J491" s="62"/>
      <c r="K491" s="62">
        <f>'Прил.№5 ведомств.'!G1250</f>
        <v>6000</v>
      </c>
    </row>
    <row r="492" spans="1:13" ht="15.75">
      <c r="A492" s="43" t="s">
        <v>304</v>
      </c>
      <c r="B492" s="8" t="s">
        <v>305</v>
      </c>
      <c r="C492" s="42"/>
      <c r="D492" s="42"/>
      <c r="E492" s="42"/>
      <c r="F492" s="4" t="e">
        <f aca="true" t="shared" si="164" ref="F492:K492">F493+F552+F737+F760+F640</f>
        <v>#REF!</v>
      </c>
      <c r="G492" s="4" t="e">
        <f t="shared" si="164"/>
        <v>#REF!</v>
      </c>
      <c r="H492" s="4" t="e">
        <f t="shared" si="164"/>
        <v>#REF!</v>
      </c>
      <c r="I492" s="4" t="e">
        <f t="shared" si="164"/>
        <v>#REF!</v>
      </c>
      <c r="J492" s="4" t="e">
        <f t="shared" si="164"/>
        <v>#REF!</v>
      </c>
      <c r="K492" s="4">
        <f t="shared" si="164"/>
        <v>318698.1</v>
      </c>
      <c r="M492" s="23"/>
    </row>
    <row r="493" spans="1:13" ht="15.75">
      <c r="A493" s="43" t="s">
        <v>446</v>
      </c>
      <c r="B493" s="8" t="s">
        <v>305</v>
      </c>
      <c r="C493" s="8" t="s">
        <v>159</v>
      </c>
      <c r="D493" s="8"/>
      <c r="E493" s="8"/>
      <c r="F493" s="4" t="e">
        <f>F494+F532</f>
        <v>#REF!</v>
      </c>
      <c r="G493" s="4" t="e">
        <f>G494+G532</f>
        <v>#REF!</v>
      </c>
      <c r="H493" s="4" t="e">
        <f>H494+H532</f>
        <v>#REF!</v>
      </c>
      <c r="I493" s="4" t="e">
        <f>I494+I532</f>
        <v>#REF!</v>
      </c>
      <c r="J493" s="4" t="e">
        <f>J494+J532</f>
        <v>#REF!</v>
      </c>
      <c r="K493" s="4">
        <f>K494+K532+K528+K524</f>
        <v>98197.7</v>
      </c>
      <c r="M493" s="23"/>
    </row>
    <row r="494" spans="1:11" ht="47.25">
      <c r="A494" s="31" t="s">
        <v>468</v>
      </c>
      <c r="B494" s="42" t="s">
        <v>305</v>
      </c>
      <c r="C494" s="42" t="s">
        <v>159</v>
      </c>
      <c r="D494" s="42" t="s">
        <v>448</v>
      </c>
      <c r="E494" s="42"/>
      <c r="F494" s="7" t="e">
        <f aca="true" t="shared" si="165" ref="F494:K494">F495+F499</f>
        <v>#REF!</v>
      </c>
      <c r="G494" s="7" t="e">
        <f t="shared" si="165"/>
        <v>#REF!</v>
      </c>
      <c r="H494" s="7" t="e">
        <f t="shared" si="165"/>
        <v>#REF!</v>
      </c>
      <c r="I494" s="7" t="e">
        <f t="shared" si="165"/>
        <v>#REF!</v>
      </c>
      <c r="J494" s="7" t="e">
        <f t="shared" si="165"/>
        <v>#REF!</v>
      </c>
      <c r="K494" s="7">
        <f t="shared" si="165"/>
        <v>23831.100000000002</v>
      </c>
    </row>
    <row r="495" spans="1:11" ht="31.5">
      <c r="A495" s="31" t="s">
        <v>449</v>
      </c>
      <c r="B495" s="42" t="s">
        <v>305</v>
      </c>
      <c r="C495" s="42" t="s">
        <v>159</v>
      </c>
      <c r="D495" s="42" t="s">
        <v>450</v>
      </c>
      <c r="E495" s="42"/>
      <c r="F495" s="7" t="e">
        <f aca="true" t="shared" si="166" ref="F495:K495">F496</f>
        <v>#REF!</v>
      </c>
      <c r="G495" s="7" t="e">
        <f t="shared" si="166"/>
        <v>#REF!</v>
      </c>
      <c r="H495" s="7" t="e">
        <f t="shared" si="166"/>
        <v>#REF!</v>
      </c>
      <c r="I495" s="7" t="e">
        <f t="shared" si="166"/>
        <v>#REF!</v>
      </c>
      <c r="J495" s="7" t="e">
        <f t="shared" si="166"/>
        <v>#REF!</v>
      </c>
      <c r="K495" s="7">
        <f t="shared" si="166"/>
        <v>13527.000000000002</v>
      </c>
    </row>
    <row r="496" spans="1:11" ht="47.25">
      <c r="A496" s="31" t="s">
        <v>451</v>
      </c>
      <c r="B496" s="42" t="s">
        <v>305</v>
      </c>
      <c r="C496" s="42" t="s">
        <v>159</v>
      </c>
      <c r="D496" s="42" t="s">
        <v>452</v>
      </c>
      <c r="E496" s="42"/>
      <c r="F496" s="7" t="e">
        <f aca="true" t="shared" si="167" ref="F496:K496">SUM(F497:F497)</f>
        <v>#REF!</v>
      </c>
      <c r="G496" s="7" t="e">
        <f t="shared" si="167"/>
        <v>#REF!</v>
      </c>
      <c r="H496" s="7" t="e">
        <f t="shared" si="167"/>
        <v>#REF!</v>
      </c>
      <c r="I496" s="7" t="e">
        <f t="shared" si="167"/>
        <v>#REF!</v>
      </c>
      <c r="J496" s="7" t="e">
        <f t="shared" si="167"/>
        <v>#REF!</v>
      </c>
      <c r="K496" s="7">
        <f t="shared" si="167"/>
        <v>13527.000000000002</v>
      </c>
    </row>
    <row r="497" spans="1:11" ht="47.25">
      <c r="A497" s="31" t="s">
        <v>313</v>
      </c>
      <c r="B497" s="42" t="s">
        <v>305</v>
      </c>
      <c r="C497" s="42" t="s">
        <v>159</v>
      </c>
      <c r="D497" s="42" t="s">
        <v>452</v>
      </c>
      <c r="E497" s="42" t="s">
        <v>314</v>
      </c>
      <c r="F497" s="7" t="e">
        <f aca="true" t="shared" si="168" ref="F497:K497">F498</f>
        <v>#REF!</v>
      </c>
      <c r="G497" s="7" t="e">
        <f t="shared" si="168"/>
        <v>#REF!</v>
      </c>
      <c r="H497" s="7" t="e">
        <f t="shared" si="168"/>
        <v>#REF!</v>
      </c>
      <c r="I497" s="7" t="e">
        <f t="shared" si="168"/>
        <v>#REF!</v>
      </c>
      <c r="J497" s="7" t="e">
        <f t="shared" si="168"/>
        <v>#REF!</v>
      </c>
      <c r="K497" s="7">
        <f t="shared" si="168"/>
        <v>13527.000000000002</v>
      </c>
    </row>
    <row r="498" spans="1:13" ht="15.75">
      <c r="A498" s="31" t="s">
        <v>315</v>
      </c>
      <c r="B498" s="42" t="s">
        <v>305</v>
      </c>
      <c r="C498" s="42" t="s">
        <v>159</v>
      </c>
      <c r="D498" s="42" t="s">
        <v>452</v>
      </c>
      <c r="E498" s="42" t="s">
        <v>316</v>
      </c>
      <c r="F498" s="62" t="e">
        <f>#REF!</f>
        <v>#REF!</v>
      </c>
      <c r="G498" s="62" t="e">
        <f>#REF!</f>
        <v>#REF!</v>
      </c>
      <c r="H498" s="62" t="e">
        <f>#REF!</f>
        <v>#REF!</v>
      </c>
      <c r="I498" s="62" t="e">
        <f>#REF!</f>
        <v>#REF!</v>
      </c>
      <c r="J498" s="62" t="e">
        <f>#REF!</f>
        <v>#REF!</v>
      </c>
      <c r="K498" s="62">
        <f>'Прил.№5 ведомств.'!G698</f>
        <v>13527.000000000002</v>
      </c>
      <c r="M498" s="23"/>
    </row>
    <row r="499" spans="1:11" ht="31.5">
      <c r="A499" s="31" t="s">
        <v>453</v>
      </c>
      <c r="B499" s="42" t="s">
        <v>305</v>
      </c>
      <c r="C499" s="42" t="s">
        <v>159</v>
      </c>
      <c r="D499" s="42" t="s">
        <v>454</v>
      </c>
      <c r="E499" s="42"/>
      <c r="F499" s="7" t="e">
        <f>F500+F503+F506+F512+F509+F515+F518</f>
        <v>#REF!</v>
      </c>
      <c r="G499" s="7" t="e">
        <f>G500+G503+G506+G512+G509+G515+G518</f>
        <v>#REF!</v>
      </c>
      <c r="H499" s="7" t="e">
        <f>H500+H503+H506+H512+H509+H515+H518</f>
        <v>#REF!</v>
      </c>
      <c r="I499" s="7" t="e">
        <f>I500+I503+I506+I512+I509+I515+I518</f>
        <v>#REF!</v>
      </c>
      <c r="J499" s="7" t="e">
        <f>J500+J503+J506+J512+J509+J515+J518</f>
        <v>#REF!</v>
      </c>
      <c r="K499" s="7">
        <f>K500+K503+K506+K512+K509+K515+K518+K521</f>
        <v>10304.1</v>
      </c>
    </row>
    <row r="500" spans="1:11" ht="47.25" customHeight="1" hidden="1">
      <c r="A500" s="31" t="s">
        <v>646</v>
      </c>
      <c r="B500" s="42" t="s">
        <v>305</v>
      </c>
      <c r="C500" s="42" t="s">
        <v>159</v>
      </c>
      <c r="D500" s="42" t="s">
        <v>647</v>
      </c>
      <c r="E500" s="42"/>
      <c r="F500" s="7">
        <f>F501</f>
        <v>0</v>
      </c>
      <c r="G500" s="7">
        <f aca="true" t="shared" si="169" ref="G500:K501">G501</f>
        <v>0</v>
      </c>
      <c r="H500" s="7">
        <f t="shared" si="169"/>
        <v>0</v>
      </c>
      <c r="I500" s="7">
        <f t="shared" si="169"/>
        <v>0</v>
      </c>
      <c r="J500" s="7">
        <f t="shared" si="169"/>
        <v>0</v>
      </c>
      <c r="K500" s="7">
        <f t="shared" si="169"/>
        <v>0</v>
      </c>
    </row>
    <row r="501" spans="1:11" ht="47.25" customHeight="1" hidden="1">
      <c r="A501" s="31" t="s">
        <v>313</v>
      </c>
      <c r="B501" s="42" t="s">
        <v>305</v>
      </c>
      <c r="C501" s="42" t="s">
        <v>159</v>
      </c>
      <c r="D501" s="42" t="s">
        <v>647</v>
      </c>
      <c r="E501" s="42" t="s">
        <v>314</v>
      </c>
      <c r="F501" s="7">
        <f>F502</f>
        <v>0</v>
      </c>
      <c r="G501" s="7">
        <f t="shared" si="169"/>
        <v>0</v>
      </c>
      <c r="H501" s="7">
        <f t="shared" si="169"/>
        <v>0</v>
      </c>
      <c r="I501" s="7">
        <f t="shared" si="169"/>
        <v>0</v>
      </c>
      <c r="J501" s="7">
        <f t="shared" si="169"/>
        <v>0</v>
      </c>
      <c r="K501" s="7">
        <f t="shared" si="169"/>
        <v>0</v>
      </c>
    </row>
    <row r="502" spans="1:11" ht="15.75" customHeight="1" hidden="1">
      <c r="A502" s="31" t="s">
        <v>315</v>
      </c>
      <c r="B502" s="42" t="s">
        <v>305</v>
      </c>
      <c r="C502" s="42" t="s">
        <v>159</v>
      </c>
      <c r="D502" s="42" t="s">
        <v>647</v>
      </c>
      <c r="E502" s="42" t="s">
        <v>316</v>
      </c>
      <c r="F502" s="7"/>
      <c r="G502" s="7"/>
      <c r="H502" s="7"/>
      <c r="I502" s="7"/>
      <c r="J502" s="7"/>
      <c r="K502" s="7"/>
    </row>
    <row r="503" spans="1:11" ht="31.5" customHeight="1">
      <c r="A503" s="31" t="s">
        <v>319</v>
      </c>
      <c r="B503" s="42" t="s">
        <v>305</v>
      </c>
      <c r="C503" s="42" t="s">
        <v>159</v>
      </c>
      <c r="D503" s="42" t="s">
        <v>455</v>
      </c>
      <c r="E503" s="42"/>
      <c r="F503" s="7" t="e">
        <f>F504</f>
        <v>#REF!</v>
      </c>
      <c r="G503" s="7" t="e">
        <f aca="true" t="shared" si="170" ref="G503:K504">G504</f>
        <v>#REF!</v>
      </c>
      <c r="H503" s="7" t="e">
        <f t="shared" si="170"/>
        <v>#REF!</v>
      </c>
      <c r="I503" s="7" t="e">
        <f t="shared" si="170"/>
        <v>#REF!</v>
      </c>
      <c r="J503" s="7" t="e">
        <f t="shared" si="170"/>
        <v>#REF!</v>
      </c>
      <c r="K503" s="7">
        <f t="shared" si="170"/>
        <v>503.8</v>
      </c>
    </row>
    <row r="504" spans="1:11" ht="47.25" customHeight="1">
      <c r="A504" s="31" t="s">
        <v>313</v>
      </c>
      <c r="B504" s="42" t="s">
        <v>305</v>
      </c>
      <c r="C504" s="42" t="s">
        <v>159</v>
      </c>
      <c r="D504" s="42" t="s">
        <v>455</v>
      </c>
      <c r="E504" s="42" t="s">
        <v>314</v>
      </c>
      <c r="F504" s="7" t="e">
        <f>F505</f>
        <v>#REF!</v>
      </c>
      <c r="G504" s="7" t="e">
        <f t="shared" si="170"/>
        <v>#REF!</v>
      </c>
      <c r="H504" s="7" t="e">
        <f t="shared" si="170"/>
        <v>#REF!</v>
      </c>
      <c r="I504" s="7" t="e">
        <f t="shared" si="170"/>
        <v>#REF!</v>
      </c>
      <c r="J504" s="7" t="e">
        <f t="shared" si="170"/>
        <v>#REF!</v>
      </c>
      <c r="K504" s="7">
        <f t="shared" si="170"/>
        <v>503.8</v>
      </c>
    </row>
    <row r="505" spans="1:11" ht="15.75" customHeight="1">
      <c r="A505" s="31" t="s">
        <v>315</v>
      </c>
      <c r="B505" s="42" t="s">
        <v>305</v>
      </c>
      <c r="C505" s="42" t="s">
        <v>159</v>
      </c>
      <c r="D505" s="42" t="s">
        <v>455</v>
      </c>
      <c r="E505" s="42" t="s">
        <v>316</v>
      </c>
      <c r="F505" s="7" t="e">
        <f>#REF!</f>
        <v>#REF!</v>
      </c>
      <c r="G505" s="7" t="e">
        <f>#REF!</f>
        <v>#REF!</v>
      </c>
      <c r="H505" s="7" t="e">
        <f>#REF!</f>
        <v>#REF!</v>
      </c>
      <c r="I505" s="7" t="e">
        <f>#REF!</f>
        <v>#REF!</v>
      </c>
      <c r="J505" s="7" t="e">
        <f>#REF!</f>
        <v>#REF!</v>
      </c>
      <c r="K505" s="7">
        <f>'Прил.№5 ведомств.'!G702</f>
        <v>503.8</v>
      </c>
    </row>
    <row r="506" spans="1:11" ht="31.5">
      <c r="A506" s="31" t="s">
        <v>321</v>
      </c>
      <c r="B506" s="42" t="s">
        <v>305</v>
      </c>
      <c r="C506" s="42" t="s">
        <v>159</v>
      </c>
      <c r="D506" s="42" t="s">
        <v>456</v>
      </c>
      <c r="E506" s="42"/>
      <c r="F506" s="7" t="e">
        <f>F507</f>
        <v>#REF!</v>
      </c>
      <c r="G506" s="7" t="e">
        <f aca="true" t="shared" si="171" ref="G506:K507">G507</f>
        <v>#REF!</v>
      </c>
      <c r="H506" s="7" t="e">
        <f t="shared" si="171"/>
        <v>#REF!</v>
      </c>
      <c r="I506" s="7" t="e">
        <f t="shared" si="171"/>
        <v>#REF!</v>
      </c>
      <c r="J506" s="7" t="e">
        <f t="shared" si="171"/>
        <v>#REF!</v>
      </c>
      <c r="K506" s="7">
        <f t="shared" si="171"/>
        <v>291.6</v>
      </c>
    </row>
    <row r="507" spans="1:11" ht="47.25">
      <c r="A507" s="31" t="s">
        <v>313</v>
      </c>
      <c r="B507" s="42" t="s">
        <v>305</v>
      </c>
      <c r="C507" s="42" t="s">
        <v>159</v>
      </c>
      <c r="D507" s="42" t="s">
        <v>456</v>
      </c>
      <c r="E507" s="42" t="s">
        <v>314</v>
      </c>
      <c r="F507" s="7" t="e">
        <f>F508</f>
        <v>#REF!</v>
      </c>
      <c r="G507" s="7" t="e">
        <f t="shared" si="171"/>
        <v>#REF!</v>
      </c>
      <c r="H507" s="7" t="e">
        <f t="shared" si="171"/>
        <v>#REF!</v>
      </c>
      <c r="I507" s="7" t="e">
        <f t="shared" si="171"/>
        <v>#REF!</v>
      </c>
      <c r="J507" s="7" t="e">
        <f t="shared" si="171"/>
        <v>#REF!</v>
      </c>
      <c r="K507" s="7">
        <f t="shared" si="171"/>
        <v>291.6</v>
      </c>
    </row>
    <row r="508" spans="1:11" ht="15.75">
      <c r="A508" s="31" t="s">
        <v>315</v>
      </c>
      <c r="B508" s="42" t="s">
        <v>305</v>
      </c>
      <c r="C508" s="42" t="s">
        <v>159</v>
      </c>
      <c r="D508" s="42" t="s">
        <v>456</v>
      </c>
      <c r="E508" s="42" t="s">
        <v>316</v>
      </c>
      <c r="F508" s="7" t="e">
        <f>#REF!</f>
        <v>#REF!</v>
      </c>
      <c r="G508" s="7" t="e">
        <f>#REF!</f>
        <v>#REF!</v>
      </c>
      <c r="H508" s="7" t="e">
        <f>#REF!</f>
        <v>#REF!</v>
      </c>
      <c r="I508" s="7" t="e">
        <f>#REF!</f>
        <v>#REF!</v>
      </c>
      <c r="J508" s="7" t="e">
        <f>#REF!</f>
        <v>#REF!</v>
      </c>
      <c r="K508" s="7">
        <f>'Прил.№5 ведомств.'!G705</f>
        <v>291.6</v>
      </c>
    </row>
    <row r="509" spans="1:11" ht="47.25">
      <c r="A509" s="31" t="s">
        <v>457</v>
      </c>
      <c r="B509" s="42" t="s">
        <v>305</v>
      </c>
      <c r="C509" s="42" t="s">
        <v>159</v>
      </c>
      <c r="D509" s="42" t="s">
        <v>458</v>
      </c>
      <c r="E509" s="42"/>
      <c r="F509" s="7" t="e">
        <f>F510</f>
        <v>#REF!</v>
      </c>
      <c r="G509" s="7" t="e">
        <f aca="true" t="shared" si="172" ref="G509:K510">G510</f>
        <v>#REF!</v>
      </c>
      <c r="H509" s="7" t="e">
        <f t="shared" si="172"/>
        <v>#REF!</v>
      </c>
      <c r="I509" s="7" t="e">
        <f t="shared" si="172"/>
        <v>#REF!</v>
      </c>
      <c r="J509" s="7" t="e">
        <f t="shared" si="172"/>
        <v>#REF!</v>
      </c>
      <c r="K509" s="7">
        <f t="shared" si="172"/>
        <v>5142.8</v>
      </c>
    </row>
    <row r="510" spans="1:11" ht="47.25">
      <c r="A510" s="31" t="s">
        <v>313</v>
      </c>
      <c r="B510" s="42" t="s">
        <v>305</v>
      </c>
      <c r="C510" s="42" t="s">
        <v>159</v>
      </c>
      <c r="D510" s="42" t="s">
        <v>458</v>
      </c>
      <c r="E510" s="42" t="s">
        <v>314</v>
      </c>
      <c r="F510" s="7" t="e">
        <f>F511</f>
        <v>#REF!</v>
      </c>
      <c r="G510" s="7" t="e">
        <f t="shared" si="172"/>
        <v>#REF!</v>
      </c>
      <c r="H510" s="7" t="e">
        <f t="shared" si="172"/>
        <v>#REF!</v>
      </c>
      <c r="I510" s="7" t="e">
        <f t="shared" si="172"/>
        <v>#REF!</v>
      </c>
      <c r="J510" s="7" t="e">
        <f t="shared" si="172"/>
        <v>#REF!</v>
      </c>
      <c r="K510" s="7">
        <f t="shared" si="172"/>
        <v>5142.8</v>
      </c>
    </row>
    <row r="511" spans="1:11" ht="15.75">
      <c r="A511" s="31" t="s">
        <v>315</v>
      </c>
      <c r="B511" s="42" t="s">
        <v>305</v>
      </c>
      <c r="C511" s="42" t="s">
        <v>159</v>
      </c>
      <c r="D511" s="42" t="s">
        <v>458</v>
      </c>
      <c r="E511" s="42" t="s">
        <v>316</v>
      </c>
      <c r="F511" s="7" t="e">
        <f>#REF!</f>
        <v>#REF!</v>
      </c>
      <c r="G511" s="7" t="e">
        <f>#REF!</f>
        <v>#REF!</v>
      </c>
      <c r="H511" s="7" t="e">
        <f>#REF!</f>
        <v>#REF!</v>
      </c>
      <c r="I511" s="7" t="e">
        <f>#REF!</f>
        <v>#REF!</v>
      </c>
      <c r="J511" s="7" t="e">
        <f>#REF!</f>
        <v>#REF!</v>
      </c>
      <c r="K511" s="7">
        <f>'Прил.№5 ведомств.'!G708</f>
        <v>5142.8</v>
      </c>
    </row>
    <row r="512" spans="1:11" ht="31.5" customHeight="1">
      <c r="A512" s="31" t="s">
        <v>325</v>
      </c>
      <c r="B512" s="42" t="s">
        <v>305</v>
      </c>
      <c r="C512" s="42" t="s">
        <v>159</v>
      </c>
      <c r="D512" s="42" t="s">
        <v>459</v>
      </c>
      <c r="E512" s="42"/>
      <c r="F512" s="7" t="e">
        <f>F513</f>
        <v>#REF!</v>
      </c>
      <c r="G512" s="7" t="e">
        <f aca="true" t="shared" si="173" ref="G512:K513">G513</f>
        <v>#REF!</v>
      </c>
      <c r="H512" s="7" t="e">
        <f t="shared" si="173"/>
        <v>#REF!</v>
      </c>
      <c r="I512" s="7" t="e">
        <f t="shared" si="173"/>
        <v>#REF!</v>
      </c>
      <c r="J512" s="7" t="e">
        <f t="shared" si="173"/>
        <v>#REF!</v>
      </c>
      <c r="K512" s="7">
        <f t="shared" si="173"/>
        <v>26</v>
      </c>
    </row>
    <row r="513" spans="1:11" ht="47.25" customHeight="1">
      <c r="A513" s="31" t="s">
        <v>313</v>
      </c>
      <c r="B513" s="42" t="s">
        <v>305</v>
      </c>
      <c r="C513" s="42" t="s">
        <v>159</v>
      </c>
      <c r="D513" s="42" t="s">
        <v>459</v>
      </c>
      <c r="E513" s="42" t="s">
        <v>314</v>
      </c>
      <c r="F513" s="7" t="e">
        <f>F514</f>
        <v>#REF!</v>
      </c>
      <c r="G513" s="7" t="e">
        <f t="shared" si="173"/>
        <v>#REF!</v>
      </c>
      <c r="H513" s="7" t="e">
        <f t="shared" si="173"/>
        <v>#REF!</v>
      </c>
      <c r="I513" s="7" t="e">
        <f t="shared" si="173"/>
        <v>#REF!</v>
      </c>
      <c r="J513" s="7" t="e">
        <f t="shared" si="173"/>
        <v>#REF!</v>
      </c>
      <c r="K513" s="7">
        <f t="shared" si="173"/>
        <v>26</v>
      </c>
    </row>
    <row r="514" spans="1:11" ht="15.75" customHeight="1">
      <c r="A514" s="31" t="s">
        <v>315</v>
      </c>
      <c r="B514" s="42" t="s">
        <v>305</v>
      </c>
      <c r="C514" s="42" t="s">
        <v>159</v>
      </c>
      <c r="D514" s="42" t="s">
        <v>459</v>
      </c>
      <c r="E514" s="42" t="s">
        <v>316</v>
      </c>
      <c r="F514" s="7" t="e">
        <f>#REF!</f>
        <v>#REF!</v>
      </c>
      <c r="G514" s="7" t="e">
        <f>#REF!</f>
        <v>#REF!</v>
      </c>
      <c r="H514" s="7" t="e">
        <f>#REF!</f>
        <v>#REF!</v>
      </c>
      <c r="I514" s="7" t="e">
        <f>#REF!</f>
        <v>#REF!</v>
      </c>
      <c r="J514" s="7" t="e">
        <f>#REF!</f>
        <v>#REF!</v>
      </c>
      <c r="K514" s="7">
        <f>'Прил.№5 ведомств.'!G711</f>
        <v>26</v>
      </c>
    </row>
    <row r="515" spans="1:11" ht="42" customHeight="1">
      <c r="A515" s="31" t="s">
        <v>842</v>
      </c>
      <c r="B515" s="21" t="s">
        <v>305</v>
      </c>
      <c r="C515" s="21" t="s">
        <v>159</v>
      </c>
      <c r="D515" s="21" t="s">
        <v>845</v>
      </c>
      <c r="E515" s="21"/>
      <c r="F515" s="7" t="e">
        <f>F516</f>
        <v>#REF!</v>
      </c>
      <c r="G515" s="7" t="e">
        <f aca="true" t="shared" si="174" ref="G515:K516">G516</f>
        <v>#REF!</v>
      </c>
      <c r="H515" s="7" t="e">
        <f t="shared" si="174"/>
        <v>#REF!</v>
      </c>
      <c r="I515" s="7" t="e">
        <f t="shared" si="174"/>
        <v>#REF!</v>
      </c>
      <c r="J515" s="7" t="e">
        <f t="shared" si="174"/>
        <v>#REF!</v>
      </c>
      <c r="K515" s="7">
        <f t="shared" si="174"/>
        <v>2850</v>
      </c>
    </row>
    <row r="516" spans="1:11" ht="46.5" customHeight="1">
      <c r="A516" s="31" t="s">
        <v>313</v>
      </c>
      <c r="B516" s="21" t="s">
        <v>305</v>
      </c>
      <c r="C516" s="21" t="s">
        <v>159</v>
      </c>
      <c r="D516" s="21" t="s">
        <v>845</v>
      </c>
      <c r="E516" s="21" t="s">
        <v>314</v>
      </c>
      <c r="F516" s="7" t="e">
        <f>F517</f>
        <v>#REF!</v>
      </c>
      <c r="G516" s="7" t="e">
        <f t="shared" si="174"/>
        <v>#REF!</v>
      </c>
      <c r="H516" s="7" t="e">
        <f t="shared" si="174"/>
        <v>#REF!</v>
      </c>
      <c r="I516" s="7" t="e">
        <f t="shared" si="174"/>
        <v>#REF!</v>
      </c>
      <c r="J516" s="7" t="e">
        <f t="shared" si="174"/>
        <v>#REF!</v>
      </c>
      <c r="K516" s="7">
        <f t="shared" si="174"/>
        <v>2850</v>
      </c>
    </row>
    <row r="517" spans="1:11" ht="15.75" customHeight="1">
      <c r="A517" s="31" t="s">
        <v>315</v>
      </c>
      <c r="B517" s="21" t="s">
        <v>305</v>
      </c>
      <c r="C517" s="21" t="s">
        <v>159</v>
      </c>
      <c r="D517" s="21" t="s">
        <v>845</v>
      </c>
      <c r="E517" s="21" t="s">
        <v>316</v>
      </c>
      <c r="F517" s="7" t="e">
        <f>#REF!</f>
        <v>#REF!</v>
      </c>
      <c r="G517" s="7" t="e">
        <f>#REF!</f>
        <v>#REF!</v>
      </c>
      <c r="H517" s="7" t="e">
        <f>#REF!</f>
        <v>#REF!</v>
      </c>
      <c r="I517" s="7" t="e">
        <f>#REF!</f>
        <v>#REF!</v>
      </c>
      <c r="J517" s="7" t="e">
        <f>#REF!</f>
        <v>#REF!</v>
      </c>
      <c r="K517" s="7">
        <f>'Прил.№5 ведомств.'!G714</f>
        <v>2850</v>
      </c>
    </row>
    <row r="518" spans="1:11" ht="48.75" customHeight="1">
      <c r="A518" s="31" t="s">
        <v>851</v>
      </c>
      <c r="B518" s="21" t="s">
        <v>305</v>
      </c>
      <c r="C518" s="21" t="s">
        <v>159</v>
      </c>
      <c r="D518" s="21" t="s">
        <v>846</v>
      </c>
      <c r="E518" s="21"/>
      <c r="F518" s="7" t="e">
        <f>F519</f>
        <v>#REF!</v>
      </c>
      <c r="G518" s="7" t="e">
        <f aca="true" t="shared" si="175" ref="G518:K519">G519</f>
        <v>#REF!</v>
      </c>
      <c r="H518" s="7" t="e">
        <f t="shared" si="175"/>
        <v>#REF!</v>
      </c>
      <c r="I518" s="7" t="e">
        <f t="shared" si="175"/>
        <v>#REF!</v>
      </c>
      <c r="J518" s="7" t="e">
        <f t="shared" si="175"/>
        <v>#REF!</v>
      </c>
      <c r="K518" s="7">
        <f t="shared" si="175"/>
        <v>1365.4999999999998</v>
      </c>
    </row>
    <row r="519" spans="1:11" ht="49.5" customHeight="1">
      <c r="A519" s="31" t="s">
        <v>313</v>
      </c>
      <c r="B519" s="21" t="s">
        <v>305</v>
      </c>
      <c r="C519" s="21" t="s">
        <v>159</v>
      </c>
      <c r="D519" s="21" t="s">
        <v>846</v>
      </c>
      <c r="E519" s="21" t="s">
        <v>314</v>
      </c>
      <c r="F519" s="7" t="e">
        <f>F520</f>
        <v>#REF!</v>
      </c>
      <c r="G519" s="7" t="e">
        <f t="shared" si="175"/>
        <v>#REF!</v>
      </c>
      <c r="H519" s="7" t="e">
        <f t="shared" si="175"/>
        <v>#REF!</v>
      </c>
      <c r="I519" s="7" t="e">
        <f t="shared" si="175"/>
        <v>#REF!</v>
      </c>
      <c r="J519" s="7" t="e">
        <f t="shared" si="175"/>
        <v>#REF!</v>
      </c>
      <c r="K519" s="7">
        <f t="shared" si="175"/>
        <v>1365.4999999999998</v>
      </c>
    </row>
    <row r="520" spans="1:11" ht="15.75" customHeight="1">
      <c r="A520" s="31" t="s">
        <v>315</v>
      </c>
      <c r="B520" s="21" t="s">
        <v>305</v>
      </c>
      <c r="C520" s="21" t="s">
        <v>159</v>
      </c>
      <c r="D520" s="21" t="s">
        <v>846</v>
      </c>
      <c r="E520" s="21" t="s">
        <v>316</v>
      </c>
      <c r="F520" s="7" t="e">
        <f>#REF!</f>
        <v>#REF!</v>
      </c>
      <c r="G520" s="7" t="e">
        <f>#REF!</f>
        <v>#REF!</v>
      </c>
      <c r="H520" s="7" t="e">
        <f>#REF!</f>
        <v>#REF!</v>
      </c>
      <c r="I520" s="7" t="e">
        <f>#REF!</f>
        <v>#REF!</v>
      </c>
      <c r="J520" s="7" t="e">
        <f>#REF!</f>
        <v>#REF!</v>
      </c>
      <c r="K520" s="7">
        <f>'Прил.№5 ведомств.'!G717</f>
        <v>1365.4999999999998</v>
      </c>
    </row>
    <row r="521" spans="1:11" ht="141.75">
      <c r="A521" s="26" t="s">
        <v>465</v>
      </c>
      <c r="B521" s="42" t="s">
        <v>305</v>
      </c>
      <c r="C521" s="42" t="s">
        <v>159</v>
      </c>
      <c r="D521" s="21" t="s">
        <v>984</v>
      </c>
      <c r="E521" s="21"/>
      <c r="F521" s="7"/>
      <c r="G521" s="7"/>
      <c r="H521" s="7"/>
      <c r="I521" s="7"/>
      <c r="J521" s="7"/>
      <c r="K521" s="7">
        <f>K522</f>
        <v>124.4</v>
      </c>
    </row>
    <row r="522" spans="1:11" ht="47.25">
      <c r="A522" s="31" t="s">
        <v>313</v>
      </c>
      <c r="B522" s="42" t="s">
        <v>305</v>
      </c>
      <c r="C522" s="42" t="s">
        <v>159</v>
      </c>
      <c r="D522" s="21" t="s">
        <v>984</v>
      </c>
      <c r="E522" s="21" t="s">
        <v>314</v>
      </c>
      <c r="F522" s="7"/>
      <c r="G522" s="7"/>
      <c r="H522" s="7"/>
      <c r="I522" s="7"/>
      <c r="J522" s="7"/>
      <c r="K522" s="7">
        <f>K523</f>
        <v>124.4</v>
      </c>
    </row>
    <row r="523" spans="1:11" ht="15.75">
      <c r="A523" s="31" t="s">
        <v>315</v>
      </c>
      <c r="B523" s="42" t="s">
        <v>305</v>
      </c>
      <c r="C523" s="42" t="s">
        <v>159</v>
      </c>
      <c r="D523" s="21" t="s">
        <v>984</v>
      </c>
      <c r="E523" s="21" t="s">
        <v>316</v>
      </c>
      <c r="F523" s="7"/>
      <c r="G523" s="7"/>
      <c r="H523" s="7"/>
      <c r="I523" s="7"/>
      <c r="J523" s="7"/>
      <c r="K523" s="7">
        <f>'Прил.№5 ведомств.'!G720</f>
        <v>124.4</v>
      </c>
    </row>
    <row r="524" spans="1:11" ht="63">
      <c r="A524" s="33" t="s">
        <v>927</v>
      </c>
      <c r="B524" s="21" t="s">
        <v>305</v>
      </c>
      <c r="C524" s="21" t="s">
        <v>159</v>
      </c>
      <c r="D524" s="21" t="s">
        <v>365</v>
      </c>
      <c r="E524" s="21"/>
      <c r="F524" s="7"/>
      <c r="G524" s="7"/>
      <c r="H524" s="7"/>
      <c r="I524" s="7"/>
      <c r="J524" s="7"/>
      <c r="K524" s="7">
        <f>K525</f>
        <v>697</v>
      </c>
    </row>
    <row r="525" spans="1:11" ht="47.25">
      <c r="A525" s="33" t="s">
        <v>366</v>
      </c>
      <c r="B525" s="21" t="s">
        <v>305</v>
      </c>
      <c r="C525" s="21" t="s">
        <v>159</v>
      </c>
      <c r="D525" s="21" t="s">
        <v>367</v>
      </c>
      <c r="E525" s="21"/>
      <c r="F525" s="7"/>
      <c r="G525" s="7"/>
      <c r="H525" s="7"/>
      <c r="I525" s="7"/>
      <c r="J525" s="7"/>
      <c r="K525" s="7">
        <f>K526</f>
        <v>697</v>
      </c>
    </row>
    <row r="526" spans="1:11" ht="47.25">
      <c r="A526" s="33" t="s">
        <v>313</v>
      </c>
      <c r="B526" s="21" t="s">
        <v>305</v>
      </c>
      <c r="C526" s="21" t="s">
        <v>159</v>
      </c>
      <c r="D526" s="21" t="s">
        <v>367</v>
      </c>
      <c r="E526" s="21" t="s">
        <v>314</v>
      </c>
      <c r="F526" s="7"/>
      <c r="G526" s="7"/>
      <c r="H526" s="7"/>
      <c r="I526" s="7"/>
      <c r="J526" s="7"/>
      <c r="K526" s="7">
        <f>K527</f>
        <v>697</v>
      </c>
    </row>
    <row r="527" spans="1:11" ht="15.75">
      <c r="A527" s="33" t="s">
        <v>315</v>
      </c>
      <c r="B527" s="21" t="s">
        <v>305</v>
      </c>
      <c r="C527" s="21" t="s">
        <v>159</v>
      </c>
      <c r="D527" s="21" t="s">
        <v>367</v>
      </c>
      <c r="E527" s="21" t="s">
        <v>316</v>
      </c>
      <c r="F527" s="7"/>
      <c r="G527" s="7"/>
      <c r="H527" s="7"/>
      <c r="I527" s="7"/>
      <c r="J527" s="7"/>
      <c r="K527" s="7">
        <f>'Прил.№5 ведомств.'!G724</f>
        <v>697</v>
      </c>
    </row>
    <row r="528" spans="1:11" ht="63">
      <c r="A528" s="31" t="s">
        <v>782</v>
      </c>
      <c r="B528" s="21" t="s">
        <v>305</v>
      </c>
      <c r="C528" s="21" t="s">
        <v>159</v>
      </c>
      <c r="D528" s="21" t="s">
        <v>780</v>
      </c>
      <c r="E528" s="34"/>
      <c r="F528" s="7"/>
      <c r="G528" s="7"/>
      <c r="H528" s="7"/>
      <c r="I528" s="7"/>
      <c r="J528" s="7"/>
      <c r="K528" s="7">
        <f>K529</f>
        <v>464.3</v>
      </c>
    </row>
    <row r="529" spans="1:11" ht="47.25">
      <c r="A529" s="120" t="s">
        <v>922</v>
      </c>
      <c r="B529" s="21" t="s">
        <v>305</v>
      </c>
      <c r="C529" s="21" t="s">
        <v>159</v>
      </c>
      <c r="D529" s="21" t="s">
        <v>923</v>
      </c>
      <c r="E529" s="34"/>
      <c r="F529" s="7"/>
      <c r="G529" s="7"/>
      <c r="H529" s="7"/>
      <c r="I529" s="7"/>
      <c r="J529" s="7"/>
      <c r="K529" s="7">
        <f>K530</f>
        <v>464.3</v>
      </c>
    </row>
    <row r="530" spans="1:11" ht="47.25">
      <c r="A530" s="31" t="s">
        <v>313</v>
      </c>
      <c r="B530" s="21" t="s">
        <v>305</v>
      </c>
      <c r="C530" s="21" t="s">
        <v>159</v>
      </c>
      <c r="D530" s="21" t="s">
        <v>923</v>
      </c>
      <c r="E530" s="34" t="s">
        <v>314</v>
      </c>
      <c r="F530" s="7"/>
      <c r="G530" s="7"/>
      <c r="H530" s="7"/>
      <c r="I530" s="7"/>
      <c r="J530" s="7"/>
      <c r="K530" s="7">
        <f>K531</f>
        <v>464.3</v>
      </c>
    </row>
    <row r="531" spans="1:11" ht="15.75">
      <c r="A531" s="31" t="s">
        <v>315</v>
      </c>
      <c r="B531" s="21" t="s">
        <v>305</v>
      </c>
      <c r="C531" s="21" t="s">
        <v>159</v>
      </c>
      <c r="D531" s="21" t="s">
        <v>923</v>
      </c>
      <c r="E531" s="34" t="s">
        <v>316</v>
      </c>
      <c r="F531" s="7"/>
      <c r="G531" s="7"/>
      <c r="H531" s="7"/>
      <c r="I531" s="7"/>
      <c r="J531" s="7"/>
      <c r="K531" s="7">
        <f>'Прил.№5 ведомств.'!G728</f>
        <v>464.3</v>
      </c>
    </row>
    <row r="532" spans="1:11" ht="15.75">
      <c r="A532" s="31" t="s">
        <v>162</v>
      </c>
      <c r="B532" s="42" t="s">
        <v>305</v>
      </c>
      <c r="C532" s="42" t="s">
        <v>159</v>
      </c>
      <c r="D532" s="42" t="s">
        <v>163</v>
      </c>
      <c r="E532" s="42"/>
      <c r="F532" s="7" t="e">
        <f aca="true" t="shared" si="176" ref="F532:K532">F533</f>
        <v>#REF!</v>
      </c>
      <c r="G532" s="7" t="e">
        <f t="shared" si="176"/>
        <v>#REF!</v>
      </c>
      <c r="H532" s="7" t="e">
        <f t="shared" si="176"/>
        <v>#REF!</v>
      </c>
      <c r="I532" s="7" t="e">
        <f t="shared" si="176"/>
        <v>#REF!</v>
      </c>
      <c r="J532" s="7" t="e">
        <f t="shared" si="176"/>
        <v>#REF!</v>
      </c>
      <c r="K532" s="7">
        <f t="shared" si="176"/>
        <v>73205.29999999999</v>
      </c>
    </row>
    <row r="533" spans="1:13" ht="31.5">
      <c r="A533" s="31" t="s">
        <v>226</v>
      </c>
      <c r="B533" s="42" t="s">
        <v>305</v>
      </c>
      <c r="C533" s="42" t="s">
        <v>159</v>
      </c>
      <c r="D533" s="42" t="s">
        <v>227</v>
      </c>
      <c r="E533" s="42"/>
      <c r="F533" s="7" t="e">
        <f>F537+F540+F543+F546+F549</f>
        <v>#REF!</v>
      </c>
      <c r="G533" s="7" t="e">
        <f>G537+G540+G543+G546+G549</f>
        <v>#REF!</v>
      </c>
      <c r="H533" s="7" t="e">
        <f>H537+H540+H543+H546+H549</f>
        <v>#REF!</v>
      </c>
      <c r="I533" s="7" t="e">
        <f>I537+I540+I543+I546+I549</f>
        <v>#REF!</v>
      </c>
      <c r="J533" s="7" t="e">
        <f>J537+J540+J543+J546+J549</f>
        <v>#REF!</v>
      </c>
      <c r="K533" s="7">
        <f>K537+K540+K543+K546+K549+K534</f>
        <v>73205.29999999999</v>
      </c>
      <c r="M533" s="23"/>
    </row>
    <row r="534" spans="1:13" ht="141.75">
      <c r="A534" s="26" t="s">
        <v>465</v>
      </c>
      <c r="B534" s="42" t="s">
        <v>305</v>
      </c>
      <c r="C534" s="42" t="s">
        <v>159</v>
      </c>
      <c r="D534" s="42" t="s">
        <v>974</v>
      </c>
      <c r="E534" s="42"/>
      <c r="F534" s="7"/>
      <c r="G534" s="7"/>
      <c r="H534" s="7"/>
      <c r="I534" s="7"/>
      <c r="J534" s="7"/>
      <c r="K534" s="7">
        <f>K535</f>
        <v>165.9</v>
      </c>
      <c r="M534" s="23"/>
    </row>
    <row r="535" spans="1:13" ht="47.25">
      <c r="A535" s="26" t="s">
        <v>313</v>
      </c>
      <c r="B535" s="42" t="s">
        <v>305</v>
      </c>
      <c r="C535" s="42" t="s">
        <v>159</v>
      </c>
      <c r="D535" s="42" t="s">
        <v>974</v>
      </c>
      <c r="E535" s="42" t="s">
        <v>314</v>
      </c>
      <c r="F535" s="7"/>
      <c r="G535" s="7"/>
      <c r="H535" s="7"/>
      <c r="I535" s="7"/>
      <c r="J535" s="7"/>
      <c r="K535" s="7">
        <f>K536</f>
        <v>165.9</v>
      </c>
      <c r="M535" s="23"/>
    </row>
    <row r="536" spans="1:13" ht="15.75">
      <c r="A536" s="26" t="s">
        <v>315</v>
      </c>
      <c r="B536" s="42" t="s">
        <v>305</v>
      </c>
      <c r="C536" s="42" t="s">
        <v>159</v>
      </c>
      <c r="D536" s="42" t="s">
        <v>974</v>
      </c>
      <c r="E536" s="42" t="s">
        <v>316</v>
      </c>
      <c r="F536" s="7"/>
      <c r="G536" s="7"/>
      <c r="H536" s="7"/>
      <c r="I536" s="7"/>
      <c r="J536" s="7"/>
      <c r="K536" s="7">
        <f>'Прил.№5 ведомств.'!G733</f>
        <v>165.9</v>
      </c>
      <c r="M536" s="23"/>
    </row>
    <row r="537" spans="1:11" ht="63">
      <c r="A537" s="47" t="s">
        <v>330</v>
      </c>
      <c r="B537" s="42" t="s">
        <v>305</v>
      </c>
      <c r="C537" s="42" t="s">
        <v>159</v>
      </c>
      <c r="D537" s="42" t="s">
        <v>331</v>
      </c>
      <c r="E537" s="42"/>
      <c r="F537" s="7" t="e">
        <f>F538</f>
        <v>#REF!</v>
      </c>
      <c r="G537" s="7" t="e">
        <f aca="true" t="shared" si="177" ref="G537:K538">G538</f>
        <v>#REF!</v>
      </c>
      <c r="H537" s="7" t="e">
        <f t="shared" si="177"/>
        <v>#REF!</v>
      </c>
      <c r="I537" s="7" t="e">
        <f t="shared" si="177"/>
        <v>#REF!</v>
      </c>
      <c r="J537" s="7" t="e">
        <f t="shared" si="177"/>
        <v>#REF!</v>
      </c>
      <c r="K537" s="7">
        <f t="shared" si="177"/>
        <v>363.7</v>
      </c>
    </row>
    <row r="538" spans="1:11" ht="47.25">
      <c r="A538" s="31" t="s">
        <v>313</v>
      </c>
      <c r="B538" s="42" t="s">
        <v>305</v>
      </c>
      <c r="C538" s="42" t="s">
        <v>159</v>
      </c>
      <c r="D538" s="42" t="s">
        <v>331</v>
      </c>
      <c r="E538" s="42" t="s">
        <v>314</v>
      </c>
      <c r="F538" s="7" t="e">
        <f>F539</f>
        <v>#REF!</v>
      </c>
      <c r="G538" s="7" t="e">
        <f t="shared" si="177"/>
        <v>#REF!</v>
      </c>
      <c r="H538" s="7" t="e">
        <f t="shared" si="177"/>
        <v>#REF!</v>
      </c>
      <c r="I538" s="7" t="e">
        <f t="shared" si="177"/>
        <v>#REF!</v>
      </c>
      <c r="J538" s="7" t="e">
        <f t="shared" si="177"/>
        <v>#REF!</v>
      </c>
      <c r="K538" s="7">
        <f t="shared" si="177"/>
        <v>363.7</v>
      </c>
    </row>
    <row r="539" spans="1:11" ht="15.75">
      <c r="A539" s="31" t="s">
        <v>315</v>
      </c>
      <c r="B539" s="42" t="s">
        <v>305</v>
      </c>
      <c r="C539" s="42" t="s">
        <v>159</v>
      </c>
      <c r="D539" s="42" t="s">
        <v>331</v>
      </c>
      <c r="E539" s="42" t="s">
        <v>316</v>
      </c>
      <c r="F539" s="7" t="e">
        <f>#REF!</f>
        <v>#REF!</v>
      </c>
      <c r="G539" s="7" t="e">
        <f>#REF!</f>
        <v>#REF!</v>
      </c>
      <c r="H539" s="7" t="e">
        <f>#REF!</f>
        <v>#REF!</v>
      </c>
      <c r="I539" s="7" t="e">
        <f>#REF!</f>
        <v>#REF!</v>
      </c>
      <c r="J539" s="7" t="e">
        <f>#REF!</f>
        <v>#REF!</v>
      </c>
      <c r="K539" s="7">
        <f>'Прил.№5 ведомств.'!G739</f>
        <v>363.7</v>
      </c>
    </row>
    <row r="540" spans="1:11" ht="63">
      <c r="A540" s="47" t="s">
        <v>462</v>
      </c>
      <c r="B540" s="42" t="s">
        <v>305</v>
      </c>
      <c r="C540" s="42" t="s">
        <v>159</v>
      </c>
      <c r="D540" s="42" t="s">
        <v>333</v>
      </c>
      <c r="E540" s="42"/>
      <c r="F540" s="7" t="e">
        <f>F541</f>
        <v>#REF!</v>
      </c>
      <c r="G540" s="7" t="e">
        <f aca="true" t="shared" si="178" ref="G540:K541">G541</f>
        <v>#REF!</v>
      </c>
      <c r="H540" s="7" t="e">
        <f t="shared" si="178"/>
        <v>#REF!</v>
      </c>
      <c r="I540" s="7" t="e">
        <f t="shared" si="178"/>
        <v>#REF!</v>
      </c>
      <c r="J540" s="7" t="e">
        <f t="shared" si="178"/>
        <v>#REF!</v>
      </c>
      <c r="K540" s="7">
        <f t="shared" si="178"/>
        <v>1755.8</v>
      </c>
    </row>
    <row r="541" spans="1:11" ht="47.25">
      <c r="A541" s="31" t="s">
        <v>313</v>
      </c>
      <c r="B541" s="42" t="s">
        <v>305</v>
      </c>
      <c r="C541" s="42" t="s">
        <v>159</v>
      </c>
      <c r="D541" s="42" t="s">
        <v>333</v>
      </c>
      <c r="E541" s="42" t="s">
        <v>314</v>
      </c>
      <c r="F541" s="7" t="e">
        <f>F542</f>
        <v>#REF!</v>
      </c>
      <c r="G541" s="7" t="e">
        <f t="shared" si="178"/>
        <v>#REF!</v>
      </c>
      <c r="H541" s="7" t="e">
        <f t="shared" si="178"/>
        <v>#REF!</v>
      </c>
      <c r="I541" s="7" t="e">
        <f t="shared" si="178"/>
        <v>#REF!</v>
      </c>
      <c r="J541" s="7" t="e">
        <f t="shared" si="178"/>
        <v>#REF!</v>
      </c>
      <c r="K541" s="7">
        <f t="shared" si="178"/>
        <v>1755.8</v>
      </c>
    </row>
    <row r="542" spans="1:11" ht="15.75">
      <c r="A542" s="31" t="s">
        <v>315</v>
      </c>
      <c r="B542" s="42" t="s">
        <v>305</v>
      </c>
      <c r="C542" s="42" t="s">
        <v>159</v>
      </c>
      <c r="D542" s="42" t="s">
        <v>333</v>
      </c>
      <c r="E542" s="42" t="s">
        <v>316</v>
      </c>
      <c r="F542" s="7" t="e">
        <f>#REF!</f>
        <v>#REF!</v>
      </c>
      <c r="G542" s="7" t="e">
        <f>#REF!</f>
        <v>#REF!</v>
      </c>
      <c r="H542" s="7" t="e">
        <f>#REF!</f>
        <v>#REF!</v>
      </c>
      <c r="I542" s="7" t="e">
        <f>#REF!</f>
        <v>#REF!</v>
      </c>
      <c r="J542" s="7" t="e">
        <f>#REF!</f>
        <v>#REF!</v>
      </c>
      <c r="K542" s="7">
        <f>'Прил.№5 ведомств.'!G742</f>
        <v>1755.8</v>
      </c>
    </row>
    <row r="543" spans="1:11" ht="94.5">
      <c r="A543" s="33" t="s">
        <v>463</v>
      </c>
      <c r="B543" s="42" t="s">
        <v>305</v>
      </c>
      <c r="C543" s="42" t="s">
        <v>159</v>
      </c>
      <c r="D543" s="42" t="s">
        <v>464</v>
      </c>
      <c r="E543" s="42"/>
      <c r="F543" s="7" t="e">
        <f>F544</f>
        <v>#REF!</v>
      </c>
      <c r="G543" s="7" t="e">
        <f aca="true" t="shared" si="179" ref="G543:K544">G544</f>
        <v>#REF!</v>
      </c>
      <c r="H543" s="7" t="e">
        <f t="shared" si="179"/>
        <v>#REF!</v>
      </c>
      <c r="I543" s="7" t="e">
        <f t="shared" si="179"/>
        <v>#REF!</v>
      </c>
      <c r="J543" s="7" t="e">
        <f t="shared" si="179"/>
        <v>#REF!</v>
      </c>
      <c r="K543" s="7">
        <f t="shared" si="179"/>
        <v>68207.5</v>
      </c>
    </row>
    <row r="544" spans="1:11" ht="47.25">
      <c r="A544" s="31" t="s">
        <v>313</v>
      </c>
      <c r="B544" s="42" t="s">
        <v>305</v>
      </c>
      <c r="C544" s="42" t="s">
        <v>159</v>
      </c>
      <c r="D544" s="42" t="s">
        <v>464</v>
      </c>
      <c r="E544" s="42" t="s">
        <v>314</v>
      </c>
      <c r="F544" s="7" t="e">
        <f>F545</f>
        <v>#REF!</v>
      </c>
      <c r="G544" s="7" t="e">
        <f t="shared" si="179"/>
        <v>#REF!</v>
      </c>
      <c r="H544" s="7" t="e">
        <f t="shared" si="179"/>
        <v>#REF!</v>
      </c>
      <c r="I544" s="7" t="e">
        <f t="shared" si="179"/>
        <v>#REF!</v>
      </c>
      <c r="J544" s="7" t="e">
        <f t="shared" si="179"/>
        <v>#REF!</v>
      </c>
      <c r="K544" s="7">
        <f t="shared" si="179"/>
        <v>68207.5</v>
      </c>
    </row>
    <row r="545" spans="1:11" ht="15.75">
      <c r="A545" s="31" t="s">
        <v>315</v>
      </c>
      <c r="B545" s="42" t="s">
        <v>305</v>
      </c>
      <c r="C545" s="42" t="s">
        <v>159</v>
      </c>
      <c r="D545" s="42" t="s">
        <v>464</v>
      </c>
      <c r="E545" s="42" t="s">
        <v>316</v>
      </c>
      <c r="F545" s="7" t="e">
        <f>#REF!</f>
        <v>#REF!</v>
      </c>
      <c r="G545" s="7" t="e">
        <f>#REF!</f>
        <v>#REF!</v>
      </c>
      <c r="H545" s="7" t="e">
        <f>#REF!</f>
        <v>#REF!</v>
      </c>
      <c r="I545" s="7" t="e">
        <f>#REF!</f>
        <v>#REF!</v>
      </c>
      <c r="J545" s="7" t="e">
        <f>#REF!</f>
        <v>#REF!</v>
      </c>
      <c r="K545" s="7">
        <f>'Прил.№5 ведомств.'!G745</f>
        <v>68207.5</v>
      </c>
    </row>
    <row r="546" spans="1:11" ht="94.5">
      <c r="A546" s="47" t="s">
        <v>334</v>
      </c>
      <c r="B546" s="42" t="s">
        <v>305</v>
      </c>
      <c r="C546" s="42" t="s">
        <v>159</v>
      </c>
      <c r="D546" s="21" t="s">
        <v>335</v>
      </c>
      <c r="E546" s="42"/>
      <c r="F546" s="7" t="e">
        <f>F547</f>
        <v>#REF!</v>
      </c>
      <c r="G546" s="7" t="e">
        <f aca="true" t="shared" si="180" ref="G546:K547">G547</f>
        <v>#REF!</v>
      </c>
      <c r="H546" s="7" t="e">
        <f t="shared" si="180"/>
        <v>#REF!</v>
      </c>
      <c r="I546" s="7" t="e">
        <f t="shared" si="180"/>
        <v>#REF!</v>
      </c>
      <c r="J546" s="7" t="e">
        <f t="shared" si="180"/>
        <v>#REF!</v>
      </c>
      <c r="K546" s="7">
        <f t="shared" si="180"/>
        <v>2712.4</v>
      </c>
    </row>
    <row r="547" spans="1:11" ht="47.25">
      <c r="A547" s="31" t="s">
        <v>313</v>
      </c>
      <c r="B547" s="42" t="s">
        <v>305</v>
      </c>
      <c r="C547" s="42" t="s">
        <v>159</v>
      </c>
      <c r="D547" s="21" t="s">
        <v>335</v>
      </c>
      <c r="E547" s="42" t="s">
        <v>314</v>
      </c>
      <c r="F547" s="7" t="e">
        <f>F548</f>
        <v>#REF!</v>
      </c>
      <c r="G547" s="7" t="e">
        <f t="shared" si="180"/>
        <v>#REF!</v>
      </c>
      <c r="H547" s="7" t="e">
        <f t="shared" si="180"/>
        <v>#REF!</v>
      </c>
      <c r="I547" s="7" t="e">
        <f t="shared" si="180"/>
        <v>#REF!</v>
      </c>
      <c r="J547" s="7" t="e">
        <f t="shared" si="180"/>
        <v>#REF!</v>
      </c>
      <c r="K547" s="7">
        <f t="shared" si="180"/>
        <v>2712.4</v>
      </c>
    </row>
    <row r="548" spans="1:11" ht="15.75">
      <c r="A548" s="31" t="s">
        <v>315</v>
      </c>
      <c r="B548" s="42" t="s">
        <v>305</v>
      </c>
      <c r="C548" s="42" t="s">
        <v>159</v>
      </c>
      <c r="D548" s="21" t="s">
        <v>335</v>
      </c>
      <c r="E548" s="42" t="s">
        <v>316</v>
      </c>
      <c r="F548" s="7" t="e">
        <f>#REF!</f>
        <v>#REF!</v>
      </c>
      <c r="G548" s="7" t="e">
        <f>#REF!</f>
        <v>#REF!</v>
      </c>
      <c r="H548" s="7" t="e">
        <f>#REF!</f>
        <v>#REF!</v>
      </c>
      <c r="I548" s="7" t="e">
        <f>#REF!</f>
        <v>#REF!</v>
      </c>
      <c r="J548" s="7" t="e">
        <f>#REF!</f>
        <v>#REF!</v>
      </c>
      <c r="K548" s="7">
        <f>'Прил.№5 ведомств.'!G748</f>
        <v>2712.4</v>
      </c>
    </row>
    <row r="549" spans="1:11" ht="141.75" customHeight="1" hidden="1">
      <c r="A549" s="26" t="s">
        <v>465</v>
      </c>
      <c r="B549" s="42" t="s">
        <v>305</v>
      </c>
      <c r="C549" s="42" t="s">
        <v>159</v>
      </c>
      <c r="D549" s="21" t="s">
        <v>466</v>
      </c>
      <c r="E549" s="42"/>
      <c r="F549" s="7">
        <f>F550</f>
        <v>0</v>
      </c>
      <c r="G549" s="7">
        <f aca="true" t="shared" si="181" ref="G549:K550">G550</f>
        <v>0</v>
      </c>
      <c r="H549" s="7">
        <f t="shared" si="181"/>
        <v>0</v>
      </c>
      <c r="I549" s="7">
        <f t="shared" si="181"/>
        <v>0</v>
      </c>
      <c r="J549" s="7">
        <f t="shared" si="181"/>
        <v>0</v>
      </c>
      <c r="K549" s="7">
        <f t="shared" si="181"/>
        <v>0</v>
      </c>
    </row>
    <row r="550" spans="1:11" ht="47.25" customHeight="1" hidden="1">
      <c r="A550" s="26" t="s">
        <v>313</v>
      </c>
      <c r="B550" s="42" t="s">
        <v>305</v>
      </c>
      <c r="C550" s="42" t="s">
        <v>159</v>
      </c>
      <c r="D550" s="21" t="s">
        <v>466</v>
      </c>
      <c r="E550" s="42" t="s">
        <v>314</v>
      </c>
      <c r="F550" s="7">
        <f>F551</f>
        <v>0</v>
      </c>
      <c r="G550" s="7">
        <f t="shared" si="181"/>
        <v>0</v>
      </c>
      <c r="H550" s="7">
        <f t="shared" si="181"/>
        <v>0</v>
      </c>
      <c r="I550" s="7">
        <f t="shared" si="181"/>
        <v>0</v>
      </c>
      <c r="J550" s="7">
        <f t="shared" si="181"/>
        <v>0</v>
      </c>
      <c r="K550" s="7">
        <f t="shared" si="181"/>
        <v>0</v>
      </c>
    </row>
    <row r="551" spans="1:11" ht="15.75" customHeight="1" hidden="1">
      <c r="A551" s="26" t="s">
        <v>315</v>
      </c>
      <c r="B551" s="42" t="s">
        <v>305</v>
      </c>
      <c r="C551" s="42" t="s">
        <v>159</v>
      </c>
      <c r="D551" s="21" t="s">
        <v>466</v>
      </c>
      <c r="E551" s="42" t="s">
        <v>316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</row>
    <row r="552" spans="1:13" ht="15.75">
      <c r="A552" s="43" t="s">
        <v>467</v>
      </c>
      <c r="B552" s="8" t="s">
        <v>305</v>
      </c>
      <c r="C552" s="8" t="s">
        <v>254</v>
      </c>
      <c r="D552" s="8"/>
      <c r="E552" s="8"/>
      <c r="F552" s="4" t="e">
        <f>F553+F608</f>
        <v>#REF!</v>
      </c>
      <c r="G552" s="4" t="e">
        <f>G553+G608</f>
        <v>#REF!</v>
      </c>
      <c r="H552" s="4" t="e">
        <f>H553+H608</f>
        <v>#REF!</v>
      </c>
      <c r="I552" s="4" t="e">
        <f>I553+I608</f>
        <v>#REF!</v>
      </c>
      <c r="J552" s="4" t="e">
        <f>J553+J608</f>
        <v>#REF!</v>
      </c>
      <c r="K552" s="4">
        <f>K553+K608+K600+K604</f>
        <v>142621.4</v>
      </c>
      <c r="M552" s="23"/>
    </row>
    <row r="553" spans="1:11" ht="47.25">
      <c r="A553" s="31" t="s">
        <v>468</v>
      </c>
      <c r="B553" s="42" t="s">
        <v>305</v>
      </c>
      <c r="C553" s="42" t="s">
        <v>254</v>
      </c>
      <c r="D553" s="42" t="s">
        <v>448</v>
      </c>
      <c r="E553" s="42"/>
      <c r="F553" s="7" t="e">
        <f aca="true" t="shared" si="182" ref="F553:K553">F554+F558</f>
        <v>#REF!</v>
      </c>
      <c r="G553" s="7" t="e">
        <f t="shared" si="182"/>
        <v>#REF!</v>
      </c>
      <c r="H553" s="7" t="e">
        <f t="shared" si="182"/>
        <v>#REF!</v>
      </c>
      <c r="I553" s="7" t="e">
        <f t="shared" si="182"/>
        <v>#REF!</v>
      </c>
      <c r="J553" s="7" t="e">
        <f t="shared" si="182"/>
        <v>#REF!</v>
      </c>
      <c r="K553" s="7">
        <f t="shared" si="182"/>
        <v>39266.5</v>
      </c>
    </row>
    <row r="554" spans="1:11" ht="31.5">
      <c r="A554" s="31" t="s">
        <v>449</v>
      </c>
      <c r="B554" s="42" t="s">
        <v>305</v>
      </c>
      <c r="C554" s="42" t="s">
        <v>254</v>
      </c>
      <c r="D554" s="42" t="s">
        <v>450</v>
      </c>
      <c r="E554" s="42"/>
      <c r="F554" s="7" t="e">
        <f>F555</f>
        <v>#REF!</v>
      </c>
      <c r="G554" s="7" t="e">
        <f aca="true" t="shared" si="183" ref="G554:K556">G555</f>
        <v>#REF!</v>
      </c>
      <c r="H554" s="7" t="e">
        <f t="shared" si="183"/>
        <v>#REF!</v>
      </c>
      <c r="I554" s="7" t="e">
        <f t="shared" si="183"/>
        <v>#REF!</v>
      </c>
      <c r="J554" s="7" t="e">
        <f t="shared" si="183"/>
        <v>#REF!</v>
      </c>
      <c r="K554" s="7">
        <f t="shared" si="183"/>
        <v>29802.399999999998</v>
      </c>
    </row>
    <row r="555" spans="1:11" ht="47.25">
      <c r="A555" s="31" t="s">
        <v>469</v>
      </c>
      <c r="B555" s="42" t="s">
        <v>305</v>
      </c>
      <c r="C555" s="42" t="s">
        <v>254</v>
      </c>
      <c r="D555" s="42" t="s">
        <v>470</v>
      </c>
      <c r="E555" s="42"/>
      <c r="F555" s="7" t="e">
        <f>F556</f>
        <v>#REF!</v>
      </c>
      <c r="G555" s="7" t="e">
        <f t="shared" si="183"/>
        <v>#REF!</v>
      </c>
      <c r="H555" s="7" t="e">
        <f t="shared" si="183"/>
        <v>#REF!</v>
      </c>
      <c r="I555" s="7" t="e">
        <f t="shared" si="183"/>
        <v>#REF!</v>
      </c>
      <c r="J555" s="7" t="e">
        <f t="shared" si="183"/>
        <v>#REF!</v>
      </c>
      <c r="K555" s="7">
        <f t="shared" si="183"/>
        <v>29802.399999999998</v>
      </c>
    </row>
    <row r="556" spans="1:11" ht="47.25">
      <c r="A556" s="31" t="s">
        <v>313</v>
      </c>
      <c r="B556" s="42" t="s">
        <v>305</v>
      </c>
      <c r="C556" s="42" t="s">
        <v>254</v>
      </c>
      <c r="D556" s="42" t="s">
        <v>470</v>
      </c>
      <c r="E556" s="42" t="s">
        <v>314</v>
      </c>
      <c r="F556" s="62" t="e">
        <f>F557</f>
        <v>#REF!</v>
      </c>
      <c r="G556" s="62" t="e">
        <f t="shared" si="183"/>
        <v>#REF!</v>
      </c>
      <c r="H556" s="62" t="e">
        <f t="shared" si="183"/>
        <v>#REF!</v>
      </c>
      <c r="I556" s="62" t="e">
        <f t="shared" si="183"/>
        <v>#REF!</v>
      </c>
      <c r="J556" s="62" t="e">
        <f t="shared" si="183"/>
        <v>#REF!</v>
      </c>
      <c r="K556" s="62">
        <f t="shared" si="183"/>
        <v>29802.399999999998</v>
      </c>
    </row>
    <row r="557" spans="1:11" ht="15.75">
      <c r="A557" s="31" t="s">
        <v>315</v>
      </c>
      <c r="B557" s="42" t="s">
        <v>305</v>
      </c>
      <c r="C557" s="42" t="s">
        <v>254</v>
      </c>
      <c r="D557" s="42" t="s">
        <v>470</v>
      </c>
      <c r="E557" s="42" t="s">
        <v>316</v>
      </c>
      <c r="F557" s="62" t="e">
        <f>#REF!</f>
        <v>#REF!</v>
      </c>
      <c r="G557" s="62" t="e">
        <f>#REF!</f>
        <v>#REF!</v>
      </c>
      <c r="H557" s="62" t="e">
        <f>#REF!</f>
        <v>#REF!</v>
      </c>
      <c r="I557" s="62" t="e">
        <f>#REF!</f>
        <v>#REF!</v>
      </c>
      <c r="J557" s="62" t="e">
        <f>#REF!</f>
        <v>#REF!</v>
      </c>
      <c r="K557" s="62">
        <f>'Прил.№5 ведомств.'!G757</f>
        <v>29802.399999999998</v>
      </c>
    </row>
    <row r="558" spans="1:11" ht="31.5">
      <c r="A558" s="31" t="s">
        <v>472</v>
      </c>
      <c r="B558" s="42" t="s">
        <v>305</v>
      </c>
      <c r="C558" s="42" t="s">
        <v>254</v>
      </c>
      <c r="D558" s="42" t="s">
        <v>473</v>
      </c>
      <c r="E558" s="42"/>
      <c r="F558" s="7" t="e">
        <f>F559+F573+F588+F594+F563+F566+F591+F576+F570+F582+F585</f>
        <v>#REF!</v>
      </c>
      <c r="G558" s="7" t="e">
        <f>G559+G573+G588+G594+G563+G566+G591+G576+G570+G582+G585</f>
        <v>#REF!</v>
      </c>
      <c r="H558" s="7" t="e">
        <f>H559+H573+H588+H594+H563+H566+H591+H576+H570+H582+H585</f>
        <v>#REF!</v>
      </c>
      <c r="I558" s="7" t="e">
        <f>I559+I573+I588+I594+I563+I566+I591+I576+I570+I582+I585</f>
        <v>#REF!</v>
      </c>
      <c r="J558" s="7" t="e">
        <f>J559+J573+J588+J594+J563+J566+J591+J576+J570+J582+J585</f>
        <v>#REF!</v>
      </c>
      <c r="K558" s="7">
        <f>K559+K573+K588+K594+K563+K566+K591+K576+K570+K582+K585+K579+K597</f>
        <v>9464.1</v>
      </c>
    </row>
    <row r="559" spans="1:11" ht="47.25" customHeight="1" hidden="1">
      <c r="A559" s="31" t="s">
        <v>646</v>
      </c>
      <c r="B559" s="42" t="s">
        <v>305</v>
      </c>
      <c r="C559" s="42" t="s">
        <v>254</v>
      </c>
      <c r="D559" s="42" t="s">
        <v>652</v>
      </c>
      <c r="E559" s="42"/>
      <c r="F559" s="7">
        <f>F560</f>
        <v>0</v>
      </c>
      <c r="G559" s="7">
        <f aca="true" t="shared" si="184" ref="G559:K561">G560</f>
        <v>0</v>
      </c>
      <c r="H559" s="7">
        <f t="shared" si="184"/>
        <v>0</v>
      </c>
      <c r="I559" s="7">
        <f t="shared" si="184"/>
        <v>0</v>
      </c>
      <c r="J559" s="7">
        <f t="shared" si="184"/>
        <v>0</v>
      </c>
      <c r="K559" s="7">
        <f t="shared" si="184"/>
        <v>0</v>
      </c>
    </row>
    <row r="560" spans="1:11" ht="47.25" customHeight="1" hidden="1">
      <c r="A560" s="31" t="s">
        <v>313</v>
      </c>
      <c r="B560" s="42" t="s">
        <v>305</v>
      </c>
      <c r="C560" s="42" t="s">
        <v>254</v>
      </c>
      <c r="D560" s="42" t="s">
        <v>652</v>
      </c>
      <c r="E560" s="42" t="s">
        <v>314</v>
      </c>
      <c r="F560" s="7">
        <f>F561</f>
        <v>0</v>
      </c>
      <c r="G560" s="7">
        <f t="shared" si="184"/>
        <v>0</v>
      </c>
      <c r="H560" s="7">
        <f t="shared" si="184"/>
        <v>0</v>
      </c>
      <c r="I560" s="7">
        <f t="shared" si="184"/>
        <v>0</v>
      </c>
      <c r="J560" s="7">
        <f t="shared" si="184"/>
        <v>0</v>
      </c>
      <c r="K560" s="7">
        <f t="shared" si="184"/>
        <v>0</v>
      </c>
    </row>
    <row r="561" spans="1:11" ht="15.75" customHeight="1" hidden="1">
      <c r="A561" s="31" t="s">
        <v>315</v>
      </c>
      <c r="B561" s="42" t="s">
        <v>305</v>
      </c>
      <c r="C561" s="42" t="s">
        <v>254</v>
      </c>
      <c r="D561" s="42" t="s">
        <v>652</v>
      </c>
      <c r="E561" s="42" t="s">
        <v>316</v>
      </c>
      <c r="F561" s="7">
        <f>F562</f>
        <v>0</v>
      </c>
      <c r="G561" s="7">
        <f t="shared" si="184"/>
        <v>0</v>
      </c>
      <c r="H561" s="7">
        <f t="shared" si="184"/>
        <v>0</v>
      </c>
      <c r="I561" s="7">
        <f t="shared" si="184"/>
        <v>0</v>
      </c>
      <c r="J561" s="7">
        <f t="shared" si="184"/>
        <v>0</v>
      </c>
      <c r="K561" s="7">
        <f t="shared" si="184"/>
        <v>0</v>
      </c>
    </row>
    <row r="562" spans="1:11" ht="15.75" customHeight="1" hidden="1">
      <c r="A562" s="31" t="s">
        <v>649</v>
      </c>
      <c r="B562" s="42" t="s">
        <v>305</v>
      </c>
      <c r="C562" s="42" t="s">
        <v>254</v>
      </c>
      <c r="D562" s="42" t="s">
        <v>652</v>
      </c>
      <c r="E562" s="42" t="s">
        <v>650</v>
      </c>
      <c r="F562" s="7"/>
      <c r="G562" s="7"/>
      <c r="H562" s="7"/>
      <c r="I562" s="7"/>
      <c r="J562" s="7"/>
      <c r="K562" s="7"/>
    </row>
    <row r="563" spans="1:11" ht="47.25" customHeight="1" hidden="1">
      <c r="A563" s="31" t="s">
        <v>474</v>
      </c>
      <c r="B563" s="42" t="s">
        <v>305</v>
      </c>
      <c r="C563" s="42" t="s">
        <v>254</v>
      </c>
      <c r="D563" s="42" t="s">
        <v>475</v>
      </c>
      <c r="E563" s="42"/>
      <c r="F563" s="7">
        <f>F564</f>
        <v>0</v>
      </c>
      <c r="G563" s="7">
        <f aca="true" t="shared" si="185" ref="G563:K564">G564</f>
        <v>0</v>
      </c>
      <c r="H563" s="7">
        <f t="shared" si="185"/>
        <v>0</v>
      </c>
      <c r="I563" s="7">
        <f t="shared" si="185"/>
        <v>0</v>
      </c>
      <c r="J563" s="7">
        <f t="shared" si="185"/>
        <v>0</v>
      </c>
      <c r="K563" s="7">
        <f t="shared" si="185"/>
        <v>0</v>
      </c>
    </row>
    <row r="564" spans="1:11" ht="47.25" customHeight="1" hidden="1">
      <c r="A564" s="31" t="s">
        <v>313</v>
      </c>
      <c r="B564" s="42" t="s">
        <v>305</v>
      </c>
      <c r="C564" s="42" t="s">
        <v>254</v>
      </c>
      <c r="D564" s="42" t="s">
        <v>475</v>
      </c>
      <c r="E564" s="42" t="s">
        <v>314</v>
      </c>
      <c r="F564" s="7">
        <f>F565</f>
        <v>0</v>
      </c>
      <c r="G564" s="7">
        <f t="shared" si="185"/>
        <v>0</v>
      </c>
      <c r="H564" s="7">
        <f t="shared" si="185"/>
        <v>0</v>
      </c>
      <c r="I564" s="7">
        <f t="shared" si="185"/>
        <v>0</v>
      </c>
      <c r="J564" s="7">
        <f t="shared" si="185"/>
        <v>0</v>
      </c>
      <c r="K564" s="7">
        <f t="shared" si="185"/>
        <v>0</v>
      </c>
    </row>
    <row r="565" spans="1:11" ht="15.75" customHeight="1" hidden="1">
      <c r="A565" s="31" t="s">
        <v>315</v>
      </c>
      <c r="B565" s="42" t="s">
        <v>305</v>
      </c>
      <c r="C565" s="42" t="s">
        <v>254</v>
      </c>
      <c r="D565" s="42" t="s">
        <v>475</v>
      </c>
      <c r="E565" s="42" t="s">
        <v>316</v>
      </c>
      <c r="F565" s="7"/>
      <c r="G565" s="7"/>
      <c r="H565" s="7"/>
      <c r="I565" s="7"/>
      <c r="J565" s="7"/>
      <c r="K565" s="7"/>
    </row>
    <row r="566" spans="1:11" ht="31.5" customHeight="1" hidden="1">
      <c r="A566" s="31" t="s">
        <v>321</v>
      </c>
      <c r="B566" s="42" t="s">
        <v>305</v>
      </c>
      <c r="C566" s="42" t="s">
        <v>254</v>
      </c>
      <c r="D566" s="42" t="s">
        <v>653</v>
      </c>
      <c r="E566" s="42"/>
      <c r="F566" s="7">
        <f>F567</f>
        <v>0</v>
      </c>
      <c r="G566" s="7">
        <f aca="true" t="shared" si="186" ref="G566:K568">G567</f>
        <v>0</v>
      </c>
      <c r="H566" s="7">
        <f t="shared" si="186"/>
        <v>0</v>
      </c>
      <c r="I566" s="7">
        <f t="shared" si="186"/>
        <v>0</v>
      </c>
      <c r="J566" s="7">
        <f t="shared" si="186"/>
        <v>0</v>
      </c>
      <c r="K566" s="7">
        <f t="shared" si="186"/>
        <v>0</v>
      </c>
    </row>
    <row r="567" spans="1:11" ht="47.25" customHeight="1" hidden="1">
      <c r="A567" s="31" t="s">
        <v>313</v>
      </c>
      <c r="B567" s="42" t="s">
        <v>305</v>
      </c>
      <c r="C567" s="42" t="s">
        <v>254</v>
      </c>
      <c r="D567" s="42" t="s">
        <v>653</v>
      </c>
      <c r="E567" s="42" t="s">
        <v>314</v>
      </c>
      <c r="F567" s="7">
        <f>F568</f>
        <v>0</v>
      </c>
      <c r="G567" s="7">
        <f t="shared" si="186"/>
        <v>0</v>
      </c>
      <c r="H567" s="7">
        <f t="shared" si="186"/>
        <v>0</v>
      </c>
      <c r="I567" s="7">
        <f t="shared" si="186"/>
        <v>0</v>
      </c>
      <c r="J567" s="7">
        <f t="shared" si="186"/>
        <v>0</v>
      </c>
      <c r="K567" s="7">
        <f t="shared" si="186"/>
        <v>0</v>
      </c>
    </row>
    <row r="568" spans="1:11" ht="15.75" customHeight="1" hidden="1">
      <c r="A568" s="31" t="s">
        <v>315</v>
      </c>
      <c r="B568" s="42" t="s">
        <v>305</v>
      </c>
      <c r="C568" s="42" t="s">
        <v>254</v>
      </c>
      <c r="D568" s="42" t="s">
        <v>653</v>
      </c>
      <c r="E568" s="42" t="s">
        <v>316</v>
      </c>
      <c r="F568" s="7">
        <f>F569</f>
        <v>0</v>
      </c>
      <c r="G568" s="7">
        <f t="shared" si="186"/>
        <v>0</v>
      </c>
      <c r="H568" s="7">
        <f t="shared" si="186"/>
        <v>0</v>
      </c>
      <c r="I568" s="7">
        <f t="shared" si="186"/>
        <v>0</v>
      </c>
      <c r="J568" s="7">
        <f t="shared" si="186"/>
        <v>0</v>
      </c>
      <c r="K568" s="7">
        <f t="shared" si="186"/>
        <v>0</v>
      </c>
    </row>
    <row r="569" spans="1:11" ht="15.75" customHeight="1" hidden="1">
      <c r="A569" s="31" t="s">
        <v>649</v>
      </c>
      <c r="B569" s="42" t="s">
        <v>305</v>
      </c>
      <c r="C569" s="42" t="s">
        <v>254</v>
      </c>
      <c r="D569" s="42" t="s">
        <v>653</v>
      </c>
      <c r="E569" s="42" t="s">
        <v>650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</row>
    <row r="570" spans="1:11" ht="31.5" customHeight="1" hidden="1">
      <c r="A570" s="26" t="s">
        <v>476</v>
      </c>
      <c r="B570" s="42" t="s">
        <v>305</v>
      </c>
      <c r="C570" s="42" t="s">
        <v>254</v>
      </c>
      <c r="D570" s="42" t="s">
        <v>477</v>
      </c>
      <c r="E570" s="42"/>
      <c r="F570" s="7">
        <f>F571</f>
        <v>0</v>
      </c>
      <c r="G570" s="7">
        <f aca="true" t="shared" si="187" ref="G570:K571">G571</f>
        <v>0</v>
      </c>
      <c r="H570" s="7">
        <f t="shared" si="187"/>
        <v>0</v>
      </c>
      <c r="I570" s="7">
        <f t="shared" si="187"/>
        <v>0</v>
      </c>
      <c r="J570" s="7">
        <f t="shared" si="187"/>
        <v>0</v>
      </c>
      <c r="K570" s="7">
        <f t="shared" si="187"/>
        <v>0</v>
      </c>
    </row>
    <row r="571" spans="1:11" ht="47.25" customHeight="1" hidden="1">
      <c r="A571" s="26" t="s">
        <v>313</v>
      </c>
      <c r="B571" s="42" t="s">
        <v>305</v>
      </c>
      <c r="C571" s="42" t="s">
        <v>254</v>
      </c>
      <c r="D571" s="42" t="s">
        <v>477</v>
      </c>
      <c r="E571" s="42" t="s">
        <v>314</v>
      </c>
      <c r="F571" s="7">
        <f>F572</f>
        <v>0</v>
      </c>
      <c r="G571" s="7">
        <f t="shared" si="187"/>
        <v>0</v>
      </c>
      <c r="H571" s="7">
        <f t="shared" si="187"/>
        <v>0</v>
      </c>
      <c r="I571" s="7">
        <f t="shared" si="187"/>
        <v>0</v>
      </c>
      <c r="J571" s="7">
        <f t="shared" si="187"/>
        <v>0</v>
      </c>
      <c r="K571" s="7">
        <f t="shared" si="187"/>
        <v>0</v>
      </c>
    </row>
    <row r="572" spans="1:11" ht="15.75" customHeight="1" hidden="1">
      <c r="A572" s="26" t="s">
        <v>315</v>
      </c>
      <c r="B572" s="42" t="s">
        <v>305</v>
      </c>
      <c r="C572" s="42" t="s">
        <v>254</v>
      </c>
      <c r="D572" s="42" t="s">
        <v>477</v>
      </c>
      <c r="E572" s="42" t="s">
        <v>316</v>
      </c>
      <c r="F572" s="7"/>
      <c r="G572" s="7"/>
      <c r="H572" s="7"/>
      <c r="I572" s="7"/>
      <c r="J572" s="7"/>
      <c r="K572" s="7"/>
    </row>
    <row r="573" spans="1:13" ht="47.25">
      <c r="A573" s="31" t="s">
        <v>654</v>
      </c>
      <c r="B573" s="42" t="s">
        <v>305</v>
      </c>
      <c r="C573" s="42" t="s">
        <v>254</v>
      </c>
      <c r="D573" s="42" t="s">
        <v>479</v>
      </c>
      <c r="E573" s="42"/>
      <c r="F573" s="7" t="e">
        <f>F574</f>
        <v>#REF!</v>
      </c>
      <c r="G573" s="7" t="e">
        <f aca="true" t="shared" si="188" ref="G573:K574">G574</f>
        <v>#REF!</v>
      </c>
      <c r="H573" s="7" t="e">
        <f t="shared" si="188"/>
        <v>#REF!</v>
      </c>
      <c r="I573" s="7" t="e">
        <f t="shared" si="188"/>
        <v>#REF!</v>
      </c>
      <c r="J573" s="7" t="e">
        <f t="shared" si="188"/>
        <v>#REF!</v>
      </c>
      <c r="K573" s="7">
        <f t="shared" si="188"/>
        <v>2681.2000000000003</v>
      </c>
      <c r="L573" s="23"/>
      <c r="M573" s="23"/>
    </row>
    <row r="574" spans="1:11" ht="47.25">
      <c r="A574" s="31" t="s">
        <v>313</v>
      </c>
      <c r="B574" s="42" t="s">
        <v>305</v>
      </c>
      <c r="C574" s="42" t="s">
        <v>254</v>
      </c>
      <c r="D574" s="42" t="s">
        <v>479</v>
      </c>
      <c r="E574" s="42" t="s">
        <v>314</v>
      </c>
      <c r="F574" s="7" t="e">
        <f>F575</f>
        <v>#REF!</v>
      </c>
      <c r="G574" s="7" t="e">
        <f t="shared" si="188"/>
        <v>#REF!</v>
      </c>
      <c r="H574" s="7" t="e">
        <f t="shared" si="188"/>
        <v>#REF!</v>
      </c>
      <c r="I574" s="7" t="e">
        <f t="shared" si="188"/>
        <v>#REF!</v>
      </c>
      <c r="J574" s="7" t="e">
        <f t="shared" si="188"/>
        <v>#REF!</v>
      </c>
      <c r="K574" s="7">
        <f t="shared" si="188"/>
        <v>2681.2000000000003</v>
      </c>
    </row>
    <row r="575" spans="1:11" ht="15.75">
      <c r="A575" s="31" t="s">
        <v>315</v>
      </c>
      <c r="B575" s="42" t="s">
        <v>305</v>
      </c>
      <c r="C575" s="42" t="s">
        <v>254</v>
      </c>
      <c r="D575" s="42" t="s">
        <v>479</v>
      </c>
      <c r="E575" s="42" t="s">
        <v>316</v>
      </c>
      <c r="F575" s="7" t="e">
        <f>#REF!</f>
        <v>#REF!</v>
      </c>
      <c r="G575" s="7" t="e">
        <f>#REF!</f>
        <v>#REF!</v>
      </c>
      <c r="H575" s="7" t="e">
        <f>#REF!</f>
        <v>#REF!</v>
      </c>
      <c r="I575" s="7" t="e">
        <f>#REF!</f>
        <v>#REF!</v>
      </c>
      <c r="J575" s="7" t="e">
        <f>#REF!</f>
        <v>#REF!</v>
      </c>
      <c r="K575" s="7">
        <f>'Прил.№5 ведомств.'!G767</f>
        <v>2681.2000000000003</v>
      </c>
    </row>
    <row r="576" spans="1:11" ht="63">
      <c r="A576" s="26" t="s">
        <v>480</v>
      </c>
      <c r="B576" s="42" t="s">
        <v>305</v>
      </c>
      <c r="C576" s="42" t="s">
        <v>254</v>
      </c>
      <c r="D576" s="21" t="s">
        <v>481</v>
      </c>
      <c r="E576" s="42"/>
      <c r="F576" s="7" t="e">
        <f>F577</f>
        <v>#REF!</v>
      </c>
      <c r="G576" s="7" t="e">
        <f aca="true" t="shared" si="189" ref="G576:K577">G577</f>
        <v>#REF!</v>
      </c>
      <c r="H576" s="7" t="e">
        <f t="shared" si="189"/>
        <v>#REF!</v>
      </c>
      <c r="I576" s="7" t="e">
        <f t="shared" si="189"/>
        <v>#REF!</v>
      </c>
      <c r="J576" s="7" t="e">
        <f t="shared" si="189"/>
        <v>#REF!</v>
      </c>
      <c r="K576" s="7">
        <f t="shared" si="189"/>
        <v>416</v>
      </c>
    </row>
    <row r="577" spans="1:11" ht="47.25">
      <c r="A577" s="26" t="s">
        <v>313</v>
      </c>
      <c r="B577" s="42" t="s">
        <v>305</v>
      </c>
      <c r="C577" s="42" t="s">
        <v>254</v>
      </c>
      <c r="D577" s="21" t="s">
        <v>481</v>
      </c>
      <c r="E577" s="42" t="s">
        <v>314</v>
      </c>
      <c r="F577" s="7" t="e">
        <f>F578</f>
        <v>#REF!</v>
      </c>
      <c r="G577" s="7" t="e">
        <f t="shared" si="189"/>
        <v>#REF!</v>
      </c>
      <c r="H577" s="7" t="e">
        <f t="shared" si="189"/>
        <v>#REF!</v>
      </c>
      <c r="I577" s="7" t="e">
        <f t="shared" si="189"/>
        <v>#REF!</v>
      </c>
      <c r="J577" s="7" t="e">
        <f t="shared" si="189"/>
        <v>#REF!</v>
      </c>
      <c r="K577" s="7">
        <f t="shared" si="189"/>
        <v>416</v>
      </c>
    </row>
    <row r="578" spans="1:11" ht="15.75">
      <c r="A578" s="26" t="s">
        <v>315</v>
      </c>
      <c r="B578" s="42" t="s">
        <v>305</v>
      </c>
      <c r="C578" s="42" t="s">
        <v>254</v>
      </c>
      <c r="D578" s="21" t="s">
        <v>481</v>
      </c>
      <c r="E578" s="42" t="s">
        <v>316</v>
      </c>
      <c r="F578" s="7" t="e">
        <f>#REF!</f>
        <v>#REF!</v>
      </c>
      <c r="G578" s="7" t="e">
        <f>#REF!</f>
        <v>#REF!</v>
      </c>
      <c r="H578" s="7" t="e">
        <f>#REF!</f>
        <v>#REF!</v>
      </c>
      <c r="I578" s="7" t="e">
        <f>#REF!</f>
        <v>#REF!</v>
      </c>
      <c r="J578" s="7" t="e">
        <f>#REF!</f>
        <v>#REF!</v>
      </c>
      <c r="K578" s="7">
        <f>'Прил.№5 ведомств.'!G770</f>
        <v>416</v>
      </c>
    </row>
    <row r="579" spans="1:11" ht="47.25">
      <c r="A579" s="26" t="s">
        <v>482</v>
      </c>
      <c r="B579" s="42" t="s">
        <v>305</v>
      </c>
      <c r="C579" s="42" t="s">
        <v>254</v>
      </c>
      <c r="D579" s="21" t="s">
        <v>483</v>
      </c>
      <c r="E579" s="42"/>
      <c r="F579" s="7"/>
      <c r="G579" s="7"/>
      <c r="H579" s="7"/>
      <c r="I579" s="7"/>
      <c r="J579" s="7"/>
      <c r="K579" s="7">
        <f>K580</f>
        <v>57.3</v>
      </c>
    </row>
    <row r="580" spans="1:11" ht="47.25">
      <c r="A580" s="26" t="s">
        <v>313</v>
      </c>
      <c r="B580" s="42" t="s">
        <v>305</v>
      </c>
      <c r="C580" s="42" t="s">
        <v>254</v>
      </c>
      <c r="D580" s="21" t="s">
        <v>483</v>
      </c>
      <c r="E580" s="42" t="s">
        <v>314</v>
      </c>
      <c r="F580" s="7"/>
      <c r="G580" s="7"/>
      <c r="H580" s="7"/>
      <c r="I580" s="7"/>
      <c r="J580" s="7"/>
      <c r="K580" s="7">
        <f>K581</f>
        <v>57.3</v>
      </c>
    </row>
    <row r="581" spans="1:11" ht="15.75">
      <c r="A581" s="26" t="s">
        <v>315</v>
      </c>
      <c r="B581" s="42" t="s">
        <v>305</v>
      </c>
      <c r="C581" s="42" t="s">
        <v>254</v>
      </c>
      <c r="D581" s="21" t="s">
        <v>483</v>
      </c>
      <c r="E581" s="42" t="s">
        <v>316</v>
      </c>
      <c r="F581" s="7"/>
      <c r="G581" s="7"/>
      <c r="H581" s="7"/>
      <c r="I581" s="7"/>
      <c r="J581" s="7"/>
      <c r="K581" s="7">
        <f>'Прил.№5 ведомств.'!G773</f>
        <v>57.3</v>
      </c>
    </row>
    <row r="582" spans="1:11" ht="31.5">
      <c r="A582" s="26" t="s">
        <v>319</v>
      </c>
      <c r="B582" s="42" t="s">
        <v>305</v>
      </c>
      <c r="C582" s="42" t="s">
        <v>254</v>
      </c>
      <c r="D582" s="21" t="s">
        <v>484</v>
      </c>
      <c r="E582" s="42"/>
      <c r="F582" s="7" t="e">
        <f>F583</f>
        <v>#REF!</v>
      </c>
      <c r="G582" s="7" t="e">
        <f aca="true" t="shared" si="190" ref="G582:K583">G583</f>
        <v>#REF!</v>
      </c>
      <c r="H582" s="7" t="e">
        <f t="shared" si="190"/>
        <v>#REF!</v>
      </c>
      <c r="I582" s="7" t="e">
        <f t="shared" si="190"/>
        <v>#REF!</v>
      </c>
      <c r="J582" s="7" t="e">
        <f t="shared" si="190"/>
        <v>#REF!</v>
      </c>
      <c r="K582" s="7">
        <f t="shared" si="190"/>
        <v>1337.5</v>
      </c>
    </row>
    <row r="583" spans="1:11" ht="47.25">
      <c r="A583" s="26" t="s">
        <v>313</v>
      </c>
      <c r="B583" s="42" t="s">
        <v>305</v>
      </c>
      <c r="C583" s="42" t="s">
        <v>254</v>
      </c>
      <c r="D583" s="21" t="s">
        <v>484</v>
      </c>
      <c r="E583" s="42" t="s">
        <v>314</v>
      </c>
      <c r="F583" s="7" t="e">
        <f>F584</f>
        <v>#REF!</v>
      </c>
      <c r="G583" s="7" t="e">
        <f t="shared" si="190"/>
        <v>#REF!</v>
      </c>
      <c r="H583" s="7" t="e">
        <f t="shared" si="190"/>
        <v>#REF!</v>
      </c>
      <c r="I583" s="7" t="e">
        <f t="shared" si="190"/>
        <v>#REF!</v>
      </c>
      <c r="J583" s="7" t="e">
        <f t="shared" si="190"/>
        <v>#REF!</v>
      </c>
      <c r="K583" s="7">
        <f t="shared" si="190"/>
        <v>1337.5</v>
      </c>
    </row>
    <row r="584" spans="1:11" ht="15.75">
      <c r="A584" s="26" t="s">
        <v>315</v>
      </c>
      <c r="B584" s="42" t="s">
        <v>305</v>
      </c>
      <c r="C584" s="42" t="s">
        <v>254</v>
      </c>
      <c r="D584" s="21" t="s">
        <v>484</v>
      </c>
      <c r="E584" s="42" t="s">
        <v>316</v>
      </c>
      <c r="F584" s="7" t="e">
        <f>#REF!</f>
        <v>#REF!</v>
      </c>
      <c r="G584" s="7" t="e">
        <f>#REF!</f>
        <v>#REF!</v>
      </c>
      <c r="H584" s="7" t="e">
        <f>#REF!</f>
        <v>#REF!</v>
      </c>
      <c r="I584" s="7" t="e">
        <f>#REF!</f>
        <v>#REF!</v>
      </c>
      <c r="J584" s="7" t="e">
        <f>#REF!</f>
        <v>#REF!</v>
      </c>
      <c r="K584" s="7">
        <f>'Прил.№5 ведомств.'!G776</f>
        <v>1337.5</v>
      </c>
    </row>
    <row r="585" spans="1:11" ht="31.5">
      <c r="A585" s="26" t="s">
        <v>321</v>
      </c>
      <c r="B585" s="21" t="s">
        <v>305</v>
      </c>
      <c r="C585" s="21" t="s">
        <v>254</v>
      </c>
      <c r="D585" s="21" t="s">
        <v>485</v>
      </c>
      <c r="E585" s="21"/>
      <c r="F585" s="7" t="e">
        <f>F586</f>
        <v>#REF!</v>
      </c>
      <c r="G585" s="7" t="e">
        <f aca="true" t="shared" si="191" ref="G585:K586">G586</f>
        <v>#REF!</v>
      </c>
      <c r="H585" s="7" t="e">
        <f t="shared" si="191"/>
        <v>#REF!</v>
      </c>
      <c r="I585" s="7" t="e">
        <f t="shared" si="191"/>
        <v>#REF!</v>
      </c>
      <c r="J585" s="7" t="e">
        <f t="shared" si="191"/>
        <v>#REF!</v>
      </c>
      <c r="K585" s="7">
        <f t="shared" si="191"/>
        <v>547.2</v>
      </c>
    </row>
    <row r="586" spans="1:11" ht="47.25">
      <c r="A586" s="26" t="s">
        <v>313</v>
      </c>
      <c r="B586" s="21" t="s">
        <v>305</v>
      </c>
      <c r="C586" s="21" t="s">
        <v>254</v>
      </c>
      <c r="D586" s="21" t="s">
        <v>485</v>
      </c>
      <c r="E586" s="21" t="s">
        <v>314</v>
      </c>
      <c r="F586" s="7" t="e">
        <f>F587</f>
        <v>#REF!</v>
      </c>
      <c r="G586" s="7" t="e">
        <f t="shared" si="191"/>
        <v>#REF!</v>
      </c>
      <c r="H586" s="7" t="e">
        <f t="shared" si="191"/>
        <v>#REF!</v>
      </c>
      <c r="I586" s="7" t="e">
        <f t="shared" si="191"/>
        <v>#REF!</v>
      </c>
      <c r="J586" s="7" t="e">
        <f t="shared" si="191"/>
        <v>#REF!</v>
      </c>
      <c r="K586" s="7">
        <f t="shared" si="191"/>
        <v>547.2</v>
      </c>
    </row>
    <row r="587" spans="1:11" ht="15.75">
      <c r="A587" s="26" t="s">
        <v>315</v>
      </c>
      <c r="B587" s="21" t="s">
        <v>305</v>
      </c>
      <c r="C587" s="21" t="s">
        <v>254</v>
      </c>
      <c r="D587" s="21" t="s">
        <v>485</v>
      </c>
      <c r="E587" s="21" t="s">
        <v>316</v>
      </c>
      <c r="F587" s="7" t="e">
        <f>#REF!</f>
        <v>#REF!</v>
      </c>
      <c r="G587" s="7" t="e">
        <f>#REF!</f>
        <v>#REF!</v>
      </c>
      <c r="H587" s="7" t="e">
        <f>#REF!</f>
        <v>#REF!</v>
      </c>
      <c r="I587" s="7" t="e">
        <f>#REF!</f>
        <v>#REF!</v>
      </c>
      <c r="J587" s="7" t="e">
        <f>#REF!</f>
        <v>#REF!</v>
      </c>
      <c r="K587" s="7">
        <f>'Прил.№5 ведомств.'!G779</f>
        <v>547.2</v>
      </c>
    </row>
    <row r="588" spans="1:11" ht="31.5">
      <c r="A588" s="31" t="s">
        <v>323</v>
      </c>
      <c r="B588" s="42" t="s">
        <v>305</v>
      </c>
      <c r="C588" s="42" t="s">
        <v>254</v>
      </c>
      <c r="D588" s="42" t="s">
        <v>486</v>
      </c>
      <c r="E588" s="42"/>
      <c r="F588" s="7" t="e">
        <f>F589</f>
        <v>#REF!</v>
      </c>
      <c r="G588" s="7" t="e">
        <f aca="true" t="shared" si="192" ref="G588:K589">G589</f>
        <v>#REF!</v>
      </c>
      <c r="H588" s="7" t="e">
        <f t="shared" si="192"/>
        <v>#REF!</v>
      </c>
      <c r="I588" s="7" t="e">
        <f t="shared" si="192"/>
        <v>#REF!</v>
      </c>
      <c r="J588" s="7" t="e">
        <f t="shared" si="192"/>
        <v>#REF!</v>
      </c>
      <c r="K588" s="7">
        <f t="shared" si="192"/>
        <v>224.2</v>
      </c>
    </row>
    <row r="589" spans="1:11" ht="47.25">
      <c r="A589" s="31" t="s">
        <v>313</v>
      </c>
      <c r="B589" s="42" t="s">
        <v>305</v>
      </c>
      <c r="C589" s="42" t="s">
        <v>254</v>
      </c>
      <c r="D589" s="42" t="s">
        <v>486</v>
      </c>
      <c r="E589" s="42" t="s">
        <v>314</v>
      </c>
      <c r="F589" s="7" t="e">
        <f>F590</f>
        <v>#REF!</v>
      </c>
      <c r="G589" s="7" t="e">
        <f t="shared" si="192"/>
        <v>#REF!</v>
      </c>
      <c r="H589" s="7" t="e">
        <f t="shared" si="192"/>
        <v>#REF!</v>
      </c>
      <c r="I589" s="7" t="e">
        <f t="shared" si="192"/>
        <v>#REF!</v>
      </c>
      <c r="J589" s="7" t="e">
        <f t="shared" si="192"/>
        <v>#REF!</v>
      </c>
      <c r="K589" s="7">
        <f t="shared" si="192"/>
        <v>224.2</v>
      </c>
    </row>
    <row r="590" spans="1:11" ht="15.75">
      <c r="A590" s="31" t="s">
        <v>315</v>
      </c>
      <c r="B590" s="42" t="s">
        <v>305</v>
      </c>
      <c r="C590" s="42" t="s">
        <v>254</v>
      </c>
      <c r="D590" s="42" t="s">
        <v>486</v>
      </c>
      <c r="E590" s="42" t="s">
        <v>316</v>
      </c>
      <c r="F590" s="7" t="e">
        <f>#REF!</f>
        <v>#REF!</v>
      </c>
      <c r="G590" s="7" t="e">
        <f>#REF!</f>
        <v>#REF!</v>
      </c>
      <c r="H590" s="7" t="e">
        <f>#REF!</f>
        <v>#REF!</v>
      </c>
      <c r="I590" s="7" t="e">
        <f>#REF!</f>
        <v>#REF!</v>
      </c>
      <c r="J590" s="7" t="e">
        <f>#REF!</f>
        <v>#REF!</v>
      </c>
      <c r="K590" s="7">
        <f>'Прил.№5 ведомств.'!G782</f>
        <v>224.2</v>
      </c>
    </row>
    <row r="591" spans="1:11" ht="31.5">
      <c r="A591" s="31" t="s">
        <v>325</v>
      </c>
      <c r="B591" s="42" t="s">
        <v>305</v>
      </c>
      <c r="C591" s="42" t="s">
        <v>254</v>
      </c>
      <c r="D591" s="42" t="s">
        <v>487</v>
      </c>
      <c r="E591" s="42"/>
      <c r="F591" s="7" t="e">
        <f>F592</f>
        <v>#REF!</v>
      </c>
      <c r="G591" s="7" t="e">
        <f aca="true" t="shared" si="193" ref="G591:K592">G592</f>
        <v>#REF!</v>
      </c>
      <c r="H591" s="7" t="e">
        <f t="shared" si="193"/>
        <v>#REF!</v>
      </c>
      <c r="I591" s="7" t="e">
        <f t="shared" si="193"/>
        <v>#REF!</v>
      </c>
      <c r="J591" s="7" t="e">
        <f t="shared" si="193"/>
        <v>#REF!</v>
      </c>
      <c r="K591" s="7">
        <f t="shared" si="193"/>
        <v>945.1</v>
      </c>
    </row>
    <row r="592" spans="1:11" ht="47.25">
      <c r="A592" s="31" t="s">
        <v>313</v>
      </c>
      <c r="B592" s="42" t="s">
        <v>305</v>
      </c>
      <c r="C592" s="42" t="s">
        <v>254</v>
      </c>
      <c r="D592" s="42" t="s">
        <v>487</v>
      </c>
      <c r="E592" s="42" t="s">
        <v>314</v>
      </c>
      <c r="F592" s="7" t="e">
        <f>F593</f>
        <v>#REF!</v>
      </c>
      <c r="G592" s="7" t="e">
        <f t="shared" si="193"/>
        <v>#REF!</v>
      </c>
      <c r="H592" s="7" t="e">
        <f t="shared" si="193"/>
        <v>#REF!</v>
      </c>
      <c r="I592" s="7" t="e">
        <f t="shared" si="193"/>
        <v>#REF!</v>
      </c>
      <c r="J592" s="7" t="e">
        <f t="shared" si="193"/>
        <v>#REF!</v>
      </c>
      <c r="K592" s="7">
        <f t="shared" si="193"/>
        <v>945.1</v>
      </c>
    </row>
    <row r="593" spans="1:11" ht="15.75">
      <c r="A593" s="31" t="s">
        <v>315</v>
      </c>
      <c r="B593" s="42" t="s">
        <v>305</v>
      </c>
      <c r="C593" s="42" t="s">
        <v>254</v>
      </c>
      <c r="D593" s="42" t="s">
        <v>487</v>
      </c>
      <c r="E593" s="42" t="s">
        <v>316</v>
      </c>
      <c r="F593" s="7" t="e">
        <f>#REF!</f>
        <v>#REF!</v>
      </c>
      <c r="G593" s="7" t="e">
        <f>#REF!</f>
        <v>#REF!</v>
      </c>
      <c r="H593" s="7" t="e">
        <f>#REF!</f>
        <v>#REF!</v>
      </c>
      <c r="I593" s="7" t="e">
        <f>#REF!</f>
        <v>#REF!</v>
      </c>
      <c r="J593" s="7" t="e">
        <f>#REF!</f>
        <v>#REF!</v>
      </c>
      <c r="K593" s="7">
        <f>'Прил.№5 ведомств.'!G785</f>
        <v>945.1</v>
      </c>
    </row>
    <row r="594" spans="1:11" ht="31.5" customHeight="1">
      <c r="A594" s="108" t="s">
        <v>842</v>
      </c>
      <c r="B594" s="21" t="s">
        <v>305</v>
      </c>
      <c r="C594" s="21" t="s">
        <v>254</v>
      </c>
      <c r="D594" s="21" t="s">
        <v>844</v>
      </c>
      <c r="E594" s="21"/>
      <c r="F594" s="7" t="e">
        <f aca="true" t="shared" si="194" ref="F594:K594">F595</f>
        <v>#REF!</v>
      </c>
      <c r="G594" s="238" t="e">
        <f t="shared" si="194"/>
        <v>#REF!</v>
      </c>
      <c r="H594" s="7" t="e">
        <f t="shared" si="194"/>
        <v>#REF!</v>
      </c>
      <c r="I594" s="7" t="e">
        <f t="shared" si="194"/>
        <v>#REF!</v>
      </c>
      <c r="J594" s="7" t="e">
        <f t="shared" si="194"/>
        <v>#REF!</v>
      </c>
      <c r="K594" s="7">
        <f t="shared" si="194"/>
        <v>2634</v>
      </c>
    </row>
    <row r="595" spans="1:11" ht="21.75" customHeight="1">
      <c r="A595" s="31" t="s">
        <v>649</v>
      </c>
      <c r="B595" s="21" t="s">
        <v>305</v>
      </c>
      <c r="C595" s="21" t="s">
        <v>254</v>
      </c>
      <c r="D595" s="21" t="s">
        <v>844</v>
      </c>
      <c r="E595" s="21" t="s">
        <v>314</v>
      </c>
      <c r="F595" s="7" t="e">
        <f>#REF!</f>
        <v>#REF!</v>
      </c>
      <c r="G595" s="7" t="e">
        <f>#REF!</f>
        <v>#REF!</v>
      </c>
      <c r="H595" s="7" t="e">
        <f>#REF!</f>
        <v>#REF!</v>
      </c>
      <c r="I595" s="7" t="e">
        <f>#REF!</f>
        <v>#REF!</v>
      </c>
      <c r="J595" s="7" t="e">
        <f>#REF!</f>
        <v>#REF!</v>
      </c>
      <c r="K595" s="7">
        <f>K596</f>
        <v>2634</v>
      </c>
    </row>
    <row r="596" spans="1:11" s="285" customFormat="1" ht="21.75" customHeight="1">
      <c r="A596" s="31" t="s">
        <v>315</v>
      </c>
      <c r="B596" s="21" t="s">
        <v>305</v>
      </c>
      <c r="C596" s="21" t="s">
        <v>254</v>
      </c>
      <c r="D596" s="21" t="s">
        <v>844</v>
      </c>
      <c r="E596" s="21" t="s">
        <v>316</v>
      </c>
      <c r="F596" s="7" t="e">
        <f>#REF!</f>
        <v>#REF!</v>
      </c>
      <c r="G596" s="7" t="e">
        <f>#REF!</f>
        <v>#REF!</v>
      </c>
      <c r="H596" s="7" t="e">
        <f>#REF!</f>
        <v>#REF!</v>
      </c>
      <c r="I596" s="7" t="e">
        <f>#REF!</f>
        <v>#REF!</v>
      </c>
      <c r="J596" s="7" t="e">
        <f>#REF!</f>
        <v>#REF!</v>
      </c>
      <c r="K596" s="7">
        <f>'Прил.№5 ведомств.'!G788</f>
        <v>2634</v>
      </c>
    </row>
    <row r="597" spans="1:11" s="285" customFormat="1" ht="63">
      <c r="A597" s="31" t="s">
        <v>1074</v>
      </c>
      <c r="B597" s="21" t="s">
        <v>305</v>
      </c>
      <c r="C597" s="21" t="s">
        <v>254</v>
      </c>
      <c r="D597" s="21" t="s">
        <v>1075</v>
      </c>
      <c r="E597" s="21"/>
      <c r="F597" s="7"/>
      <c r="G597" s="7"/>
      <c r="H597" s="7"/>
      <c r="I597" s="7"/>
      <c r="J597" s="7"/>
      <c r="K597" s="7">
        <f>K598</f>
        <v>621.6</v>
      </c>
    </row>
    <row r="598" spans="1:11" s="285" customFormat="1" ht="47.25">
      <c r="A598" s="33" t="s">
        <v>313</v>
      </c>
      <c r="B598" s="21" t="s">
        <v>305</v>
      </c>
      <c r="C598" s="21" t="s">
        <v>254</v>
      </c>
      <c r="D598" s="21" t="s">
        <v>1075</v>
      </c>
      <c r="E598" s="21" t="s">
        <v>314</v>
      </c>
      <c r="F598" s="7"/>
      <c r="G598" s="7"/>
      <c r="H598" s="7"/>
      <c r="I598" s="7"/>
      <c r="J598" s="7"/>
      <c r="K598" s="7">
        <f>K599</f>
        <v>621.6</v>
      </c>
    </row>
    <row r="599" spans="1:11" s="285" customFormat="1" ht="21.75" customHeight="1">
      <c r="A599" s="33" t="s">
        <v>315</v>
      </c>
      <c r="B599" s="21" t="s">
        <v>305</v>
      </c>
      <c r="C599" s="21" t="s">
        <v>254</v>
      </c>
      <c r="D599" s="21" t="s">
        <v>1075</v>
      </c>
      <c r="E599" s="21" t="s">
        <v>316</v>
      </c>
      <c r="F599" s="7"/>
      <c r="G599" s="7"/>
      <c r="H599" s="7"/>
      <c r="I599" s="7"/>
      <c r="J599" s="7"/>
      <c r="K599" s="7">
        <f>'Прил.№5 ведомств.'!G791</f>
        <v>621.6</v>
      </c>
    </row>
    <row r="600" spans="1:11" ht="54" customHeight="1">
      <c r="A600" s="33" t="s">
        <v>927</v>
      </c>
      <c r="B600" s="21" t="s">
        <v>305</v>
      </c>
      <c r="C600" s="21" t="s">
        <v>254</v>
      </c>
      <c r="D600" s="21" t="s">
        <v>365</v>
      </c>
      <c r="E600" s="21"/>
      <c r="F600" s="7"/>
      <c r="G600" s="7"/>
      <c r="H600" s="7"/>
      <c r="I600" s="7"/>
      <c r="J600" s="7"/>
      <c r="K600" s="7">
        <f>K601</f>
        <v>150</v>
      </c>
    </row>
    <row r="601" spans="1:11" ht="51.75" customHeight="1">
      <c r="A601" s="33" t="s">
        <v>366</v>
      </c>
      <c r="B601" s="21" t="s">
        <v>305</v>
      </c>
      <c r="C601" s="21" t="s">
        <v>254</v>
      </c>
      <c r="D601" s="21" t="s">
        <v>367</v>
      </c>
      <c r="E601" s="21"/>
      <c r="F601" s="7"/>
      <c r="G601" s="7"/>
      <c r="H601" s="7"/>
      <c r="I601" s="7"/>
      <c r="J601" s="7"/>
      <c r="K601" s="7">
        <f>K602</f>
        <v>150</v>
      </c>
    </row>
    <row r="602" spans="1:11" ht="51" customHeight="1">
      <c r="A602" s="33" t="s">
        <v>313</v>
      </c>
      <c r="B602" s="21" t="s">
        <v>305</v>
      </c>
      <c r="C602" s="21" t="s">
        <v>254</v>
      </c>
      <c r="D602" s="21" t="s">
        <v>367</v>
      </c>
      <c r="E602" s="21" t="s">
        <v>314</v>
      </c>
      <c r="F602" s="7"/>
      <c r="G602" s="7"/>
      <c r="H602" s="7"/>
      <c r="I602" s="7"/>
      <c r="J602" s="7"/>
      <c r="K602" s="7">
        <f>K603</f>
        <v>150</v>
      </c>
    </row>
    <row r="603" spans="1:11" ht="15.75" customHeight="1">
      <c r="A603" s="33" t="s">
        <v>315</v>
      </c>
      <c r="B603" s="21" t="s">
        <v>305</v>
      </c>
      <c r="C603" s="21" t="s">
        <v>254</v>
      </c>
      <c r="D603" s="21" t="s">
        <v>367</v>
      </c>
      <c r="E603" s="21" t="s">
        <v>316</v>
      </c>
      <c r="F603" s="7"/>
      <c r="G603" s="7"/>
      <c r="H603" s="7"/>
      <c r="I603" s="7"/>
      <c r="J603" s="7"/>
      <c r="K603" s="7">
        <f>'Прил.№5 ведомств.'!G795</f>
        <v>150</v>
      </c>
    </row>
    <row r="604" spans="1:11" ht="63.75" customHeight="1">
      <c r="A604" s="31" t="s">
        <v>782</v>
      </c>
      <c r="B604" s="21" t="s">
        <v>305</v>
      </c>
      <c r="C604" s="21" t="s">
        <v>254</v>
      </c>
      <c r="D604" s="21" t="s">
        <v>780</v>
      </c>
      <c r="E604" s="34"/>
      <c r="F604" s="7"/>
      <c r="G604" s="7"/>
      <c r="H604" s="7"/>
      <c r="I604" s="7"/>
      <c r="J604" s="7"/>
      <c r="K604" s="7">
        <f>K605</f>
        <v>723.3</v>
      </c>
    </row>
    <row r="605" spans="1:11" ht="52.5" customHeight="1">
      <c r="A605" s="120" t="s">
        <v>922</v>
      </c>
      <c r="B605" s="21" t="s">
        <v>305</v>
      </c>
      <c r="C605" s="21" t="s">
        <v>254</v>
      </c>
      <c r="D605" s="21" t="s">
        <v>923</v>
      </c>
      <c r="E605" s="34"/>
      <c r="F605" s="7"/>
      <c r="G605" s="7"/>
      <c r="H605" s="7"/>
      <c r="I605" s="7"/>
      <c r="J605" s="7"/>
      <c r="K605" s="7">
        <f>K606</f>
        <v>723.3</v>
      </c>
    </row>
    <row r="606" spans="1:11" ht="45" customHeight="1">
      <c r="A606" s="31" t="s">
        <v>313</v>
      </c>
      <c r="B606" s="21" t="s">
        <v>305</v>
      </c>
      <c r="C606" s="21" t="s">
        <v>254</v>
      </c>
      <c r="D606" s="21" t="s">
        <v>923</v>
      </c>
      <c r="E606" s="34" t="s">
        <v>314</v>
      </c>
      <c r="F606" s="7"/>
      <c r="G606" s="7"/>
      <c r="H606" s="7"/>
      <c r="I606" s="7"/>
      <c r="J606" s="7"/>
      <c r="K606" s="7">
        <f>K607</f>
        <v>723.3</v>
      </c>
    </row>
    <row r="607" spans="1:11" ht="15.75" customHeight="1">
      <c r="A607" s="31" t="s">
        <v>315</v>
      </c>
      <c r="B607" s="21" t="s">
        <v>305</v>
      </c>
      <c r="C607" s="21" t="s">
        <v>254</v>
      </c>
      <c r="D607" s="21" t="s">
        <v>923</v>
      </c>
      <c r="E607" s="34" t="s">
        <v>316</v>
      </c>
      <c r="F607" s="7"/>
      <c r="G607" s="7"/>
      <c r="H607" s="7"/>
      <c r="I607" s="7"/>
      <c r="J607" s="7"/>
      <c r="K607" s="7">
        <f>'Прил.№5 ведомств.'!G799</f>
        <v>723.3</v>
      </c>
    </row>
    <row r="608" spans="1:11" ht="15.75">
      <c r="A608" s="31" t="s">
        <v>162</v>
      </c>
      <c r="B608" s="42" t="s">
        <v>305</v>
      </c>
      <c r="C608" s="42" t="s">
        <v>254</v>
      </c>
      <c r="D608" s="42" t="s">
        <v>163</v>
      </c>
      <c r="E608" s="42"/>
      <c r="F608" s="7" t="e">
        <f aca="true" t="shared" si="195" ref="F608:K608">F609</f>
        <v>#REF!</v>
      </c>
      <c r="G608" s="7" t="e">
        <f t="shared" si="195"/>
        <v>#REF!</v>
      </c>
      <c r="H608" s="7" t="e">
        <f t="shared" si="195"/>
        <v>#REF!</v>
      </c>
      <c r="I608" s="7" t="e">
        <f t="shared" si="195"/>
        <v>#REF!</v>
      </c>
      <c r="J608" s="7" t="e">
        <f t="shared" si="195"/>
        <v>#REF!</v>
      </c>
      <c r="K608" s="7">
        <f t="shared" si="195"/>
        <v>102481.6</v>
      </c>
    </row>
    <row r="609" spans="1:13" ht="31.5">
      <c r="A609" s="31" t="s">
        <v>226</v>
      </c>
      <c r="B609" s="42" t="s">
        <v>305</v>
      </c>
      <c r="C609" s="42" t="s">
        <v>254</v>
      </c>
      <c r="D609" s="42" t="s">
        <v>227</v>
      </c>
      <c r="E609" s="42"/>
      <c r="F609" s="7" t="e">
        <f aca="true" t="shared" si="196" ref="F609:K609">F610+F613+F616+F619+F625+F628+F631+F634+F637+F622</f>
        <v>#REF!</v>
      </c>
      <c r="G609" s="7" t="e">
        <f t="shared" si="196"/>
        <v>#REF!</v>
      </c>
      <c r="H609" s="7" t="e">
        <f t="shared" si="196"/>
        <v>#REF!</v>
      </c>
      <c r="I609" s="7" t="e">
        <f t="shared" si="196"/>
        <v>#REF!</v>
      </c>
      <c r="J609" s="7" t="e">
        <f t="shared" si="196"/>
        <v>#REF!</v>
      </c>
      <c r="K609" s="7">
        <f t="shared" si="196"/>
        <v>102481.6</v>
      </c>
      <c r="M609" s="23"/>
    </row>
    <row r="610" spans="1:11" ht="47.25" customHeight="1" hidden="1">
      <c r="A610" s="26" t="s">
        <v>492</v>
      </c>
      <c r="B610" s="21" t="s">
        <v>305</v>
      </c>
      <c r="C610" s="21" t="s">
        <v>254</v>
      </c>
      <c r="D610" s="21" t="s">
        <v>493</v>
      </c>
      <c r="E610" s="21"/>
      <c r="F610" s="7">
        <f>F611</f>
        <v>0</v>
      </c>
      <c r="G610" s="7">
        <f aca="true" t="shared" si="197" ref="G610:K611">G611</f>
        <v>0</v>
      </c>
      <c r="H610" s="7">
        <f t="shared" si="197"/>
        <v>0</v>
      </c>
      <c r="I610" s="7">
        <f t="shared" si="197"/>
        <v>0</v>
      </c>
      <c r="J610" s="7">
        <f t="shared" si="197"/>
        <v>0</v>
      </c>
      <c r="K610" s="7">
        <f t="shared" si="197"/>
        <v>0</v>
      </c>
    </row>
    <row r="611" spans="1:11" ht="47.25" customHeight="1" hidden="1">
      <c r="A611" s="26" t="s">
        <v>313</v>
      </c>
      <c r="B611" s="21" t="s">
        <v>305</v>
      </c>
      <c r="C611" s="21" t="s">
        <v>254</v>
      </c>
      <c r="D611" s="21" t="s">
        <v>493</v>
      </c>
      <c r="E611" s="21" t="s">
        <v>314</v>
      </c>
      <c r="F611" s="7">
        <f>F612</f>
        <v>0</v>
      </c>
      <c r="G611" s="7">
        <f t="shared" si="197"/>
        <v>0</v>
      </c>
      <c r="H611" s="7">
        <f t="shared" si="197"/>
        <v>0</v>
      </c>
      <c r="I611" s="7">
        <f t="shared" si="197"/>
        <v>0</v>
      </c>
      <c r="J611" s="7">
        <f t="shared" si="197"/>
        <v>0</v>
      </c>
      <c r="K611" s="7">
        <f t="shared" si="197"/>
        <v>0</v>
      </c>
    </row>
    <row r="612" spans="1:11" ht="15.75" customHeight="1" hidden="1">
      <c r="A612" s="26" t="s">
        <v>315</v>
      </c>
      <c r="B612" s="21" t="s">
        <v>305</v>
      </c>
      <c r="C612" s="21" t="s">
        <v>254</v>
      </c>
      <c r="D612" s="21" t="s">
        <v>493</v>
      </c>
      <c r="E612" s="21" t="s">
        <v>316</v>
      </c>
      <c r="F612" s="7"/>
      <c r="G612" s="7"/>
      <c r="H612" s="7"/>
      <c r="I612" s="7"/>
      <c r="J612" s="7"/>
      <c r="K612" s="7"/>
    </row>
    <row r="613" spans="1:11" ht="15.75" customHeight="1" hidden="1">
      <c r="A613" s="26" t="s">
        <v>494</v>
      </c>
      <c r="B613" s="21" t="s">
        <v>305</v>
      </c>
      <c r="C613" s="21" t="s">
        <v>254</v>
      </c>
      <c r="D613" s="21" t="s">
        <v>495</v>
      </c>
      <c r="E613" s="21"/>
      <c r="F613" s="7">
        <f>F614</f>
        <v>0</v>
      </c>
      <c r="G613" s="7">
        <f aca="true" t="shared" si="198" ref="G613:K614">G614</f>
        <v>0</v>
      </c>
      <c r="H613" s="7">
        <f t="shared" si="198"/>
        <v>0</v>
      </c>
      <c r="I613" s="7">
        <f t="shared" si="198"/>
        <v>0</v>
      </c>
      <c r="J613" s="7">
        <f t="shared" si="198"/>
        <v>0</v>
      </c>
      <c r="K613" s="7">
        <f t="shared" si="198"/>
        <v>0</v>
      </c>
    </row>
    <row r="614" spans="1:11" ht="47.25" customHeight="1" hidden="1">
      <c r="A614" s="26" t="s">
        <v>313</v>
      </c>
      <c r="B614" s="21" t="s">
        <v>305</v>
      </c>
      <c r="C614" s="21" t="s">
        <v>254</v>
      </c>
      <c r="D614" s="21" t="s">
        <v>495</v>
      </c>
      <c r="E614" s="21" t="s">
        <v>314</v>
      </c>
      <c r="F614" s="7">
        <f>F615</f>
        <v>0</v>
      </c>
      <c r="G614" s="7">
        <f t="shared" si="198"/>
        <v>0</v>
      </c>
      <c r="H614" s="7">
        <f t="shared" si="198"/>
        <v>0</v>
      </c>
      <c r="I614" s="7">
        <f t="shared" si="198"/>
        <v>0</v>
      </c>
      <c r="J614" s="7">
        <f t="shared" si="198"/>
        <v>0</v>
      </c>
      <c r="K614" s="7">
        <f t="shared" si="198"/>
        <v>0</v>
      </c>
    </row>
    <row r="615" spans="1:11" ht="15.75" customHeight="1" hidden="1">
      <c r="A615" s="26" t="s">
        <v>315</v>
      </c>
      <c r="B615" s="21" t="s">
        <v>305</v>
      </c>
      <c r="C615" s="21" t="s">
        <v>254</v>
      </c>
      <c r="D615" s="21" t="s">
        <v>495</v>
      </c>
      <c r="E615" s="21" t="s">
        <v>316</v>
      </c>
      <c r="F615" s="7"/>
      <c r="G615" s="7"/>
      <c r="H615" s="7"/>
      <c r="I615" s="7"/>
      <c r="J615" s="7"/>
      <c r="K615" s="7"/>
    </row>
    <row r="616" spans="1:11" ht="31.5" customHeight="1" hidden="1">
      <c r="A616" s="31" t="s">
        <v>661</v>
      </c>
      <c r="B616" s="42" t="s">
        <v>305</v>
      </c>
      <c r="C616" s="42" t="s">
        <v>254</v>
      </c>
      <c r="D616" s="42" t="s">
        <v>497</v>
      </c>
      <c r="E616" s="42"/>
      <c r="F616" s="7">
        <f>F617</f>
        <v>0</v>
      </c>
      <c r="G616" s="7">
        <f aca="true" t="shared" si="199" ref="G616:K617">G617</f>
        <v>0</v>
      </c>
      <c r="H616" s="7">
        <f t="shared" si="199"/>
        <v>0</v>
      </c>
      <c r="I616" s="7">
        <f t="shared" si="199"/>
        <v>0</v>
      </c>
      <c r="J616" s="7">
        <f t="shared" si="199"/>
        <v>0</v>
      </c>
      <c r="K616" s="7">
        <f t="shared" si="199"/>
        <v>0</v>
      </c>
    </row>
    <row r="617" spans="1:11" ht="47.25" customHeight="1" hidden="1">
      <c r="A617" s="31" t="s">
        <v>313</v>
      </c>
      <c r="B617" s="42" t="s">
        <v>305</v>
      </c>
      <c r="C617" s="42" t="s">
        <v>254</v>
      </c>
      <c r="D617" s="42" t="s">
        <v>497</v>
      </c>
      <c r="E617" s="42" t="s">
        <v>314</v>
      </c>
      <c r="F617" s="7">
        <f>F618</f>
        <v>0</v>
      </c>
      <c r="G617" s="7">
        <f t="shared" si="199"/>
        <v>0</v>
      </c>
      <c r="H617" s="7">
        <f t="shared" si="199"/>
        <v>0</v>
      </c>
      <c r="I617" s="7">
        <f t="shared" si="199"/>
        <v>0</v>
      </c>
      <c r="J617" s="7">
        <f t="shared" si="199"/>
        <v>0</v>
      </c>
      <c r="K617" s="7">
        <f t="shared" si="199"/>
        <v>0</v>
      </c>
    </row>
    <row r="618" spans="1:11" ht="15.75" customHeight="1" hidden="1">
      <c r="A618" s="31" t="s">
        <v>315</v>
      </c>
      <c r="B618" s="42" t="s">
        <v>305</v>
      </c>
      <c r="C618" s="42" t="s">
        <v>254</v>
      </c>
      <c r="D618" s="42" t="s">
        <v>497</v>
      </c>
      <c r="E618" s="42" t="s">
        <v>316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</row>
    <row r="619" spans="1:11" ht="31.5">
      <c r="A619" s="31" t="s">
        <v>498</v>
      </c>
      <c r="B619" s="42" t="s">
        <v>305</v>
      </c>
      <c r="C619" s="42" t="s">
        <v>254</v>
      </c>
      <c r="D619" s="42" t="s">
        <v>499</v>
      </c>
      <c r="E619" s="42"/>
      <c r="F619" s="7" t="e">
        <f>F620</f>
        <v>#REF!</v>
      </c>
      <c r="G619" s="7" t="e">
        <f aca="true" t="shared" si="200" ref="G619:K620">G620</f>
        <v>#REF!</v>
      </c>
      <c r="H619" s="7" t="e">
        <f t="shared" si="200"/>
        <v>#REF!</v>
      </c>
      <c r="I619" s="7" t="e">
        <f t="shared" si="200"/>
        <v>#REF!</v>
      </c>
      <c r="J619" s="7" t="e">
        <f t="shared" si="200"/>
        <v>#REF!</v>
      </c>
      <c r="K619" s="7">
        <f t="shared" si="200"/>
        <v>1668.6</v>
      </c>
    </row>
    <row r="620" spans="1:11" ht="47.25">
      <c r="A620" s="31" t="s">
        <v>313</v>
      </c>
      <c r="B620" s="42" t="s">
        <v>305</v>
      </c>
      <c r="C620" s="42" t="s">
        <v>254</v>
      </c>
      <c r="D620" s="42" t="s">
        <v>499</v>
      </c>
      <c r="E620" s="42" t="s">
        <v>314</v>
      </c>
      <c r="F620" s="7" t="e">
        <f>F621</f>
        <v>#REF!</v>
      </c>
      <c r="G620" s="7" t="e">
        <f t="shared" si="200"/>
        <v>#REF!</v>
      </c>
      <c r="H620" s="7" t="e">
        <f t="shared" si="200"/>
        <v>#REF!</v>
      </c>
      <c r="I620" s="7" t="e">
        <f t="shared" si="200"/>
        <v>#REF!</v>
      </c>
      <c r="J620" s="7" t="e">
        <f t="shared" si="200"/>
        <v>#REF!</v>
      </c>
      <c r="K620" s="7">
        <f t="shared" si="200"/>
        <v>1668.6</v>
      </c>
    </row>
    <row r="621" spans="1:11" ht="15.75">
      <c r="A621" s="31" t="s">
        <v>315</v>
      </c>
      <c r="B621" s="42" t="s">
        <v>305</v>
      </c>
      <c r="C621" s="42" t="s">
        <v>254</v>
      </c>
      <c r="D621" s="42" t="s">
        <v>499</v>
      </c>
      <c r="E621" s="42" t="s">
        <v>316</v>
      </c>
      <c r="F621" s="7" t="e">
        <f>#REF!</f>
        <v>#REF!</v>
      </c>
      <c r="G621" s="7" t="e">
        <f>#REF!</f>
        <v>#REF!</v>
      </c>
      <c r="H621" s="7" t="e">
        <f>#REF!</f>
        <v>#REF!</v>
      </c>
      <c r="I621" s="7" t="e">
        <f>#REF!</f>
        <v>#REF!</v>
      </c>
      <c r="J621" s="7" t="e">
        <f>#REF!</f>
        <v>#REF!</v>
      </c>
      <c r="K621" s="7">
        <f>'Прил.№5 ведомств.'!G813</f>
        <v>1668.6</v>
      </c>
    </row>
    <row r="622" spans="1:11" ht="47.25">
      <c r="A622" s="26" t="s">
        <v>500</v>
      </c>
      <c r="B622" s="42" t="s">
        <v>305</v>
      </c>
      <c r="C622" s="42" t="s">
        <v>254</v>
      </c>
      <c r="D622" s="42" t="s">
        <v>501</v>
      </c>
      <c r="E622" s="42"/>
      <c r="F622" s="7" t="e">
        <f>F623</f>
        <v>#REF!</v>
      </c>
      <c r="G622" s="7" t="e">
        <f aca="true" t="shared" si="201" ref="G622:K623">G623</f>
        <v>#REF!</v>
      </c>
      <c r="H622" s="7" t="e">
        <f t="shared" si="201"/>
        <v>#REF!</v>
      </c>
      <c r="I622" s="7" t="e">
        <f t="shared" si="201"/>
        <v>#REF!</v>
      </c>
      <c r="J622" s="7" t="e">
        <f t="shared" si="201"/>
        <v>#REF!</v>
      </c>
      <c r="K622" s="7">
        <f t="shared" si="201"/>
        <v>496.7</v>
      </c>
    </row>
    <row r="623" spans="1:11" ht="47.25">
      <c r="A623" s="26" t="s">
        <v>313</v>
      </c>
      <c r="B623" s="42" t="s">
        <v>305</v>
      </c>
      <c r="C623" s="42" t="s">
        <v>254</v>
      </c>
      <c r="D623" s="42" t="s">
        <v>501</v>
      </c>
      <c r="E623" s="42" t="s">
        <v>314</v>
      </c>
      <c r="F623" s="7" t="e">
        <f>F624</f>
        <v>#REF!</v>
      </c>
      <c r="G623" s="7" t="e">
        <f t="shared" si="201"/>
        <v>#REF!</v>
      </c>
      <c r="H623" s="7" t="e">
        <f t="shared" si="201"/>
        <v>#REF!</v>
      </c>
      <c r="I623" s="7" t="e">
        <f t="shared" si="201"/>
        <v>#REF!</v>
      </c>
      <c r="J623" s="7" t="e">
        <f t="shared" si="201"/>
        <v>#REF!</v>
      </c>
      <c r="K623" s="7">
        <f t="shared" si="201"/>
        <v>496.7</v>
      </c>
    </row>
    <row r="624" spans="1:11" ht="15.75">
      <c r="A624" s="26" t="s">
        <v>315</v>
      </c>
      <c r="B624" s="42" t="s">
        <v>305</v>
      </c>
      <c r="C624" s="42" t="s">
        <v>254</v>
      </c>
      <c r="D624" s="42" t="s">
        <v>501</v>
      </c>
      <c r="E624" s="42" t="s">
        <v>316</v>
      </c>
      <c r="F624" s="7" t="e">
        <f>#REF!</f>
        <v>#REF!</v>
      </c>
      <c r="G624" s="7" t="e">
        <f>#REF!</f>
        <v>#REF!</v>
      </c>
      <c r="H624" s="7" t="e">
        <f>#REF!</f>
        <v>#REF!</v>
      </c>
      <c r="I624" s="7" t="e">
        <f>#REF!</f>
        <v>#REF!</v>
      </c>
      <c r="J624" s="7" t="e">
        <f>#REF!</f>
        <v>#REF!</v>
      </c>
      <c r="K624" s="7">
        <f>'Прил.№5 ведомств.'!G816</f>
        <v>496.7</v>
      </c>
    </row>
    <row r="625" spans="1:11" ht="78.75">
      <c r="A625" s="33" t="s">
        <v>502</v>
      </c>
      <c r="B625" s="42" t="s">
        <v>305</v>
      </c>
      <c r="C625" s="42" t="s">
        <v>254</v>
      </c>
      <c r="D625" s="42" t="s">
        <v>503</v>
      </c>
      <c r="E625" s="42"/>
      <c r="F625" s="7" t="e">
        <f>F626</f>
        <v>#REF!</v>
      </c>
      <c r="G625" s="7" t="e">
        <f aca="true" t="shared" si="202" ref="G625:K626">G626</f>
        <v>#REF!</v>
      </c>
      <c r="H625" s="7" t="e">
        <f t="shared" si="202"/>
        <v>#REF!</v>
      </c>
      <c r="I625" s="7" t="e">
        <f t="shared" si="202"/>
        <v>#REF!</v>
      </c>
      <c r="J625" s="7" t="e">
        <f t="shared" si="202"/>
        <v>#REF!</v>
      </c>
      <c r="K625" s="7">
        <f t="shared" si="202"/>
        <v>91447.9</v>
      </c>
    </row>
    <row r="626" spans="1:11" ht="47.25">
      <c r="A626" s="31" t="s">
        <v>313</v>
      </c>
      <c r="B626" s="42" t="s">
        <v>305</v>
      </c>
      <c r="C626" s="42" t="s">
        <v>254</v>
      </c>
      <c r="D626" s="42" t="s">
        <v>503</v>
      </c>
      <c r="E626" s="42" t="s">
        <v>314</v>
      </c>
      <c r="F626" s="7" t="e">
        <f>F627</f>
        <v>#REF!</v>
      </c>
      <c r="G626" s="7" t="e">
        <f t="shared" si="202"/>
        <v>#REF!</v>
      </c>
      <c r="H626" s="7" t="e">
        <f t="shared" si="202"/>
        <v>#REF!</v>
      </c>
      <c r="I626" s="7" t="e">
        <f t="shared" si="202"/>
        <v>#REF!</v>
      </c>
      <c r="J626" s="7" t="e">
        <f t="shared" si="202"/>
        <v>#REF!</v>
      </c>
      <c r="K626" s="7">
        <f t="shared" si="202"/>
        <v>91447.9</v>
      </c>
    </row>
    <row r="627" spans="1:11" ht="15.75">
      <c r="A627" s="31" t="s">
        <v>315</v>
      </c>
      <c r="B627" s="42" t="s">
        <v>305</v>
      </c>
      <c r="C627" s="42" t="s">
        <v>254</v>
      </c>
      <c r="D627" s="42" t="s">
        <v>503</v>
      </c>
      <c r="E627" s="42" t="s">
        <v>316</v>
      </c>
      <c r="F627" s="7" t="e">
        <f>#REF!</f>
        <v>#REF!</v>
      </c>
      <c r="G627" s="7" t="e">
        <f>#REF!</f>
        <v>#REF!</v>
      </c>
      <c r="H627" s="7" t="e">
        <f>#REF!</f>
        <v>#REF!</v>
      </c>
      <c r="I627" s="7" t="e">
        <f>#REF!</f>
        <v>#REF!</v>
      </c>
      <c r="J627" s="7" t="e">
        <f>#REF!</f>
        <v>#REF!</v>
      </c>
      <c r="K627" s="7">
        <f>'Прил.№5 ведомств.'!G819</f>
        <v>91447.9</v>
      </c>
    </row>
    <row r="628" spans="1:11" ht="63">
      <c r="A628" s="47" t="s">
        <v>330</v>
      </c>
      <c r="B628" s="42" t="s">
        <v>305</v>
      </c>
      <c r="C628" s="42" t="s">
        <v>254</v>
      </c>
      <c r="D628" s="42" t="s">
        <v>331</v>
      </c>
      <c r="E628" s="42"/>
      <c r="F628" s="7" t="e">
        <f>F629</f>
        <v>#REF!</v>
      </c>
      <c r="G628" s="7" t="e">
        <f aca="true" t="shared" si="203" ref="G628:K629">G629</f>
        <v>#REF!</v>
      </c>
      <c r="H628" s="7" t="e">
        <f t="shared" si="203"/>
        <v>#REF!</v>
      </c>
      <c r="I628" s="7" t="e">
        <f t="shared" si="203"/>
        <v>#REF!</v>
      </c>
      <c r="J628" s="7" t="e">
        <f t="shared" si="203"/>
        <v>#REF!</v>
      </c>
      <c r="K628" s="7">
        <f t="shared" si="203"/>
        <v>809.3999999999999</v>
      </c>
    </row>
    <row r="629" spans="1:11" ht="47.25">
      <c r="A629" s="31" t="s">
        <v>313</v>
      </c>
      <c r="B629" s="42" t="s">
        <v>305</v>
      </c>
      <c r="C629" s="42" t="s">
        <v>254</v>
      </c>
      <c r="D629" s="42" t="s">
        <v>331</v>
      </c>
      <c r="E629" s="42" t="s">
        <v>314</v>
      </c>
      <c r="F629" s="7" t="e">
        <f>F630</f>
        <v>#REF!</v>
      </c>
      <c r="G629" s="7" t="e">
        <f t="shared" si="203"/>
        <v>#REF!</v>
      </c>
      <c r="H629" s="7" t="e">
        <f t="shared" si="203"/>
        <v>#REF!</v>
      </c>
      <c r="I629" s="7" t="e">
        <f t="shared" si="203"/>
        <v>#REF!</v>
      </c>
      <c r="J629" s="7" t="e">
        <f t="shared" si="203"/>
        <v>#REF!</v>
      </c>
      <c r="K629" s="7">
        <f t="shared" si="203"/>
        <v>809.3999999999999</v>
      </c>
    </row>
    <row r="630" spans="1:11" ht="15.75">
      <c r="A630" s="31" t="s">
        <v>315</v>
      </c>
      <c r="B630" s="42" t="s">
        <v>305</v>
      </c>
      <c r="C630" s="42" t="s">
        <v>254</v>
      </c>
      <c r="D630" s="42" t="s">
        <v>331</v>
      </c>
      <c r="E630" s="42" t="s">
        <v>316</v>
      </c>
      <c r="F630" s="7" t="e">
        <f>#REF!</f>
        <v>#REF!</v>
      </c>
      <c r="G630" s="7" t="e">
        <f>#REF!</f>
        <v>#REF!</v>
      </c>
      <c r="H630" s="7" t="e">
        <f>#REF!</f>
        <v>#REF!</v>
      </c>
      <c r="I630" s="7" t="e">
        <f>#REF!</f>
        <v>#REF!</v>
      </c>
      <c r="J630" s="7" t="e">
        <f>#REF!</f>
        <v>#REF!</v>
      </c>
      <c r="K630" s="7">
        <f>'Прил.№5 ведомств.'!G822</f>
        <v>809.3999999999999</v>
      </c>
    </row>
    <row r="631" spans="1:11" ht="63">
      <c r="A631" s="47" t="s">
        <v>332</v>
      </c>
      <c r="B631" s="42" t="s">
        <v>305</v>
      </c>
      <c r="C631" s="42" t="s">
        <v>254</v>
      </c>
      <c r="D631" s="42" t="s">
        <v>333</v>
      </c>
      <c r="E631" s="42"/>
      <c r="F631" s="7" t="e">
        <f>F632</f>
        <v>#REF!</v>
      </c>
      <c r="G631" s="7" t="e">
        <f aca="true" t="shared" si="204" ref="G631:K632">G632</f>
        <v>#REF!</v>
      </c>
      <c r="H631" s="7" t="e">
        <f t="shared" si="204"/>
        <v>#REF!</v>
      </c>
      <c r="I631" s="7" t="e">
        <f t="shared" si="204"/>
        <v>#REF!</v>
      </c>
      <c r="J631" s="7" t="e">
        <f t="shared" si="204"/>
        <v>#REF!</v>
      </c>
      <c r="K631" s="7">
        <f t="shared" si="204"/>
        <v>2442.6</v>
      </c>
    </row>
    <row r="632" spans="1:11" ht="47.25">
      <c r="A632" s="31" t="s">
        <v>313</v>
      </c>
      <c r="B632" s="42" t="s">
        <v>305</v>
      </c>
      <c r="C632" s="42" t="s">
        <v>254</v>
      </c>
      <c r="D632" s="42" t="s">
        <v>333</v>
      </c>
      <c r="E632" s="42" t="s">
        <v>314</v>
      </c>
      <c r="F632" s="7" t="e">
        <f>F633</f>
        <v>#REF!</v>
      </c>
      <c r="G632" s="7" t="e">
        <f t="shared" si="204"/>
        <v>#REF!</v>
      </c>
      <c r="H632" s="7" t="e">
        <f t="shared" si="204"/>
        <v>#REF!</v>
      </c>
      <c r="I632" s="7" t="e">
        <f t="shared" si="204"/>
        <v>#REF!</v>
      </c>
      <c r="J632" s="7" t="e">
        <f t="shared" si="204"/>
        <v>#REF!</v>
      </c>
      <c r="K632" s="7">
        <f t="shared" si="204"/>
        <v>2442.6</v>
      </c>
    </row>
    <row r="633" spans="1:11" ht="15.75">
      <c r="A633" s="31" t="s">
        <v>315</v>
      </c>
      <c r="B633" s="42" t="s">
        <v>305</v>
      </c>
      <c r="C633" s="42" t="s">
        <v>254</v>
      </c>
      <c r="D633" s="42" t="s">
        <v>333</v>
      </c>
      <c r="E633" s="42" t="s">
        <v>316</v>
      </c>
      <c r="F633" s="7" t="e">
        <f>#REF!</f>
        <v>#REF!</v>
      </c>
      <c r="G633" s="7" t="e">
        <f>#REF!</f>
        <v>#REF!</v>
      </c>
      <c r="H633" s="7" t="e">
        <f>#REF!</f>
        <v>#REF!</v>
      </c>
      <c r="I633" s="7" t="e">
        <f>#REF!</f>
        <v>#REF!</v>
      </c>
      <c r="J633" s="7" t="e">
        <f>#REF!</f>
        <v>#REF!</v>
      </c>
      <c r="K633" s="7">
        <f>'Прил.№5 ведомств.'!G825</f>
        <v>2442.6</v>
      </c>
    </row>
    <row r="634" spans="1:11" ht="47.25">
      <c r="A634" s="33" t="s">
        <v>504</v>
      </c>
      <c r="B634" s="42" t="s">
        <v>305</v>
      </c>
      <c r="C634" s="42" t="s">
        <v>254</v>
      </c>
      <c r="D634" s="42" t="s">
        <v>505</v>
      </c>
      <c r="E634" s="42"/>
      <c r="F634" s="7" t="e">
        <f>F635</f>
        <v>#REF!</v>
      </c>
      <c r="G634" s="7" t="e">
        <f aca="true" t="shared" si="205" ref="G634:K635">G635</f>
        <v>#REF!</v>
      </c>
      <c r="H634" s="7" t="e">
        <f t="shared" si="205"/>
        <v>#REF!</v>
      </c>
      <c r="I634" s="7" t="e">
        <f t="shared" si="205"/>
        <v>#REF!</v>
      </c>
      <c r="J634" s="7" t="e">
        <f t="shared" si="205"/>
        <v>#REF!</v>
      </c>
      <c r="K634" s="7">
        <f t="shared" si="205"/>
        <v>946.8</v>
      </c>
    </row>
    <row r="635" spans="1:11" ht="47.25">
      <c r="A635" s="31" t="s">
        <v>313</v>
      </c>
      <c r="B635" s="42" t="s">
        <v>305</v>
      </c>
      <c r="C635" s="42" t="s">
        <v>254</v>
      </c>
      <c r="D635" s="42" t="s">
        <v>505</v>
      </c>
      <c r="E635" s="42" t="s">
        <v>314</v>
      </c>
      <c r="F635" s="7" t="e">
        <f>F636</f>
        <v>#REF!</v>
      </c>
      <c r="G635" s="7" t="e">
        <f t="shared" si="205"/>
        <v>#REF!</v>
      </c>
      <c r="H635" s="7" t="e">
        <f t="shared" si="205"/>
        <v>#REF!</v>
      </c>
      <c r="I635" s="7" t="e">
        <f t="shared" si="205"/>
        <v>#REF!</v>
      </c>
      <c r="J635" s="7" t="e">
        <f t="shared" si="205"/>
        <v>#REF!</v>
      </c>
      <c r="K635" s="7">
        <f t="shared" si="205"/>
        <v>946.8</v>
      </c>
    </row>
    <row r="636" spans="1:11" ht="15.75">
      <c r="A636" s="31" t="s">
        <v>315</v>
      </c>
      <c r="B636" s="42" t="s">
        <v>305</v>
      </c>
      <c r="C636" s="42" t="s">
        <v>254</v>
      </c>
      <c r="D636" s="42" t="s">
        <v>505</v>
      </c>
      <c r="E636" s="42" t="s">
        <v>316</v>
      </c>
      <c r="F636" s="7" t="e">
        <f>#REF!</f>
        <v>#REF!</v>
      </c>
      <c r="G636" s="7" t="e">
        <f>#REF!</f>
        <v>#REF!</v>
      </c>
      <c r="H636" s="7" t="e">
        <f>#REF!</f>
        <v>#REF!</v>
      </c>
      <c r="I636" s="7" t="e">
        <f>#REF!</f>
        <v>#REF!</v>
      </c>
      <c r="J636" s="7" t="e">
        <f>#REF!</f>
        <v>#REF!</v>
      </c>
      <c r="K636" s="7">
        <f>'Прил.№5 ведомств.'!G828</f>
        <v>946.8</v>
      </c>
    </row>
    <row r="637" spans="1:11" ht="94.5">
      <c r="A637" s="47" t="s">
        <v>334</v>
      </c>
      <c r="B637" s="42" t="s">
        <v>305</v>
      </c>
      <c r="C637" s="42" t="s">
        <v>254</v>
      </c>
      <c r="D637" s="21" t="s">
        <v>335</v>
      </c>
      <c r="E637" s="42"/>
      <c r="F637" s="7" t="e">
        <f>F638</f>
        <v>#REF!</v>
      </c>
      <c r="G637" s="7" t="e">
        <f aca="true" t="shared" si="206" ref="G637:K638">G638</f>
        <v>#REF!</v>
      </c>
      <c r="H637" s="7" t="e">
        <f t="shared" si="206"/>
        <v>#REF!</v>
      </c>
      <c r="I637" s="7" t="e">
        <f t="shared" si="206"/>
        <v>#REF!</v>
      </c>
      <c r="J637" s="7" t="e">
        <f t="shared" si="206"/>
        <v>#REF!</v>
      </c>
      <c r="K637" s="7">
        <f t="shared" si="206"/>
        <v>4669.6</v>
      </c>
    </row>
    <row r="638" spans="1:11" ht="47.25">
      <c r="A638" s="31" t="s">
        <v>313</v>
      </c>
      <c r="B638" s="42" t="s">
        <v>305</v>
      </c>
      <c r="C638" s="42" t="s">
        <v>254</v>
      </c>
      <c r="D638" s="21" t="s">
        <v>335</v>
      </c>
      <c r="E638" s="42" t="s">
        <v>314</v>
      </c>
      <c r="F638" s="7" t="e">
        <f>F639</f>
        <v>#REF!</v>
      </c>
      <c r="G638" s="7" t="e">
        <f t="shared" si="206"/>
        <v>#REF!</v>
      </c>
      <c r="H638" s="7" t="e">
        <f t="shared" si="206"/>
        <v>#REF!</v>
      </c>
      <c r="I638" s="7" t="e">
        <f t="shared" si="206"/>
        <v>#REF!</v>
      </c>
      <c r="J638" s="7" t="e">
        <f t="shared" si="206"/>
        <v>#REF!</v>
      </c>
      <c r="K638" s="7">
        <f t="shared" si="206"/>
        <v>4669.6</v>
      </c>
    </row>
    <row r="639" spans="1:11" ht="15.75">
      <c r="A639" s="31" t="s">
        <v>315</v>
      </c>
      <c r="B639" s="42" t="s">
        <v>305</v>
      </c>
      <c r="C639" s="42" t="s">
        <v>254</v>
      </c>
      <c r="D639" s="21" t="s">
        <v>335</v>
      </c>
      <c r="E639" s="42" t="s">
        <v>316</v>
      </c>
      <c r="F639" s="7" t="e">
        <f>#REF!</f>
        <v>#REF!</v>
      </c>
      <c r="G639" s="7" t="e">
        <f>#REF!</f>
        <v>#REF!</v>
      </c>
      <c r="H639" s="7" t="e">
        <f>#REF!</f>
        <v>#REF!</v>
      </c>
      <c r="I639" s="7" t="e">
        <f>#REF!</f>
        <v>#REF!</v>
      </c>
      <c r="J639" s="7" t="e">
        <f>#REF!</f>
        <v>#REF!</v>
      </c>
      <c r="K639" s="7">
        <f>'Прил.№5 ведомств.'!G831</f>
        <v>4669.6</v>
      </c>
    </row>
    <row r="640" spans="1:11" ht="15.75">
      <c r="A640" s="43" t="s">
        <v>306</v>
      </c>
      <c r="B640" s="8" t="s">
        <v>305</v>
      </c>
      <c r="C640" s="8" t="s">
        <v>256</v>
      </c>
      <c r="D640" s="25"/>
      <c r="E640" s="8"/>
      <c r="F640" s="4" t="e">
        <f>F641+F653+F673+F720</f>
        <v>#REF!</v>
      </c>
      <c r="G640" s="4" t="e">
        <f>G641+G653+G673+G720</f>
        <v>#REF!</v>
      </c>
      <c r="H640" s="4" t="e">
        <f>H641+H653+H673+H720</f>
        <v>#REF!</v>
      </c>
      <c r="I640" s="4" t="e">
        <f>I641+I653+I673+I720</f>
        <v>#REF!</v>
      </c>
      <c r="J640" s="4" t="e">
        <f>J641+J653+J673+J720</f>
        <v>#REF!</v>
      </c>
      <c r="K640" s="4">
        <f>K641+K653+K673+K720+K714</f>
        <v>50122.899999999994</v>
      </c>
    </row>
    <row r="641" spans="1:17" ht="47.25">
      <c r="A641" s="26" t="s">
        <v>468</v>
      </c>
      <c r="B641" s="42" t="s">
        <v>305</v>
      </c>
      <c r="C641" s="42" t="s">
        <v>256</v>
      </c>
      <c r="D641" s="21" t="s">
        <v>448</v>
      </c>
      <c r="E641" s="42"/>
      <c r="F641" s="7" t="e">
        <f aca="true" t="shared" si="207" ref="F641:K641">F642+F646</f>
        <v>#REF!</v>
      </c>
      <c r="G641" s="7" t="e">
        <f t="shared" si="207"/>
        <v>#REF!</v>
      </c>
      <c r="H641" s="7" t="e">
        <f t="shared" si="207"/>
        <v>#REF!</v>
      </c>
      <c r="I641" s="7" t="e">
        <f t="shared" si="207"/>
        <v>#REF!</v>
      </c>
      <c r="J641" s="7" t="e">
        <f t="shared" si="207"/>
        <v>#REF!</v>
      </c>
      <c r="K641" s="7">
        <f t="shared" si="207"/>
        <v>31457.399999999998</v>
      </c>
      <c r="L641" s="23"/>
      <c r="Q641" s="23"/>
    </row>
    <row r="642" spans="1:17" ht="31.5">
      <c r="A642" s="26" t="s">
        <v>449</v>
      </c>
      <c r="B642" s="42" t="s">
        <v>305</v>
      </c>
      <c r="C642" s="42" t="s">
        <v>256</v>
      </c>
      <c r="D642" s="21" t="s">
        <v>450</v>
      </c>
      <c r="E642" s="42"/>
      <c r="F642" s="7" t="e">
        <f>F643</f>
        <v>#REF!</v>
      </c>
      <c r="G642" s="7" t="e">
        <f aca="true" t="shared" si="208" ref="G642:K644">G643</f>
        <v>#REF!</v>
      </c>
      <c r="H642" s="7" t="e">
        <f t="shared" si="208"/>
        <v>#REF!</v>
      </c>
      <c r="I642" s="7" t="e">
        <f t="shared" si="208"/>
        <v>#REF!</v>
      </c>
      <c r="J642" s="7" t="e">
        <f t="shared" si="208"/>
        <v>#REF!</v>
      </c>
      <c r="K642" s="7">
        <f t="shared" si="208"/>
        <v>30768.399999999998</v>
      </c>
      <c r="L642" s="23"/>
      <c r="Q642" s="23"/>
    </row>
    <row r="643" spans="1:11" ht="47.25">
      <c r="A643" s="26" t="s">
        <v>311</v>
      </c>
      <c r="B643" s="42" t="s">
        <v>305</v>
      </c>
      <c r="C643" s="42" t="s">
        <v>256</v>
      </c>
      <c r="D643" s="21" t="s">
        <v>471</v>
      </c>
      <c r="E643" s="42"/>
      <c r="F643" s="7" t="e">
        <f>F644</f>
        <v>#REF!</v>
      </c>
      <c r="G643" s="7" t="e">
        <f t="shared" si="208"/>
        <v>#REF!</v>
      </c>
      <c r="H643" s="7" t="e">
        <f t="shared" si="208"/>
        <v>#REF!</v>
      </c>
      <c r="I643" s="7" t="e">
        <f t="shared" si="208"/>
        <v>#REF!</v>
      </c>
      <c r="J643" s="7" t="e">
        <f t="shared" si="208"/>
        <v>#REF!</v>
      </c>
      <c r="K643" s="7">
        <f t="shared" si="208"/>
        <v>30768.399999999998</v>
      </c>
    </row>
    <row r="644" spans="1:11" ht="47.25">
      <c r="A644" s="26" t="s">
        <v>313</v>
      </c>
      <c r="B644" s="42" t="s">
        <v>305</v>
      </c>
      <c r="C644" s="42" t="s">
        <v>256</v>
      </c>
      <c r="D644" s="21" t="s">
        <v>471</v>
      </c>
      <c r="E644" s="42" t="s">
        <v>314</v>
      </c>
      <c r="F644" s="7" t="e">
        <f>F645</f>
        <v>#REF!</v>
      </c>
      <c r="G644" s="7" t="e">
        <f t="shared" si="208"/>
        <v>#REF!</v>
      </c>
      <c r="H644" s="7" t="e">
        <f t="shared" si="208"/>
        <v>#REF!</v>
      </c>
      <c r="I644" s="7" t="e">
        <f t="shared" si="208"/>
        <v>#REF!</v>
      </c>
      <c r="J644" s="7" t="e">
        <f t="shared" si="208"/>
        <v>#REF!</v>
      </c>
      <c r="K644" s="7">
        <f t="shared" si="208"/>
        <v>30768.399999999998</v>
      </c>
    </row>
    <row r="645" spans="1:11" ht="15.75">
      <c r="A645" s="26" t="s">
        <v>315</v>
      </c>
      <c r="B645" s="42" t="s">
        <v>305</v>
      </c>
      <c r="C645" s="42" t="s">
        <v>256</v>
      </c>
      <c r="D645" s="21" t="s">
        <v>471</v>
      </c>
      <c r="E645" s="42" t="s">
        <v>316</v>
      </c>
      <c r="F645" s="7" t="e">
        <f>#REF!</f>
        <v>#REF!</v>
      </c>
      <c r="G645" s="7" t="e">
        <f>#REF!</f>
        <v>#REF!</v>
      </c>
      <c r="H645" s="7" t="e">
        <f>#REF!</f>
        <v>#REF!</v>
      </c>
      <c r="I645" s="7" t="e">
        <f>#REF!</f>
        <v>#REF!</v>
      </c>
      <c r="J645" s="7" t="e">
        <f>#REF!</f>
        <v>#REF!</v>
      </c>
      <c r="K645" s="7">
        <f>'Прил.№5 ведомств.'!G837</f>
        <v>30768.399999999998</v>
      </c>
    </row>
    <row r="646" spans="1:11" ht="31.5">
      <c r="A646" s="33" t="s">
        <v>773</v>
      </c>
      <c r="B646" s="42" t="s">
        <v>305</v>
      </c>
      <c r="C646" s="42" t="s">
        <v>256</v>
      </c>
      <c r="D646" s="21" t="s">
        <v>489</v>
      </c>
      <c r="E646" s="42"/>
      <c r="F646" s="7" t="e">
        <f aca="true" t="shared" si="209" ref="F646:K646">F647+F650</f>
        <v>#REF!</v>
      </c>
      <c r="G646" s="7" t="e">
        <f t="shared" si="209"/>
        <v>#REF!</v>
      </c>
      <c r="H646" s="7" t="e">
        <f t="shared" si="209"/>
        <v>#REF!</v>
      </c>
      <c r="I646" s="7" t="e">
        <f t="shared" si="209"/>
        <v>#REF!</v>
      </c>
      <c r="J646" s="7" t="e">
        <f t="shared" si="209"/>
        <v>#REF!</v>
      </c>
      <c r="K646" s="7">
        <f t="shared" si="209"/>
        <v>689</v>
      </c>
    </row>
    <row r="647" spans="1:11" ht="31.5" hidden="1">
      <c r="A647" s="47" t="s">
        <v>774</v>
      </c>
      <c r="B647" s="42" t="s">
        <v>305</v>
      </c>
      <c r="C647" s="42" t="s">
        <v>256</v>
      </c>
      <c r="D647" s="21" t="s">
        <v>775</v>
      </c>
      <c r="E647" s="42"/>
      <c r="F647" s="7" t="e">
        <f>F648</f>
        <v>#REF!</v>
      </c>
      <c r="G647" s="7" t="e">
        <f aca="true" t="shared" si="210" ref="G647:K648">G648</f>
        <v>#REF!</v>
      </c>
      <c r="H647" s="7" t="e">
        <f t="shared" si="210"/>
        <v>#REF!</v>
      </c>
      <c r="I647" s="7" t="e">
        <f t="shared" si="210"/>
        <v>#REF!</v>
      </c>
      <c r="J647" s="7" t="e">
        <f t="shared" si="210"/>
        <v>#REF!</v>
      </c>
      <c r="K647" s="7">
        <f t="shared" si="210"/>
        <v>0</v>
      </c>
    </row>
    <row r="648" spans="1:11" ht="47.25" hidden="1">
      <c r="A648" s="33" t="s">
        <v>313</v>
      </c>
      <c r="B648" s="42" t="s">
        <v>305</v>
      </c>
      <c r="C648" s="42" t="s">
        <v>256</v>
      </c>
      <c r="D648" s="21" t="s">
        <v>775</v>
      </c>
      <c r="E648" s="42" t="s">
        <v>314</v>
      </c>
      <c r="F648" s="7" t="e">
        <f>F649</f>
        <v>#REF!</v>
      </c>
      <c r="G648" s="7" t="e">
        <f t="shared" si="210"/>
        <v>#REF!</v>
      </c>
      <c r="H648" s="7" t="e">
        <f t="shared" si="210"/>
        <v>#REF!</v>
      </c>
      <c r="I648" s="7" t="e">
        <f t="shared" si="210"/>
        <v>#REF!</v>
      </c>
      <c r="J648" s="7" t="e">
        <f t="shared" si="210"/>
        <v>#REF!</v>
      </c>
      <c r="K648" s="7">
        <f t="shared" si="210"/>
        <v>0</v>
      </c>
    </row>
    <row r="649" spans="1:11" ht="15.75" hidden="1">
      <c r="A649" s="33" t="s">
        <v>315</v>
      </c>
      <c r="B649" s="42" t="s">
        <v>305</v>
      </c>
      <c r="C649" s="42" t="s">
        <v>256</v>
      </c>
      <c r="D649" s="21" t="s">
        <v>775</v>
      </c>
      <c r="E649" s="42" t="s">
        <v>316</v>
      </c>
      <c r="F649" s="7" t="e">
        <f>#REF!</f>
        <v>#REF!</v>
      </c>
      <c r="G649" s="7" t="e">
        <f>#REF!</f>
        <v>#REF!</v>
      </c>
      <c r="H649" s="7" t="e">
        <f>#REF!</f>
        <v>#REF!</v>
      </c>
      <c r="I649" s="7" t="e">
        <f>#REF!</f>
        <v>#REF!</v>
      </c>
      <c r="J649" s="7" t="e">
        <f>#REF!</f>
        <v>#REF!</v>
      </c>
      <c r="K649" s="7">
        <f>'Прил.№5 ведомств.'!G840</f>
        <v>0</v>
      </c>
    </row>
    <row r="650" spans="1:11" ht="31.5">
      <c r="A650" s="47" t="s">
        <v>842</v>
      </c>
      <c r="B650" s="42" t="s">
        <v>305</v>
      </c>
      <c r="C650" s="42" t="s">
        <v>256</v>
      </c>
      <c r="D650" s="21" t="s">
        <v>843</v>
      </c>
      <c r="E650" s="42"/>
      <c r="F650" s="7" t="e">
        <f>F651</f>
        <v>#REF!</v>
      </c>
      <c r="G650" s="7" t="e">
        <f aca="true" t="shared" si="211" ref="G650:K651">G651</f>
        <v>#REF!</v>
      </c>
      <c r="H650" s="7" t="e">
        <f t="shared" si="211"/>
        <v>#REF!</v>
      </c>
      <c r="I650" s="7" t="e">
        <f t="shared" si="211"/>
        <v>#REF!</v>
      </c>
      <c r="J650" s="7" t="e">
        <f t="shared" si="211"/>
        <v>#REF!</v>
      </c>
      <c r="K650" s="7">
        <f t="shared" si="211"/>
        <v>689</v>
      </c>
    </row>
    <row r="651" spans="1:11" ht="47.25">
      <c r="A651" s="33" t="s">
        <v>313</v>
      </c>
      <c r="B651" s="42" t="s">
        <v>305</v>
      </c>
      <c r="C651" s="42" t="s">
        <v>256</v>
      </c>
      <c r="D651" s="21" t="s">
        <v>843</v>
      </c>
      <c r="E651" s="42" t="s">
        <v>314</v>
      </c>
      <c r="F651" s="7" t="e">
        <f>F652</f>
        <v>#REF!</v>
      </c>
      <c r="G651" s="7" t="e">
        <f t="shared" si="211"/>
        <v>#REF!</v>
      </c>
      <c r="H651" s="7" t="e">
        <f t="shared" si="211"/>
        <v>#REF!</v>
      </c>
      <c r="I651" s="7" t="e">
        <f t="shared" si="211"/>
        <v>#REF!</v>
      </c>
      <c r="J651" s="7" t="e">
        <f t="shared" si="211"/>
        <v>#REF!</v>
      </c>
      <c r="K651" s="7">
        <f t="shared" si="211"/>
        <v>689</v>
      </c>
    </row>
    <row r="652" spans="1:11" ht="15.75">
      <c r="A652" s="33" t="s">
        <v>315</v>
      </c>
      <c r="B652" s="42" t="s">
        <v>305</v>
      </c>
      <c r="C652" s="42" t="s">
        <v>256</v>
      </c>
      <c r="D652" s="21" t="s">
        <v>843</v>
      </c>
      <c r="E652" s="42" t="s">
        <v>316</v>
      </c>
      <c r="F652" s="7" t="e">
        <f>#REF!</f>
        <v>#REF!</v>
      </c>
      <c r="G652" s="7" t="e">
        <f>#REF!</f>
        <v>#REF!</v>
      </c>
      <c r="H652" s="7" t="e">
        <f>#REF!</f>
        <v>#REF!</v>
      </c>
      <c r="I652" s="7" t="e">
        <f>#REF!</f>
        <v>#REF!</v>
      </c>
      <c r="J652" s="7" t="e">
        <f>#REF!</f>
        <v>#REF!</v>
      </c>
      <c r="K652" s="7">
        <f>'Прил.№5 ведомств.'!G844</f>
        <v>689</v>
      </c>
    </row>
    <row r="653" spans="1:11" ht="47.25" hidden="1">
      <c r="A653" s="26" t="s">
        <v>523</v>
      </c>
      <c r="B653" s="42" t="s">
        <v>305</v>
      </c>
      <c r="C653" s="42" t="s">
        <v>256</v>
      </c>
      <c r="D653" s="21" t="s">
        <v>524</v>
      </c>
      <c r="E653" s="42"/>
      <c r="F653" s="7" t="e">
        <f aca="true" t="shared" si="212" ref="F653:K653">F654</f>
        <v>#REF!</v>
      </c>
      <c r="G653" s="7" t="e">
        <f t="shared" si="212"/>
        <v>#REF!</v>
      </c>
      <c r="H653" s="7" t="e">
        <f t="shared" si="212"/>
        <v>#REF!</v>
      </c>
      <c r="I653" s="7" t="e">
        <f t="shared" si="212"/>
        <v>#REF!</v>
      </c>
      <c r="J653" s="7" t="e">
        <f t="shared" si="212"/>
        <v>#REF!</v>
      </c>
      <c r="K653" s="7">
        <f t="shared" si="212"/>
        <v>0</v>
      </c>
    </row>
    <row r="654" spans="1:11" ht="47.25" hidden="1">
      <c r="A654" s="26" t="s">
        <v>525</v>
      </c>
      <c r="B654" s="42" t="s">
        <v>305</v>
      </c>
      <c r="C654" s="42" t="s">
        <v>256</v>
      </c>
      <c r="D654" s="21" t="s">
        <v>526</v>
      </c>
      <c r="E654" s="42"/>
      <c r="F654" s="7" t="e">
        <f aca="true" t="shared" si="213" ref="F654:K654">F655+F664+F667+F670</f>
        <v>#REF!</v>
      </c>
      <c r="G654" s="7" t="e">
        <f t="shared" si="213"/>
        <v>#REF!</v>
      </c>
      <c r="H654" s="7" t="e">
        <f t="shared" si="213"/>
        <v>#REF!</v>
      </c>
      <c r="I654" s="7" t="e">
        <f t="shared" si="213"/>
        <v>#REF!</v>
      </c>
      <c r="J654" s="7" t="e">
        <f t="shared" si="213"/>
        <v>#REF!</v>
      </c>
      <c r="K654" s="7">
        <f t="shared" si="213"/>
        <v>0</v>
      </c>
    </row>
    <row r="655" spans="1:11" ht="47.25" hidden="1">
      <c r="A655" s="26" t="s">
        <v>311</v>
      </c>
      <c r="B655" s="42" t="s">
        <v>305</v>
      </c>
      <c r="C655" s="42" t="s">
        <v>256</v>
      </c>
      <c r="D655" s="21" t="s">
        <v>527</v>
      </c>
      <c r="E655" s="42"/>
      <c r="F655" s="7" t="e">
        <f>F656</f>
        <v>#REF!</v>
      </c>
      <c r="G655" s="7" t="e">
        <f aca="true" t="shared" si="214" ref="G655:K656">G656</f>
        <v>#REF!</v>
      </c>
      <c r="H655" s="7" t="e">
        <f t="shared" si="214"/>
        <v>#REF!</v>
      </c>
      <c r="I655" s="7" t="e">
        <f t="shared" si="214"/>
        <v>#REF!</v>
      </c>
      <c r="J655" s="7" t="e">
        <f t="shared" si="214"/>
        <v>#REF!</v>
      </c>
      <c r="K655" s="7">
        <f t="shared" si="214"/>
        <v>0</v>
      </c>
    </row>
    <row r="656" spans="1:11" ht="47.25" hidden="1">
      <c r="A656" s="26" t="s">
        <v>313</v>
      </c>
      <c r="B656" s="42" t="s">
        <v>305</v>
      </c>
      <c r="C656" s="42" t="s">
        <v>256</v>
      </c>
      <c r="D656" s="21" t="s">
        <v>527</v>
      </c>
      <c r="E656" s="42" t="s">
        <v>314</v>
      </c>
      <c r="F656" s="7" t="e">
        <f>F657</f>
        <v>#REF!</v>
      </c>
      <c r="G656" s="7" t="e">
        <f t="shared" si="214"/>
        <v>#REF!</v>
      </c>
      <c r="H656" s="7" t="e">
        <f t="shared" si="214"/>
        <v>#REF!</v>
      </c>
      <c r="I656" s="7" t="e">
        <f t="shared" si="214"/>
        <v>#REF!</v>
      </c>
      <c r="J656" s="7" t="e">
        <f t="shared" si="214"/>
        <v>#REF!</v>
      </c>
      <c r="K656" s="7">
        <f t="shared" si="214"/>
        <v>0</v>
      </c>
    </row>
    <row r="657" spans="1:11" ht="15.75" hidden="1">
      <c r="A657" s="26" t="s">
        <v>315</v>
      </c>
      <c r="B657" s="42" t="s">
        <v>305</v>
      </c>
      <c r="C657" s="42" t="s">
        <v>256</v>
      </c>
      <c r="D657" s="21" t="s">
        <v>527</v>
      </c>
      <c r="E657" s="42" t="s">
        <v>316</v>
      </c>
      <c r="F657" s="7" t="e">
        <f>#REF!</f>
        <v>#REF!</v>
      </c>
      <c r="G657" s="7" t="e">
        <f>#REF!</f>
        <v>#REF!</v>
      </c>
      <c r="H657" s="7" t="e">
        <f>#REF!</f>
        <v>#REF!</v>
      </c>
      <c r="I657" s="7" t="e">
        <f>#REF!</f>
        <v>#REF!</v>
      </c>
      <c r="J657" s="7" t="e">
        <f>#REF!</f>
        <v>#REF!</v>
      </c>
      <c r="K657" s="7">
        <f>'Прил.№5 ведомств.'!G913</f>
        <v>0</v>
      </c>
    </row>
    <row r="658" spans="1:11" ht="31.5" customHeight="1" hidden="1">
      <c r="A658" s="26" t="s">
        <v>319</v>
      </c>
      <c r="B658" s="42" t="s">
        <v>305</v>
      </c>
      <c r="C658" s="42" t="s">
        <v>256</v>
      </c>
      <c r="D658" s="21" t="s">
        <v>528</v>
      </c>
      <c r="E658" s="42"/>
      <c r="F658" s="7"/>
      <c r="G658" s="7"/>
      <c r="H658" s="7"/>
      <c r="I658" s="7"/>
      <c r="J658" s="7"/>
      <c r="K658" s="7"/>
    </row>
    <row r="659" spans="1:11" ht="47.25" customHeight="1" hidden="1">
      <c r="A659" s="26" t="s">
        <v>313</v>
      </c>
      <c r="B659" s="42" t="s">
        <v>305</v>
      </c>
      <c r="C659" s="42" t="s">
        <v>256</v>
      </c>
      <c r="D659" s="21" t="s">
        <v>528</v>
      </c>
      <c r="E659" s="42"/>
      <c r="F659" s="7"/>
      <c r="G659" s="7"/>
      <c r="H659" s="7"/>
      <c r="I659" s="7"/>
      <c r="J659" s="7"/>
      <c r="K659" s="7"/>
    </row>
    <row r="660" spans="1:11" ht="15.75" customHeight="1" hidden="1">
      <c r="A660" s="26" t="s">
        <v>315</v>
      </c>
      <c r="B660" s="42" t="s">
        <v>305</v>
      </c>
      <c r="C660" s="42" t="s">
        <v>256</v>
      </c>
      <c r="D660" s="21" t="s">
        <v>528</v>
      </c>
      <c r="E660" s="42"/>
      <c r="F660" s="7"/>
      <c r="G660" s="7"/>
      <c r="H660" s="7"/>
      <c r="I660" s="7"/>
      <c r="J660" s="7"/>
      <c r="K660" s="7"/>
    </row>
    <row r="661" spans="1:11" ht="31.5" customHeight="1" hidden="1">
      <c r="A661" s="26" t="s">
        <v>321</v>
      </c>
      <c r="B661" s="42" t="s">
        <v>305</v>
      </c>
      <c r="C661" s="42" t="s">
        <v>256</v>
      </c>
      <c r="D661" s="21" t="s">
        <v>529</v>
      </c>
      <c r="E661" s="42"/>
      <c r="F661" s="7"/>
      <c r="G661" s="7"/>
      <c r="H661" s="7"/>
      <c r="I661" s="7"/>
      <c r="J661" s="7"/>
      <c r="K661" s="7"/>
    </row>
    <row r="662" spans="1:11" ht="47.25" customHeight="1" hidden="1">
      <c r="A662" s="26" t="s">
        <v>313</v>
      </c>
      <c r="B662" s="42" t="s">
        <v>305</v>
      </c>
      <c r="C662" s="42" t="s">
        <v>256</v>
      </c>
      <c r="D662" s="21" t="s">
        <v>529</v>
      </c>
      <c r="E662" s="42"/>
      <c r="F662" s="7"/>
      <c r="G662" s="7"/>
      <c r="H662" s="7"/>
      <c r="I662" s="7"/>
      <c r="J662" s="7"/>
      <c r="K662" s="7"/>
    </row>
    <row r="663" spans="1:11" ht="15.75" customHeight="1" hidden="1">
      <c r="A663" s="26" t="s">
        <v>315</v>
      </c>
      <c r="B663" s="42" t="s">
        <v>305</v>
      </c>
      <c r="C663" s="42" t="s">
        <v>256</v>
      </c>
      <c r="D663" s="21" t="s">
        <v>529</v>
      </c>
      <c r="E663" s="42"/>
      <c r="F663" s="7"/>
      <c r="G663" s="7"/>
      <c r="H663" s="7"/>
      <c r="I663" s="7"/>
      <c r="J663" s="7"/>
      <c r="K663" s="7"/>
    </row>
    <row r="664" spans="1:11" ht="31.5" hidden="1">
      <c r="A664" s="26" t="s">
        <v>323</v>
      </c>
      <c r="B664" s="42" t="s">
        <v>305</v>
      </c>
      <c r="C664" s="42" t="s">
        <v>256</v>
      </c>
      <c r="D664" s="21" t="s">
        <v>530</v>
      </c>
      <c r="E664" s="42"/>
      <c r="F664" s="7" t="e">
        <f>F665</f>
        <v>#REF!</v>
      </c>
      <c r="G664" s="7" t="e">
        <f aca="true" t="shared" si="215" ref="G664:K665">G665</f>
        <v>#REF!</v>
      </c>
      <c r="H664" s="7" t="e">
        <f t="shared" si="215"/>
        <v>#REF!</v>
      </c>
      <c r="I664" s="7" t="e">
        <f t="shared" si="215"/>
        <v>#REF!</v>
      </c>
      <c r="J664" s="7" t="e">
        <f t="shared" si="215"/>
        <v>#REF!</v>
      </c>
      <c r="K664" s="7">
        <f t="shared" si="215"/>
        <v>0</v>
      </c>
    </row>
    <row r="665" spans="1:11" ht="47.25" hidden="1">
      <c r="A665" s="26" t="s">
        <v>313</v>
      </c>
      <c r="B665" s="42" t="s">
        <v>305</v>
      </c>
      <c r="C665" s="42" t="s">
        <v>256</v>
      </c>
      <c r="D665" s="21" t="s">
        <v>530</v>
      </c>
      <c r="E665" s="42" t="s">
        <v>314</v>
      </c>
      <c r="F665" s="7" t="e">
        <f>F666</f>
        <v>#REF!</v>
      </c>
      <c r="G665" s="7" t="e">
        <f t="shared" si="215"/>
        <v>#REF!</v>
      </c>
      <c r="H665" s="7" t="e">
        <f t="shared" si="215"/>
        <v>#REF!</v>
      </c>
      <c r="I665" s="7" t="e">
        <f t="shared" si="215"/>
        <v>#REF!</v>
      </c>
      <c r="J665" s="7" t="e">
        <f t="shared" si="215"/>
        <v>#REF!</v>
      </c>
      <c r="K665" s="7">
        <f t="shared" si="215"/>
        <v>0</v>
      </c>
    </row>
    <row r="666" spans="1:11" ht="15.75" hidden="1">
      <c r="A666" s="26" t="s">
        <v>315</v>
      </c>
      <c r="B666" s="42" t="s">
        <v>305</v>
      </c>
      <c r="C666" s="42" t="s">
        <v>256</v>
      </c>
      <c r="D666" s="21" t="s">
        <v>530</v>
      </c>
      <c r="E666" s="42" t="s">
        <v>316</v>
      </c>
      <c r="F666" s="7" t="e">
        <f>#REF!</f>
        <v>#REF!</v>
      </c>
      <c r="G666" s="7" t="e">
        <f>#REF!</f>
        <v>#REF!</v>
      </c>
      <c r="H666" s="7" t="e">
        <f>#REF!</f>
        <v>#REF!</v>
      </c>
      <c r="I666" s="7" t="e">
        <f>#REF!</f>
        <v>#REF!</v>
      </c>
      <c r="J666" s="7" t="e">
        <f>#REF!</f>
        <v>#REF!</v>
      </c>
      <c r="K666" s="7">
        <f>'Прил.№5 ведомств.'!G922</f>
        <v>0</v>
      </c>
    </row>
    <row r="667" spans="1:11" ht="31.5" hidden="1">
      <c r="A667" s="26" t="s">
        <v>325</v>
      </c>
      <c r="B667" s="42" t="s">
        <v>305</v>
      </c>
      <c r="C667" s="42" t="s">
        <v>256</v>
      </c>
      <c r="D667" s="21" t="s">
        <v>531</v>
      </c>
      <c r="E667" s="42"/>
      <c r="F667" s="7" t="e">
        <f>F668</f>
        <v>#REF!</v>
      </c>
      <c r="G667" s="7" t="e">
        <f aca="true" t="shared" si="216" ref="G667:K668">G668</f>
        <v>#REF!</v>
      </c>
      <c r="H667" s="7" t="e">
        <f t="shared" si="216"/>
        <v>#REF!</v>
      </c>
      <c r="I667" s="7" t="e">
        <f t="shared" si="216"/>
        <v>#REF!</v>
      </c>
      <c r="J667" s="7" t="e">
        <f t="shared" si="216"/>
        <v>#REF!</v>
      </c>
      <c r="K667" s="7">
        <f t="shared" si="216"/>
        <v>0</v>
      </c>
    </row>
    <row r="668" spans="1:11" ht="47.25" hidden="1">
      <c r="A668" s="26" t="s">
        <v>313</v>
      </c>
      <c r="B668" s="42" t="s">
        <v>305</v>
      </c>
      <c r="C668" s="42" t="s">
        <v>256</v>
      </c>
      <c r="D668" s="21" t="s">
        <v>531</v>
      </c>
      <c r="E668" s="42" t="s">
        <v>314</v>
      </c>
      <c r="F668" s="7" t="e">
        <f>F669</f>
        <v>#REF!</v>
      </c>
      <c r="G668" s="7" t="e">
        <f t="shared" si="216"/>
        <v>#REF!</v>
      </c>
      <c r="H668" s="7" t="e">
        <f t="shared" si="216"/>
        <v>#REF!</v>
      </c>
      <c r="I668" s="7" t="e">
        <f t="shared" si="216"/>
        <v>#REF!</v>
      </c>
      <c r="J668" s="7" t="e">
        <f t="shared" si="216"/>
        <v>#REF!</v>
      </c>
      <c r="K668" s="7">
        <f t="shared" si="216"/>
        <v>0</v>
      </c>
    </row>
    <row r="669" spans="1:11" ht="15.75" hidden="1">
      <c r="A669" s="26" t="s">
        <v>315</v>
      </c>
      <c r="B669" s="42" t="s">
        <v>305</v>
      </c>
      <c r="C669" s="42" t="s">
        <v>256</v>
      </c>
      <c r="D669" s="21" t="s">
        <v>531</v>
      </c>
      <c r="E669" s="42" t="s">
        <v>316</v>
      </c>
      <c r="F669" s="7" t="e">
        <f>#REF!</f>
        <v>#REF!</v>
      </c>
      <c r="G669" s="7" t="e">
        <f>#REF!</f>
        <v>#REF!</v>
      </c>
      <c r="H669" s="7" t="e">
        <f>#REF!</f>
        <v>#REF!</v>
      </c>
      <c r="I669" s="7" t="e">
        <f>#REF!</f>
        <v>#REF!</v>
      </c>
      <c r="J669" s="7" t="e">
        <f>#REF!</f>
        <v>#REF!</v>
      </c>
      <c r="K669" s="7">
        <f>'Прил.№5 ведомств.'!G925</f>
        <v>0</v>
      </c>
    </row>
    <row r="670" spans="1:11" ht="31.5" hidden="1">
      <c r="A670" s="47" t="s">
        <v>842</v>
      </c>
      <c r="B670" s="42" t="s">
        <v>305</v>
      </c>
      <c r="C670" s="42" t="s">
        <v>256</v>
      </c>
      <c r="D670" s="21" t="s">
        <v>849</v>
      </c>
      <c r="E670" s="42"/>
      <c r="F670" s="7" t="e">
        <f>F671</f>
        <v>#REF!</v>
      </c>
      <c r="G670" s="7" t="e">
        <f aca="true" t="shared" si="217" ref="G670:K671">G671</f>
        <v>#REF!</v>
      </c>
      <c r="H670" s="7" t="e">
        <f t="shared" si="217"/>
        <v>#REF!</v>
      </c>
      <c r="I670" s="7" t="e">
        <f t="shared" si="217"/>
        <v>#REF!</v>
      </c>
      <c r="J670" s="7" t="e">
        <f t="shared" si="217"/>
        <v>#REF!</v>
      </c>
      <c r="K670" s="7">
        <f t="shared" si="217"/>
        <v>0</v>
      </c>
    </row>
    <row r="671" spans="1:11" ht="47.25" hidden="1">
      <c r="A671" s="33" t="s">
        <v>313</v>
      </c>
      <c r="B671" s="42" t="s">
        <v>305</v>
      </c>
      <c r="C671" s="42" t="s">
        <v>256</v>
      </c>
      <c r="D671" s="21" t="s">
        <v>849</v>
      </c>
      <c r="E671" s="42" t="s">
        <v>314</v>
      </c>
      <c r="F671" s="7" t="e">
        <f>F672</f>
        <v>#REF!</v>
      </c>
      <c r="G671" s="7" t="e">
        <f t="shared" si="217"/>
        <v>#REF!</v>
      </c>
      <c r="H671" s="7" t="e">
        <f t="shared" si="217"/>
        <v>#REF!</v>
      </c>
      <c r="I671" s="7" t="e">
        <f t="shared" si="217"/>
        <v>#REF!</v>
      </c>
      <c r="J671" s="7" t="e">
        <f t="shared" si="217"/>
        <v>#REF!</v>
      </c>
      <c r="K671" s="7">
        <f t="shared" si="217"/>
        <v>0</v>
      </c>
    </row>
    <row r="672" spans="1:12" ht="15.75" hidden="1">
      <c r="A672" s="33" t="s">
        <v>315</v>
      </c>
      <c r="B672" s="42" t="s">
        <v>305</v>
      </c>
      <c r="C672" s="42" t="s">
        <v>256</v>
      </c>
      <c r="D672" s="21" t="s">
        <v>849</v>
      </c>
      <c r="E672" s="42" t="s">
        <v>316</v>
      </c>
      <c r="F672" s="7" t="e">
        <f>#REF!</f>
        <v>#REF!</v>
      </c>
      <c r="G672" s="7" t="e">
        <f>#REF!</f>
        <v>#REF!</v>
      </c>
      <c r="H672" s="7" t="e">
        <f>#REF!</f>
        <v>#REF!</v>
      </c>
      <c r="I672" s="7" t="e">
        <f>#REF!</f>
        <v>#REF!</v>
      </c>
      <c r="J672" s="7" t="e">
        <f>#REF!</f>
        <v>#REF!</v>
      </c>
      <c r="K672" s="7">
        <f>'Прил.№5 ведомств.'!G928</f>
        <v>0</v>
      </c>
      <c r="L672" s="23"/>
    </row>
    <row r="673" spans="1:11" ht="31.5">
      <c r="A673" s="26" t="s">
        <v>307</v>
      </c>
      <c r="B673" s="42" t="s">
        <v>305</v>
      </c>
      <c r="C673" s="42" t="s">
        <v>256</v>
      </c>
      <c r="D673" s="21" t="s">
        <v>308</v>
      </c>
      <c r="E673" s="42"/>
      <c r="F673" s="7" t="e">
        <f aca="true" t="shared" si="218" ref="F673:K673">F674</f>
        <v>#REF!</v>
      </c>
      <c r="G673" s="7" t="e">
        <f t="shared" si="218"/>
        <v>#REF!</v>
      </c>
      <c r="H673" s="7" t="e">
        <f t="shared" si="218"/>
        <v>#REF!</v>
      </c>
      <c r="I673" s="7" t="e">
        <f t="shared" si="218"/>
        <v>#REF!</v>
      </c>
      <c r="J673" s="7" t="e">
        <f t="shared" si="218"/>
        <v>#REF!</v>
      </c>
      <c r="K673" s="7">
        <f t="shared" si="218"/>
        <v>15654</v>
      </c>
    </row>
    <row r="674" spans="1:11" ht="47.25">
      <c r="A674" s="26" t="s">
        <v>309</v>
      </c>
      <c r="B674" s="42" t="s">
        <v>305</v>
      </c>
      <c r="C674" s="42" t="s">
        <v>256</v>
      </c>
      <c r="D674" s="21" t="s">
        <v>310</v>
      </c>
      <c r="E674" s="42"/>
      <c r="F674" s="7" t="e">
        <f>F675+F687+F690+F693+F696</f>
        <v>#REF!</v>
      </c>
      <c r="G674" s="7" t="e">
        <f>G675+G687+G690+G693+G696</f>
        <v>#REF!</v>
      </c>
      <c r="H674" s="7" t="e">
        <f>H675+H687+H690+H693+H696</f>
        <v>#REF!</v>
      </c>
      <c r="I674" s="7" t="e">
        <f>I675+I687+I690+I693+I696</f>
        <v>#REF!</v>
      </c>
      <c r="J674" s="7" t="e">
        <f>J675+J687+J690+J693+J696</f>
        <v>#REF!</v>
      </c>
      <c r="K674" s="7">
        <f>K675+K687+K690+K693+K696+K681+K699+K707+K702</f>
        <v>15654</v>
      </c>
    </row>
    <row r="675" spans="1:11" ht="47.25" hidden="1">
      <c r="A675" s="26" t="s">
        <v>311</v>
      </c>
      <c r="B675" s="42" t="s">
        <v>305</v>
      </c>
      <c r="C675" s="42" t="s">
        <v>256</v>
      </c>
      <c r="D675" s="21" t="s">
        <v>312</v>
      </c>
      <c r="E675" s="42"/>
      <c r="F675" s="7" t="e">
        <f>F676</f>
        <v>#REF!</v>
      </c>
      <c r="G675" s="7" t="e">
        <f aca="true" t="shared" si="219" ref="G675:K676">G676</f>
        <v>#REF!</v>
      </c>
      <c r="H675" s="7" t="e">
        <f t="shared" si="219"/>
        <v>#REF!</v>
      </c>
      <c r="I675" s="7" t="e">
        <f t="shared" si="219"/>
        <v>#REF!</v>
      </c>
      <c r="J675" s="7" t="e">
        <f t="shared" si="219"/>
        <v>#REF!</v>
      </c>
      <c r="K675" s="7">
        <f t="shared" si="219"/>
        <v>0</v>
      </c>
    </row>
    <row r="676" spans="1:11" ht="47.25" hidden="1">
      <c r="A676" s="26" t="s">
        <v>313</v>
      </c>
      <c r="B676" s="42" t="s">
        <v>305</v>
      </c>
      <c r="C676" s="42" t="s">
        <v>256</v>
      </c>
      <c r="D676" s="21" t="s">
        <v>312</v>
      </c>
      <c r="E676" s="42" t="s">
        <v>314</v>
      </c>
      <c r="F676" s="7" t="e">
        <f>F677</f>
        <v>#REF!</v>
      </c>
      <c r="G676" s="7" t="e">
        <f t="shared" si="219"/>
        <v>#REF!</v>
      </c>
      <c r="H676" s="7" t="e">
        <f t="shared" si="219"/>
        <v>#REF!</v>
      </c>
      <c r="I676" s="7" t="e">
        <f t="shared" si="219"/>
        <v>#REF!</v>
      </c>
      <c r="J676" s="7" t="e">
        <f t="shared" si="219"/>
        <v>#REF!</v>
      </c>
      <c r="K676" s="7">
        <f t="shared" si="219"/>
        <v>0</v>
      </c>
    </row>
    <row r="677" spans="1:11" ht="15.75" hidden="1">
      <c r="A677" s="26" t="s">
        <v>315</v>
      </c>
      <c r="B677" s="42" t="s">
        <v>305</v>
      </c>
      <c r="C677" s="42" t="s">
        <v>256</v>
      </c>
      <c r="D677" s="21" t="s">
        <v>312</v>
      </c>
      <c r="E677" s="42" t="s">
        <v>316</v>
      </c>
      <c r="F677" s="7" t="e">
        <f>#REF!</f>
        <v>#REF!</v>
      </c>
      <c r="G677" s="7" t="e">
        <f>#REF!</f>
        <v>#REF!</v>
      </c>
      <c r="H677" s="7" t="e">
        <f>#REF!</f>
        <v>#REF!</v>
      </c>
      <c r="I677" s="7" t="e">
        <f>#REF!</f>
        <v>#REF!</v>
      </c>
      <c r="J677" s="7" t="e">
        <f>#REF!</f>
        <v>#REF!</v>
      </c>
      <c r="K677" s="7">
        <f>'Прил.№5 ведомств.'!G311</f>
        <v>0</v>
      </c>
    </row>
    <row r="678" spans="1:11" ht="47.25" customHeight="1" hidden="1">
      <c r="A678" s="26" t="s">
        <v>317</v>
      </c>
      <c r="B678" s="42" t="s">
        <v>305</v>
      </c>
      <c r="C678" s="42" t="s">
        <v>256</v>
      </c>
      <c r="D678" s="21" t="s">
        <v>318</v>
      </c>
      <c r="E678" s="42"/>
      <c r="F678" s="7"/>
      <c r="G678" s="7"/>
      <c r="H678" s="7"/>
      <c r="I678" s="7"/>
      <c r="J678" s="7"/>
      <c r="K678" s="7"/>
    </row>
    <row r="679" spans="1:11" ht="47.25" customHeight="1" hidden="1">
      <c r="A679" s="26" t="s">
        <v>313</v>
      </c>
      <c r="B679" s="42" t="s">
        <v>305</v>
      </c>
      <c r="C679" s="42" t="s">
        <v>256</v>
      </c>
      <c r="D679" s="21" t="s">
        <v>318</v>
      </c>
      <c r="E679" s="42"/>
      <c r="F679" s="7"/>
      <c r="G679" s="7"/>
      <c r="H679" s="7"/>
      <c r="I679" s="7"/>
      <c r="J679" s="7"/>
      <c r="K679" s="7"/>
    </row>
    <row r="680" spans="1:11" ht="15.75" customHeight="1" hidden="1">
      <c r="A680" s="26" t="s">
        <v>315</v>
      </c>
      <c r="B680" s="42" t="s">
        <v>305</v>
      </c>
      <c r="C680" s="42" t="s">
        <v>256</v>
      </c>
      <c r="D680" s="21" t="s">
        <v>318</v>
      </c>
      <c r="E680" s="42"/>
      <c r="F680" s="7"/>
      <c r="G680" s="7"/>
      <c r="H680" s="7"/>
      <c r="I680" s="7"/>
      <c r="J680" s="7"/>
      <c r="K680" s="7"/>
    </row>
    <row r="681" spans="1:11" ht="31.5" customHeight="1" hidden="1">
      <c r="A681" s="26" t="s">
        <v>319</v>
      </c>
      <c r="B681" s="42" t="s">
        <v>305</v>
      </c>
      <c r="C681" s="42" t="s">
        <v>256</v>
      </c>
      <c r="D681" s="21" t="s">
        <v>320</v>
      </c>
      <c r="E681" s="42"/>
      <c r="F681" s="7"/>
      <c r="G681" s="7"/>
      <c r="H681" s="7"/>
      <c r="I681" s="7"/>
      <c r="J681" s="7"/>
      <c r="K681" s="7">
        <f>K682</f>
        <v>0</v>
      </c>
    </row>
    <row r="682" spans="1:11" ht="47.25" customHeight="1" hidden="1">
      <c r="A682" s="26" t="s">
        <v>313</v>
      </c>
      <c r="B682" s="42" t="s">
        <v>305</v>
      </c>
      <c r="C682" s="42" t="s">
        <v>256</v>
      </c>
      <c r="D682" s="21" t="s">
        <v>320</v>
      </c>
      <c r="E682" s="42"/>
      <c r="F682" s="7"/>
      <c r="G682" s="7"/>
      <c r="H682" s="7"/>
      <c r="I682" s="7"/>
      <c r="J682" s="7"/>
      <c r="K682" s="7">
        <f>K683</f>
        <v>0</v>
      </c>
    </row>
    <row r="683" spans="1:11" ht="15.75" customHeight="1" hidden="1">
      <c r="A683" s="26" t="s">
        <v>315</v>
      </c>
      <c r="B683" s="42" t="s">
        <v>305</v>
      </c>
      <c r="C683" s="42" t="s">
        <v>256</v>
      </c>
      <c r="D683" s="21" t="s">
        <v>320</v>
      </c>
      <c r="E683" s="42" t="s">
        <v>316</v>
      </c>
      <c r="F683" s="7"/>
      <c r="G683" s="7"/>
      <c r="H683" s="7"/>
      <c r="I683" s="7"/>
      <c r="J683" s="7"/>
      <c r="K683" s="7">
        <f>'Прил.№5 ведомств.'!G317</f>
        <v>0</v>
      </c>
    </row>
    <row r="684" spans="1:11" ht="31.5" customHeight="1" hidden="1">
      <c r="A684" s="26" t="s">
        <v>321</v>
      </c>
      <c r="B684" s="42" t="s">
        <v>305</v>
      </c>
      <c r="C684" s="42" t="s">
        <v>256</v>
      </c>
      <c r="D684" s="21" t="s">
        <v>322</v>
      </c>
      <c r="E684" s="42"/>
      <c r="F684" s="7"/>
      <c r="G684" s="7"/>
      <c r="H684" s="7"/>
      <c r="I684" s="7"/>
      <c r="J684" s="7"/>
      <c r="K684" s="7"/>
    </row>
    <row r="685" spans="1:11" ht="47.25" customHeight="1" hidden="1">
      <c r="A685" s="26" t="s">
        <v>313</v>
      </c>
      <c r="B685" s="42" t="s">
        <v>305</v>
      </c>
      <c r="C685" s="42" t="s">
        <v>256</v>
      </c>
      <c r="D685" s="21" t="s">
        <v>322</v>
      </c>
      <c r="E685" s="42"/>
      <c r="F685" s="7"/>
      <c r="G685" s="7"/>
      <c r="H685" s="7"/>
      <c r="I685" s="7"/>
      <c r="J685" s="7"/>
      <c r="K685" s="7"/>
    </row>
    <row r="686" spans="1:11" ht="15.75" customHeight="1" hidden="1">
      <c r="A686" s="26" t="s">
        <v>315</v>
      </c>
      <c r="B686" s="42" t="s">
        <v>305</v>
      </c>
      <c r="C686" s="42" t="s">
        <v>256</v>
      </c>
      <c r="D686" s="21" t="s">
        <v>322</v>
      </c>
      <c r="E686" s="42"/>
      <c r="F686" s="7"/>
      <c r="G686" s="7"/>
      <c r="H686" s="7"/>
      <c r="I686" s="7"/>
      <c r="J686" s="7"/>
      <c r="K686" s="7"/>
    </row>
    <row r="687" spans="1:11" ht="31.5" hidden="1">
      <c r="A687" s="26" t="s">
        <v>323</v>
      </c>
      <c r="B687" s="42" t="s">
        <v>305</v>
      </c>
      <c r="C687" s="42" t="s">
        <v>256</v>
      </c>
      <c r="D687" s="21" t="s">
        <v>324</v>
      </c>
      <c r="E687" s="42"/>
      <c r="F687" s="7" t="e">
        <f>F688</f>
        <v>#REF!</v>
      </c>
      <c r="G687" s="7" t="e">
        <f aca="true" t="shared" si="220" ref="G687:K688">G688</f>
        <v>#REF!</v>
      </c>
      <c r="H687" s="7" t="e">
        <f t="shared" si="220"/>
        <v>#REF!</v>
      </c>
      <c r="I687" s="7" t="e">
        <f t="shared" si="220"/>
        <v>#REF!</v>
      </c>
      <c r="J687" s="7" t="e">
        <f t="shared" si="220"/>
        <v>#REF!</v>
      </c>
      <c r="K687" s="7">
        <f t="shared" si="220"/>
        <v>0</v>
      </c>
    </row>
    <row r="688" spans="1:11" ht="47.25" hidden="1">
      <c r="A688" s="26" t="s">
        <v>313</v>
      </c>
      <c r="B688" s="42" t="s">
        <v>305</v>
      </c>
      <c r="C688" s="42" t="s">
        <v>256</v>
      </c>
      <c r="D688" s="21" t="s">
        <v>324</v>
      </c>
      <c r="E688" s="42" t="s">
        <v>314</v>
      </c>
      <c r="F688" s="7" t="e">
        <f>F689</f>
        <v>#REF!</v>
      </c>
      <c r="G688" s="7" t="e">
        <f t="shared" si="220"/>
        <v>#REF!</v>
      </c>
      <c r="H688" s="7" t="e">
        <f t="shared" si="220"/>
        <v>#REF!</v>
      </c>
      <c r="I688" s="7" t="e">
        <f t="shared" si="220"/>
        <v>#REF!</v>
      </c>
      <c r="J688" s="7" t="e">
        <f t="shared" si="220"/>
        <v>#REF!</v>
      </c>
      <c r="K688" s="7">
        <f t="shared" si="220"/>
        <v>0</v>
      </c>
    </row>
    <row r="689" spans="1:11" ht="15.75" hidden="1">
      <c r="A689" s="26" t="s">
        <v>315</v>
      </c>
      <c r="B689" s="42" t="s">
        <v>305</v>
      </c>
      <c r="C689" s="42" t="s">
        <v>256</v>
      </c>
      <c r="D689" s="21" t="s">
        <v>324</v>
      </c>
      <c r="E689" s="42" t="s">
        <v>316</v>
      </c>
      <c r="F689" s="7" t="e">
        <f>#REF!</f>
        <v>#REF!</v>
      </c>
      <c r="G689" s="7" t="e">
        <f>#REF!</f>
        <v>#REF!</v>
      </c>
      <c r="H689" s="7" t="e">
        <f>#REF!</f>
        <v>#REF!</v>
      </c>
      <c r="I689" s="7" t="e">
        <f>#REF!</f>
        <v>#REF!</v>
      </c>
      <c r="J689" s="7" t="e">
        <f>#REF!</f>
        <v>#REF!</v>
      </c>
      <c r="K689" s="7">
        <f>'Прил.№5 ведомств.'!G323</f>
        <v>0</v>
      </c>
    </row>
    <row r="690" spans="1:11" ht="31.5" customHeight="1" hidden="1">
      <c r="A690" s="26" t="s">
        <v>325</v>
      </c>
      <c r="B690" s="42" t="s">
        <v>305</v>
      </c>
      <c r="C690" s="42" t="s">
        <v>256</v>
      </c>
      <c r="D690" s="21" t="s">
        <v>326</v>
      </c>
      <c r="E690" s="42"/>
      <c r="F690" s="7" t="e">
        <f>F691</f>
        <v>#REF!</v>
      </c>
      <c r="G690" s="7" t="e">
        <f aca="true" t="shared" si="221" ref="G690:K691">G691</f>
        <v>#REF!</v>
      </c>
      <c r="H690" s="7" t="e">
        <f t="shared" si="221"/>
        <v>#REF!</v>
      </c>
      <c r="I690" s="7" t="e">
        <f t="shared" si="221"/>
        <v>#REF!</v>
      </c>
      <c r="J690" s="7" t="e">
        <f t="shared" si="221"/>
        <v>#REF!</v>
      </c>
      <c r="K690" s="7">
        <f t="shared" si="221"/>
        <v>0</v>
      </c>
    </row>
    <row r="691" spans="1:11" ht="47.25" customHeight="1" hidden="1">
      <c r="A691" s="26" t="s">
        <v>313</v>
      </c>
      <c r="B691" s="42" t="s">
        <v>305</v>
      </c>
      <c r="C691" s="42" t="s">
        <v>256</v>
      </c>
      <c r="D691" s="21" t="s">
        <v>327</v>
      </c>
      <c r="E691" s="42" t="s">
        <v>314</v>
      </c>
      <c r="F691" s="7" t="e">
        <f>F692</f>
        <v>#REF!</v>
      </c>
      <c r="G691" s="7" t="e">
        <f t="shared" si="221"/>
        <v>#REF!</v>
      </c>
      <c r="H691" s="7" t="e">
        <f t="shared" si="221"/>
        <v>#REF!</v>
      </c>
      <c r="I691" s="7" t="e">
        <f t="shared" si="221"/>
        <v>#REF!</v>
      </c>
      <c r="J691" s="7" t="e">
        <f t="shared" si="221"/>
        <v>#REF!</v>
      </c>
      <c r="K691" s="7">
        <f t="shared" si="221"/>
        <v>0</v>
      </c>
    </row>
    <row r="692" spans="1:11" ht="15.75" customHeight="1" hidden="1">
      <c r="A692" s="26" t="s">
        <v>315</v>
      </c>
      <c r="B692" s="42" t="s">
        <v>305</v>
      </c>
      <c r="C692" s="42" t="s">
        <v>256</v>
      </c>
      <c r="D692" s="21" t="s">
        <v>327</v>
      </c>
      <c r="E692" s="42" t="s">
        <v>316</v>
      </c>
      <c r="F692" s="7" t="e">
        <f>#REF!</f>
        <v>#REF!</v>
      </c>
      <c r="G692" s="7" t="e">
        <f>#REF!</f>
        <v>#REF!</v>
      </c>
      <c r="H692" s="7" t="e">
        <f>#REF!</f>
        <v>#REF!</v>
      </c>
      <c r="I692" s="7" t="e">
        <f>#REF!</f>
        <v>#REF!</v>
      </c>
      <c r="J692" s="7" t="e">
        <f>#REF!</f>
        <v>#REF!</v>
      </c>
      <c r="K692" s="7">
        <f>'Прил.№5 ведомств.'!G326</f>
        <v>0</v>
      </c>
    </row>
    <row r="693" spans="1:11" ht="31.5" customHeight="1" hidden="1">
      <c r="A693" s="26" t="s">
        <v>328</v>
      </c>
      <c r="B693" s="42" t="s">
        <v>305</v>
      </c>
      <c r="C693" s="42" t="s">
        <v>256</v>
      </c>
      <c r="D693" s="21" t="s">
        <v>329</v>
      </c>
      <c r="E693" s="42"/>
      <c r="F693" s="7" t="e">
        <f>F694</f>
        <v>#REF!</v>
      </c>
      <c r="G693" s="7" t="e">
        <f aca="true" t="shared" si="222" ref="G693:K694">G694</f>
        <v>#REF!</v>
      </c>
      <c r="H693" s="7" t="e">
        <f t="shared" si="222"/>
        <v>#REF!</v>
      </c>
      <c r="I693" s="7" t="e">
        <f t="shared" si="222"/>
        <v>#REF!</v>
      </c>
      <c r="J693" s="7" t="e">
        <f t="shared" si="222"/>
        <v>#REF!</v>
      </c>
      <c r="K693" s="7">
        <f t="shared" si="222"/>
        <v>0</v>
      </c>
    </row>
    <row r="694" spans="1:11" ht="47.25" customHeight="1" hidden="1">
      <c r="A694" s="26" t="s">
        <v>313</v>
      </c>
      <c r="B694" s="42" t="s">
        <v>305</v>
      </c>
      <c r="C694" s="42" t="s">
        <v>256</v>
      </c>
      <c r="D694" s="21" t="s">
        <v>329</v>
      </c>
      <c r="E694" s="42" t="s">
        <v>314</v>
      </c>
      <c r="F694" s="7" t="e">
        <f>F695</f>
        <v>#REF!</v>
      </c>
      <c r="G694" s="7" t="e">
        <f t="shared" si="222"/>
        <v>#REF!</v>
      </c>
      <c r="H694" s="7" t="e">
        <f t="shared" si="222"/>
        <v>#REF!</v>
      </c>
      <c r="I694" s="7" t="e">
        <f t="shared" si="222"/>
        <v>#REF!</v>
      </c>
      <c r="J694" s="7" t="e">
        <f t="shared" si="222"/>
        <v>#REF!</v>
      </c>
      <c r="K694" s="7">
        <f t="shared" si="222"/>
        <v>0</v>
      </c>
    </row>
    <row r="695" spans="1:11" ht="15.75" customHeight="1" hidden="1">
      <c r="A695" s="26" t="s">
        <v>315</v>
      </c>
      <c r="B695" s="42" t="s">
        <v>305</v>
      </c>
      <c r="C695" s="42" t="s">
        <v>256</v>
      </c>
      <c r="D695" s="21" t="s">
        <v>329</v>
      </c>
      <c r="E695" s="42" t="s">
        <v>316</v>
      </c>
      <c r="F695" s="7" t="e">
        <f>#REF!</f>
        <v>#REF!</v>
      </c>
      <c r="G695" s="7" t="e">
        <f>#REF!</f>
        <v>#REF!</v>
      </c>
      <c r="H695" s="7" t="e">
        <f>#REF!</f>
        <v>#REF!</v>
      </c>
      <c r="I695" s="7" t="e">
        <f>#REF!</f>
        <v>#REF!</v>
      </c>
      <c r="J695" s="7" t="e">
        <f>#REF!</f>
        <v>#REF!</v>
      </c>
      <c r="K695" s="7">
        <f>'Прил.№5 ведомств.'!G329</f>
        <v>0</v>
      </c>
    </row>
    <row r="696" spans="1:11" ht="15.75" customHeight="1" hidden="1">
      <c r="A696" s="47" t="s">
        <v>842</v>
      </c>
      <c r="B696" s="42" t="s">
        <v>305</v>
      </c>
      <c r="C696" s="42" t="s">
        <v>256</v>
      </c>
      <c r="D696" s="21" t="s">
        <v>848</v>
      </c>
      <c r="E696" s="42"/>
      <c r="F696" s="7" t="e">
        <f>F697</f>
        <v>#REF!</v>
      </c>
      <c r="G696" s="7" t="e">
        <f aca="true" t="shared" si="223" ref="G696:K697">G697</f>
        <v>#REF!</v>
      </c>
      <c r="H696" s="7" t="e">
        <f t="shared" si="223"/>
        <v>#REF!</v>
      </c>
      <c r="I696" s="7" t="e">
        <f t="shared" si="223"/>
        <v>#REF!</v>
      </c>
      <c r="J696" s="7" t="e">
        <f t="shared" si="223"/>
        <v>#REF!</v>
      </c>
      <c r="K696" s="7">
        <f t="shared" si="223"/>
        <v>0</v>
      </c>
    </row>
    <row r="697" spans="1:11" ht="15.75" customHeight="1" hidden="1">
      <c r="A697" s="33" t="s">
        <v>313</v>
      </c>
      <c r="B697" s="42" t="s">
        <v>305</v>
      </c>
      <c r="C697" s="42" t="s">
        <v>256</v>
      </c>
      <c r="D697" s="21" t="s">
        <v>848</v>
      </c>
      <c r="E697" s="42" t="s">
        <v>314</v>
      </c>
      <c r="F697" s="7" t="e">
        <f>F698</f>
        <v>#REF!</v>
      </c>
      <c r="G697" s="7" t="e">
        <f t="shared" si="223"/>
        <v>#REF!</v>
      </c>
      <c r="H697" s="7" t="e">
        <f t="shared" si="223"/>
        <v>#REF!</v>
      </c>
      <c r="I697" s="7" t="e">
        <f t="shared" si="223"/>
        <v>#REF!</v>
      </c>
      <c r="J697" s="7" t="e">
        <f t="shared" si="223"/>
        <v>#REF!</v>
      </c>
      <c r="K697" s="7">
        <f t="shared" si="223"/>
        <v>0</v>
      </c>
    </row>
    <row r="698" spans="1:11" ht="15.75" customHeight="1" hidden="1">
      <c r="A698" s="33" t="s">
        <v>315</v>
      </c>
      <c r="B698" s="42" t="s">
        <v>305</v>
      </c>
      <c r="C698" s="42" t="s">
        <v>256</v>
      </c>
      <c r="D698" s="21" t="s">
        <v>848</v>
      </c>
      <c r="E698" s="42" t="s">
        <v>316</v>
      </c>
      <c r="F698" s="7" t="e">
        <f>#REF!</f>
        <v>#REF!</v>
      </c>
      <c r="G698" s="7" t="e">
        <f>#REF!</f>
        <v>#REF!</v>
      </c>
      <c r="H698" s="7" t="e">
        <f>#REF!</f>
        <v>#REF!</v>
      </c>
      <c r="I698" s="7" t="e">
        <f>#REF!</f>
        <v>#REF!</v>
      </c>
      <c r="J698" s="7" t="e">
        <f>#REF!</f>
        <v>#REF!</v>
      </c>
      <c r="K698" s="7">
        <f>'Прил.№5 ведомств.'!G332</f>
        <v>0</v>
      </c>
    </row>
    <row r="699" spans="1:11" ht="33" customHeight="1">
      <c r="A699" s="119" t="s">
        <v>988</v>
      </c>
      <c r="B699" s="21" t="s">
        <v>305</v>
      </c>
      <c r="C699" s="21" t="s">
        <v>256</v>
      </c>
      <c r="D699" s="21" t="s">
        <v>989</v>
      </c>
      <c r="E699" s="21"/>
      <c r="F699" s="7"/>
      <c r="G699" s="7"/>
      <c r="H699" s="7"/>
      <c r="I699" s="7"/>
      <c r="J699" s="7"/>
      <c r="K699" s="7">
        <f>K700</f>
        <v>45</v>
      </c>
    </row>
    <row r="700" spans="1:11" ht="30" customHeight="1">
      <c r="A700" s="26" t="s">
        <v>289</v>
      </c>
      <c r="B700" s="21" t="s">
        <v>305</v>
      </c>
      <c r="C700" s="21" t="s">
        <v>256</v>
      </c>
      <c r="D700" s="21" t="s">
        <v>989</v>
      </c>
      <c r="E700" s="21" t="s">
        <v>290</v>
      </c>
      <c r="F700" s="7"/>
      <c r="G700" s="7"/>
      <c r="H700" s="7"/>
      <c r="I700" s="7"/>
      <c r="J700" s="7"/>
      <c r="K700" s="7">
        <f>K701</f>
        <v>45</v>
      </c>
    </row>
    <row r="701" spans="1:11" ht="15.75">
      <c r="A701" s="26" t="s">
        <v>1056</v>
      </c>
      <c r="B701" s="21" t="s">
        <v>305</v>
      </c>
      <c r="C701" s="21" t="s">
        <v>256</v>
      </c>
      <c r="D701" s="21" t="s">
        <v>989</v>
      </c>
      <c r="E701" s="21" t="s">
        <v>1055</v>
      </c>
      <c r="F701" s="7"/>
      <c r="G701" s="7"/>
      <c r="H701" s="7"/>
      <c r="I701" s="7"/>
      <c r="J701" s="7"/>
      <c r="K701" s="7">
        <f>'Прил.№5 ведомств.'!G308</f>
        <v>45</v>
      </c>
    </row>
    <row r="702" spans="1:11" ht="33" customHeight="1">
      <c r="A702" s="33" t="s">
        <v>1041</v>
      </c>
      <c r="B702" s="21" t="s">
        <v>305</v>
      </c>
      <c r="C702" s="21" t="s">
        <v>256</v>
      </c>
      <c r="D702" s="21" t="s">
        <v>1040</v>
      </c>
      <c r="E702" s="21"/>
      <c r="F702" s="7"/>
      <c r="G702" s="7"/>
      <c r="H702" s="7"/>
      <c r="I702" s="7"/>
      <c r="J702" s="7"/>
      <c r="K702" s="7">
        <f>K705+K703</f>
        <v>264.6</v>
      </c>
    </row>
    <row r="703" spans="1:11" ht="78.75">
      <c r="A703" s="26" t="s">
        <v>168</v>
      </c>
      <c r="B703" s="21" t="s">
        <v>305</v>
      </c>
      <c r="C703" s="21" t="s">
        <v>256</v>
      </c>
      <c r="D703" s="21" t="s">
        <v>1040</v>
      </c>
      <c r="E703" s="21" t="s">
        <v>169</v>
      </c>
      <c r="F703" s="7"/>
      <c r="G703" s="7"/>
      <c r="H703" s="7"/>
      <c r="I703" s="7"/>
      <c r="J703" s="7"/>
      <c r="K703" s="7">
        <f>K704</f>
        <v>264.6</v>
      </c>
    </row>
    <row r="704" spans="1:11" ht="31.5">
      <c r="A704" s="47" t="s">
        <v>383</v>
      </c>
      <c r="B704" s="21" t="s">
        <v>305</v>
      </c>
      <c r="C704" s="21" t="s">
        <v>256</v>
      </c>
      <c r="D704" s="21" t="s">
        <v>1040</v>
      </c>
      <c r="E704" s="21" t="s">
        <v>250</v>
      </c>
      <c r="F704" s="7"/>
      <c r="G704" s="7"/>
      <c r="H704" s="7"/>
      <c r="I704" s="7"/>
      <c r="J704" s="7"/>
      <c r="K704" s="7">
        <f>'Прил.№5 ведомств.'!G335</f>
        <v>264.6</v>
      </c>
    </row>
    <row r="705" spans="1:11" ht="33" customHeight="1" hidden="1">
      <c r="A705" s="26" t="s">
        <v>172</v>
      </c>
      <c r="B705" s="21" t="s">
        <v>305</v>
      </c>
      <c r="C705" s="21" t="s">
        <v>256</v>
      </c>
      <c r="D705" s="21" t="s">
        <v>1040</v>
      </c>
      <c r="E705" s="21" t="s">
        <v>173</v>
      </c>
      <c r="F705" s="7"/>
      <c r="G705" s="7"/>
      <c r="H705" s="7"/>
      <c r="I705" s="7"/>
      <c r="J705" s="7"/>
      <c r="K705" s="7">
        <f>K706</f>
        <v>0</v>
      </c>
    </row>
    <row r="706" spans="1:11" ht="50.25" customHeight="1" hidden="1">
      <c r="A706" s="26" t="s">
        <v>174</v>
      </c>
      <c r="B706" s="21" t="s">
        <v>305</v>
      </c>
      <c r="C706" s="21" t="s">
        <v>256</v>
      </c>
      <c r="D706" s="21" t="s">
        <v>1040</v>
      </c>
      <c r="E706" s="21" t="s">
        <v>175</v>
      </c>
      <c r="F706" s="7"/>
      <c r="G706" s="7"/>
      <c r="H706" s="7"/>
      <c r="I706" s="7"/>
      <c r="J706" s="7"/>
      <c r="K706" s="7">
        <f>'Прил.№5 ведомств.'!G337</f>
        <v>0</v>
      </c>
    </row>
    <row r="707" spans="1:11" ht="18" customHeight="1">
      <c r="A707" s="26" t="s">
        <v>990</v>
      </c>
      <c r="B707" s="21" t="s">
        <v>305</v>
      </c>
      <c r="C707" s="21" t="s">
        <v>256</v>
      </c>
      <c r="D707" s="21" t="s">
        <v>991</v>
      </c>
      <c r="E707" s="42"/>
      <c r="F707" s="7"/>
      <c r="G707" s="7"/>
      <c r="H707" s="7"/>
      <c r="I707" s="7"/>
      <c r="J707" s="7"/>
      <c r="K707" s="7">
        <f>K708+K710+K712</f>
        <v>15344.4</v>
      </c>
    </row>
    <row r="708" spans="1:11" ht="79.5" customHeight="1">
      <c r="A708" s="26" t="s">
        <v>168</v>
      </c>
      <c r="B708" s="21" t="s">
        <v>305</v>
      </c>
      <c r="C708" s="21" t="s">
        <v>256</v>
      </c>
      <c r="D708" s="21" t="s">
        <v>991</v>
      </c>
      <c r="E708" s="21" t="s">
        <v>169</v>
      </c>
      <c r="F708" s="7"/>
      <c r="G708" s="7"/>
      <c r="H708" s="7"/>
      <c r="I708" s="7"/>
      <c r="J708" s="7"/>
      <c r="K708" s="7">
        <f>K709</f>
        <v>13065.1</v>
      </c>
    </row>
    <row r="709" spans="1:11" ht="30.75" customHeight="1">
      <c r="A709" s="47" t="s">
        <v>383</v>
      </c>
      <c r="B709" s="21" t="s">
        <v>305</v>
      </c>
      <c r="C709" s="21" t="s">
        <v>256</v>
      </c>
      <c r="D709" s="21" t="s">
        <v>991</v>
      </c>
      <c r="E709" s="21" t="s">
        <v>250</v>
      </c>
      <c r="F709" s="7"/>
      <c r="G709" s="7"/>
      <c r="H709" s="7"/>
      <c r="I709" s="7"/>
      <c r="J709" s="7"/>
      <c r="K709" s="7">
        <f>'Прил.№5 ведомств.'!G340</f>
        <v>13065.1</v>
      </c>
    </row>
    <row r="710" spans="1:11" ht="33.75" customHeight="1">
      <c r="A710" s="26" t="s">
        <v>172</v>
      </c>
      <c r="B710" s="21" t="s">
        <v>305</v>
      </c>
      <c r="C710" s="21" t="s">
        <v>256</v>
      </c>
      <c r="D710" s="21" t="s">
        <v>991</v>
      </c>
      <c r="E710" s="21" t="s">
        <v>173</v>
      </c>
      <c r="F710" s="7"/>
      <c r="G710" s="7"/>
      <c r="H710" s="7"/>
      <c r="I710" s="7"/>
      <c r="J710" s="7"/>
      <c r="K710" s="7">
        <f>K711</f>
        <v>2200.7</v>
      </c>
    </row>
    <row r="711" spans="1:11" ht="46.5" customHeight="1">
      <c r="A711" s="26" t="s">
        <v>174</v>
      </c>
      <c r="B711" s="21" t="s">
        <v>305</v>
      </c>
      <c r="C711" s="21" t="s">
        <v>256</v>
      </c>
      <c r="D711" s="21" t="s">
        <v>991</v>
      </c>
      <c r="E711" s="21" t="s">
        <v>175</v>
      </c>
      <c r="F711" s="7"/>
      <c r="G711" s="7"/>
      <c r="H711" s="7"/>
      <c r="I711" s="7"/>
      <c r="J711" s="7"/>
      <c r="K711" s="7">
        <f>'Прил.№5 ведомств.'!G342</f>
        <v>2200.7</v>
      </c>
    </row>
    <row r="712" spans="1:11" ht="15.75" customHeight="1" hidden="1">
      <c r="A712" s="26" t="s">
        <v>176</v>
      </c>
      <c r="B712" s="21" t="s">
        <v>305</v>
      </c>
      <c r="C712" s="21" t="s">
        <v>256</v>
      </c>
      <c r="D712" s="21" t="s">
        <v>991</v>
      </c>
      <c r="E712" s="21" t="s">
        <v>186</v>
      </c>
      <c r="F712" s="7"/>
      <c r="G712" s="7"/>
      <c r="H712" s="7"/>
      <c r="I712" s="7"/>
      <c r="J712" s="7"/>
      <c r="K712" s="7">
        <f>K713</f>
        <v>78.6</v>
      </c>
    </row>
    <row r="713" spans="1:11" ht="15.75" customHeight="1" hidden="1">
      <c r="A713" s="26" t="s">
        <v>779</v>
      </c>
      <c r="B713" s="21" t="s">
        <v>305</v>
      </c>
      <c r="C713" s="21" t="s">
        <v>256</v>
      </c>
      <c r="D713" s="21" t="s">
        <v>991</v>
      </c>
      <c r="E713" s="21" t="s">
        <v>179</v>
      </c>
      <c r="F713" s="7"/>
      <c r="G713" s="7"/>
      <c r="H713" s="7"/>
      <c r="I713" s="7"/>
      <c r="J713" s="7"/>
      <c r="K713" s="7">
        <f>'Прил.№5 ведомств.'!G344</f>
        <v>78.6</v>
      </c>
    </row>
    <row r="714" spans="1:11" ht="60.75" customHeight="1">
      <c r="A714" s="31" t="s">
        <v>782</v>
      </c>
      <c r="B714" s="21" t="s">
        <v>305</v>
      </c>
      <c r="C714" s="21" t="s">
        <v>256</v>
      </c>
      <c r="D714" s="21" t="s">
        <v>780</v>
      </c>
      <c r="E714" s="25"/>
      <c r="F714" s="7"/>
      <c r="G714" s="7"/>
      <c r="H714" s="7"/>
      <c r="I714" s="7"/>
      <c r="J714" s="7"/>
      <c r="K714" s="7">
        <f>K715+K718</f>
        <v>521.7</v>
      </c>
    </row>
    <row r="715" spans="1:11" ht="36.75" customHeight="1">
      <c r="A715" s="243" t="s">
        <v>914</v>
      </c>
      <c r="B715" s="21" t="s">
        <v>305</v>
      </c>
      <c r="C715" s="21" t="s">
        <v>256</v>
      </c>
      <c r="D715" s="21" t="s">
        <v>915</v>
      </c>
      <c r="E715" s="34"/>
      <c r="F715" s="7"/>
      <c r="G715" s="7"/>
      <c r="H715" s="7"/>
      <c r="I715" s="7"/>
      <c r="J715" s="7"/>
      <c r="K715" s="7">
        <f>K716</f>
        <v>221</v>
      </c>
    </row>
    <row r="716" spans="1:11" ht="38.25" customHeight="1">
      <c r="A716" s="26" t="s">
        <v>172</v>
      </c>
      <c r="B716" s="21" t="s">
        <v>305</v>
      </c>
      <c r="C716" s="21" t="s">
        <v>256</v>
      </c>
      <c r="D716" s="21" t="s">
        <v>915</v>
      </c>
      <c r="E716" s="34" t="s">
        <v>173</v>
      </c>
      <c r="F716" s="7"/>
      <c r="G716" s="7"/>
      <c r="H716" s="7"/>
      <c r="I716" s="7"/>
      <c r="J716" s="7"/>
      <c r="K716" s="7">
        <f>K717</f>
        <v>221</v>
      </c>
    </row>
    <row r="717" spans="1:11" ht="47.25" customHeight="1">
      <c r="A717" s="26" t="s">
        <v>174</v>
      </c>
      <c r="B717" s="21" t="s">
        <v>305</v>
      </c>
      <c r="C717" s="21" t="s">
        <v>256</v>
      </c>
      <c r="D717" s="21" t="s">
        <v>915</v>
      </c>
      <c r="E717" s="34" t="s">
        <v>175</v>
      </c>
      <c r="F717" s="7"/>
      <c r="G717" s="7"/>
      <c r="H717" s="7"/>
      <c r="I717" s="7"/>
      <c r="J717" s="7"/>
      <c r="K717" s="7">
        <f>'Прил.№5 ведомств.'!G348</f>
        <v>221</v>
      </c>
    </row>
    <row r="718" spans="1:11" ht="43.5" customHeight="1">
      <c r="A718" s="26" t="s">
        <v>313</v>
      </c>
      <c r="B718" s="21" t="s">
        <v>305</v>
      </c>
      <c r="C718" s="21" t="s">
        <v>256</v>
      </c>
      <c r="D718" s="21" t="s">
        <v>915</v>
      </c>
      <c r="E718" s="34" t="s">
        <v>314</v>
      </c>
      <c r="F718" s="7"/>
      <c r="G718" s="7"/>
      <c r="H718" s="7"/>
      <c r="I718" s="7"/>
      <c r="J718" s="7"/>
      <c r="K718" s="7">
        <f>K719</f>
        <v>300.7</v>
      </c>
    </row>
    <row r="719" spans="1:11" ht="15.75" customHeight="1">
      <c r="A719" s="26" t="s">
        <v>315</v>
      </c>
      <c r="B719" s="21" t="s">
        <v>305</v>
      </c>
      <c r="C719" s="21" t="s">
        <v>256</v>
      </c>
      <c r="D719" s="21" t="s">
        <v>915</v>
      </c>
      <c r="E719" s="34" t="s">
        <v>316</v>
      </c>
      <c r="F719" s="7"/>
      <c r="G719" s="7"/>
      <c r="H719" s="7"/>
      <c r="I719" s="7"/>
      <c r="J719" s="7"/>
      <c r="K719" s="7">
        <f>'Прил.№5 ведомств.'!G932+'Прил.№5 ведомств.'!G848</f>
        <v>300.7</v>
      </c>
    </row>
    <row r="720" spans="1:11" ht="15.75">
      <c r="A720" s="26" t="s">
        <v>162</v>
      </c>
      <c r="B720" s="42" t="s">
        <v>305</v>
      </c>
      <c r="C720" s="42" t="s">
        <v>256</v>
      </c>
      <c r="D720" s="21" t="s">
        <v>163</v>
      </c>
      <c r="E720" s="42"/>
      <c r="F720" s="7" t="e">
        <f aca="true" t="shared" si="224" ref="F720:K720">F721</f>
        <v>#REF!</v>
      </c>
      <c r="G720" s="7" t="e">
        <f t="shared" si="224"/>
        <v>#REF!</v>
      </c>
      <c r="H720" s="7" t="e">
        <f t="shared" si="224"/>
        <v>#REF!</v>
      </c>
      <c r="I720" s="7" t="e">
        <f t="shared" si="224"/>
        <v>#REF!</v>
      </c>
      <c r="J720" s="7" t="e">
        <f t="shared" si="224"/>
        <v>#REF!</v>
      </c>
      <c r="K720" s="7">
        <f t="shared" si="224"/>
        <v>2489.8</v>
      </c>
    </row>
    <row r="721" spans="1:11" ht="31.5">
      <c r="A721" s="26" t="s">
        <v>226</v>
      </c>
      <c r="B721" s="42" t="s">
        <v>305</v>
      </c>
      <c r="C721" s="42" t="s">
        <v>256</v>
      </c>
      <c r="D721" s="21" t="s">
        <v>227</v>
      </c>
      <c r="E721" s="42"/>
      <c r="F721" s="7" t="e">
        <f aca="true" t="shared" si="225" ref="F721:K721">F722+F727+F732</f>
        <v>#REF!</v>
      </c>
      <c r="G721" s="7" t="e">
        <f t="shared" si="225"/>
        <v>#REF!</v>
      </c>
      <c r="H721" s="7" t="e">
        <f t="shared" si="225"/>
        <v>#REF!</v>
      </c>
      <c r="I721" s="7" t="e">
        <f t="shared" si="225"/>
        <v>#REF!</v>
      </c>
      <c r="J721" s="7" t="e">
        <f t="shared" si="225"/>
        <v>#REF!</v>
      </c>
      <c r="K721" s="7">
        <f t="shared" si="225"/>
        <v>2489.8</v>
      </c>
    </row>
    <row r="722" spans="1:11" ht="63">
      <c r="A722" s="33" t="s">
        <v>330</v>
      </c>
      <c r="B722" s="42" t="s">
        <v>305</v>
      </c>
      <c r="C722" s="42" t="s">
        <v>256</v>
      </c>
      <c r="D722" s="21" t="s">
        <v>331</v>
      </c>
      <c r="E722" s="42"/>
      <c r="F722" s="7" t="e">
        <f>F725</f>
        <v>#REF!</v>
      </c>
      <c r="G722" s="7" t="e">
        <f>G725</f>
        <v>#REF!</v>
      </c>
      <c r="H722" s="7" t="e">
        <f>H725</f>
        <v>#REF!</v>
      </c>
      <c r="I722" s="7" t="e">
        <f>I725</f>
        <v>#REF!</v>
      </c>
      <c r="J722" s="7" t="e">
        <f>J725</f>
        <v>#REF!</v>
      </c>
      <c r="K722" s="7">
        <f>K725+K723</f>
        <v>175.5</v>
      </c>
    </row>
    <row r="723" spans="1:11" ht="78.75">
      <c r="A723" s="26" t="s">
        <v>168</v>
      </c>
      <c r="B723" s="42" t="s">
        <v>305</v>
      </c>
      <c r="C723" s="42" t="s">
        <v>256</v>
      </c>
      <c r="D723" s="21" t="s">
        <v>331</v>
      </c>
      <c r="E723" s="42" t="s">
        <v>169</v>
      </c>
      <c r="F723" s="7"/>
      <c r="G723" s="7"/>
      <c r="H723" s="7"/>
      <c r="I723" s="7"/>
      <c r="J723" s="7"/>
      <c r="K723" s="7">
        <f>K724</f>
        <v>65.5</v>
      </c>
    </row>
    <row r="724" spans="1:11" ht="31.5">
      <c r="A724" s="47" t="s">
        <v>383</v>
      </c>
      <c r="B724" s="42" t="s">
        <v>305</v>
      </c>
      <c r="C724" s="42" t="s">
        <v>256</v>
      </c>
      <c r="D724" s="21" t="s">
        <v>331</v>
      </c>
      <c r="E724" s="42" t="s">
        <v>250</v>
      </c>
      <c r="F724" s="7"/>
      <c r="G724" s="7"/>
      <c r="H724" s="7"/>
      <c r="I724" s="7"/>
      <c r="J724" s="7"/>
      <c r="K724" s="7">
        <f>'Прил.№5 ведомств.'!G353</f>
        <v>65.5</v>
      </c>
    </row>
    <row r="725" spans="1:11" ht="47.25">
      <c r="A725" s="26" t="s">
        <v>313</v>
      </c>
      <c r="B725" s="42" t="s">
        <v>305</v>
      </c>
      <c r="C725" s="42" t="s">
        <v>256</v>
      </c>
      <c r="D725" s="21" t="s">
        <v>331</v>
      </c>
      <c r="E725" s="42" t="s">
        <v>314</v>
      </c>
      <c r="F725" s="7" t="e">
        <f aca="true" t="shared" si="226" ref="F725:K725">F726</f>
        <v>#REF!</v>
      </c>
      <c r="G725" s="7" t="e">
        <f t="shared" si="226"/>
        <v>#REF!</v>
      </c>
      <c r="H725" s="7" t="e">
        <f t="shared" si="226"/>
        <v>#REF!</v>
      </c>
      <c r="I725" s="7" t="e">
        <f t="shared" si="226"/>
        <v>#REF!</v>
      </c>
      <c r="J725" s="7" t="e">
        <f t="shared" si="226"/>
        <v>#REF!</v>
      </c>
      <c r="K725" s="7">
        <f t="shared" si="226"/>
        <v>110</v>
      </c>
    </row>
    <row r="726" spans="1:11" ht="15.75">
      <c r="A726" s="26" t="s">
        <v>315</v>
      </c>
      <c r="B726" s="42" t="s">
        <v>305</v>
      </c>
      <c r="C726" s="42" t="s">
        <v>256</v>
      </c>
      <c r="D726" s="21" t="s">
        <v>331</v>
      </c>
      <c r="E726" s="42" t="s">
        <v>316</v>
      </c>
      <c r="F726" s="7" t="e">
        <f>#REF!+#REF!+#REF!</f>
        <v>#REF!</v>
      </c>
      <c r="G726" s="7" t="e">
        <f>#REF!+#REF!+#REF!</f>
        <v>#REF!</v>
      </c>
      <c r="H726" s="7" t="e">
        <f>#REF!+#REF!+#REF!</f>
        <v>#REF!</v>
      </c>
      <c r="I726" s="7" t="e">
        <f>#REF!+#REF!+#REF!</f>
        <v>#REF!</v>
      </c>
      <c r="J726" s="7" t="e">
        <f>#REF!+#REF!+#REF!</f>
        <v>#REF!</v>
      </c>
      <c r="K726" s="7">
        <f>'Прил.№5 ведомств.'!G853+'Прил.№5 ведомств.'!G937</f>
        <v>110</v>
      </c>
    </row>
    <row r="727" spans="1:11" ht="63">
      <c r="A727" s="33" t="s">
        <v>332</v>
      </c>
      <c r="B727" s="42" t="s">
        <v>305</v>
      </c>
      <c r="C727" s="42" t="s">
        <v>256</v>
      </c>
      <c r="D727" s="21" t="s">
        <v>333</v>
      </c>
      <c r="E727" s="42"/>
      <c r="F727" s="7" t="e">
        <f>F730</f>
        <v>#REF!</v>
      </c>
      <c r="G727" s="7" t="e">
        <f>G730</f>
        <v>#REF!</v>
      </c>
      <c r="H727" s="7" t="e">
        <f>H730</f>
        <v>#REF!</v>
      </c>
      <c r="I727" s="7" t="e">
        <f>I730</f>
        <v>#REF!</v>
      </c>
      <c r="J727" s="7" t="e">
        <f>J730</f>
        <v>#REF!</v>
      </c>
      <c r="K727" s="7">
        <f>K730+K728</f>
        <v>913.6000000000001</v>
      </c>
    </row>
    <row r="728" spans="1:11" ht="78.75">
      <c r="A728" s="26" t="s">
        <v>168</v>
      </c>
      <c r="B728" s="42" t="s">
        <v>305</v>
      </c>
      <c r="C728" s="42" t="s">
        <v>256</v>
      </c>
      <c r="D728" s="21" t="s">
        <v>333</v>
      </c>
      <c r="E728" s="42" t="s">
        <v>169</v>
      </c>
      <c r="F728" s="7"/>
      <c r="G728" s="7"/>
      <c r="H728" s="7"/>
      <c r="I728" s="7"/>
      <c r="J728" s="7"/>
      <c r="K728" s="7">
        <f>K729</f>
        <v>321.50000000000006</v>
      </c>
    </row>
    <row r="729" spans="1:11" ht="31.5">
      <c r="A729" s="47" t="s">
        <v>383</v>
      </c>
      <c r="B729" s="42" t="s">
        <v>305</v>
      </c>
      <c r="C729" s="42" t="s">
        <v>256</v>
      </c>
      <c r="D729" s="21" t="s">
        <v>333</v>
      </c>
      <c r="E729" s="42" t="s">
        <v>250</v>
      </c>
      <c r="F729" s="7"/>
      <c r="G729" s="7"/>
      <c r="H729" s="7"/>
      <c r="I729" s="7"/>
      <c r="J729" s="7"/>
      <c r="K729" s="7">
        <f>'Прил.№5 ведомств.'!G356</f>
        <v>321.50000000000006</v>
      </c>
    </row>
    <row r="730" spans="1:11" ht="47.25">
      <c r="A730" s="26" t="s">
        <v>313</v>
      </c>
      <c r="B730" s="42" t="s">
        <v>305</v>
      </c>
      <c r="C730" s="42" t="s">
        <v>256</v>
      </c>
      <c r="D730" s="21" t="s">
        <v>333</v>
      </c>
      <c r="E730" s="42" t="s">
        <v>314</v>
      </c>
      <c r="F730" s="7" t="e">
        <f aca="true" t="shared" si="227" ref="F730:K730">F731</f>
        <v>#REF!</v>
      </c>
      <c r="G730" s="7" t="e">
        <f t="shared" si="227"/>
        <v>#REF!</v>
      </c>
      <c r="H730" s="7" t="e">
        <f t="shared" si="227"/>
        <v>#REF!</v>
      </c>
      <c r="I730" s="7" t="e">
        <f t="shared" si="227"/>
        <v>#REF!</v>
      </c>
      <c r="J730" s="7" t="e">
        <f t="shared" si="227"/>
        <v>#REF!</v>
      </c>
      <c r="K730" s="7">
        <f t="shared" si="227"/>
        <v>592.1</v>
      </c>
    </row>
    <row r="731" spans="1:11" ht="15.75">
      <c r="A731" s="26" t="s">
        <v>315</v>
      </c>
      <c r="B731" s="42" t="s">
        <v>305</v>
      </c>
      <c r="C731" s="42" t="s">
        <v>256</v>
      </c>
      <c r="D731" s="21" t="s">
        <v>333</v>
      </c>
      <c r="E731" s="42" t="s">
        <v>316</v>
      </c>
      <c r="F731" s="7" t="e">
        <f>#REF!+#REF!+#REF!</f>
        <v>#REF!</v>
      </c>
      <c r="G731" s="7" t="e">
        <f>#REF!+#REF!+#REF!</f>
        <v>#REF!</v>
      </c>
      <c r="H731" s="7" t="e">
        <f>#REF!+#REF!+#REF!</f>
        <v>#REF!</v>
      </c>
      <c r="I731" s="7" t="e">
        <f>#REF!+#REF!+#REF!</f>
        <v>#REF!</v>
      </c>
      <c r="J731" s="7" t="e">
        <f>#REF!+#REF!+#REF!</f>
        <v>#REF!</v>
      </c>
      <c r="K731" s="7">
        <f>'Прил.№5 ведомств.'!G940+'Прил.№5 ведомств.'!G856</f>
        <v>592.1</v>
      </c>
    </row>
    <row r="732" spans="1:11" ht="94.5">
      <c r="A732" s="33" t="s">
        <v>334</v>
      </c>
      <c r="B732" s="42" t="s">
        <v>305</v>
      </c>
      <c r="C732" s="42" t="s">
        <v>256</v>
      </c>
      <c r="D732" s="21" t="s">
        <v>335</v>
      </c>
      <c r="E732" s="42"/>
      <c r="F732" s="7" t="e">
        <f>F735</f>
        <v>#REF!</v>
      </c>
      <c r="G732" s="7" t="e">
        <f>G735</f>
        <v>#REF!</v>
      </c>
      <c r="H732" s="7" t="e">
        <f>H735</f>
        <v>#REF!</v>
      </c>
      <c r="I732" s="7" t="e">
        <f>I735</f>
        <v>#REF!</v>
      </c>
      <c r="J732" s="7" t="e">
        <f>J735</f>
        <v>#REF!</v>
      </c>
      <c r="K732" s="7">
        <f>K735+K733</f>
        <v>1400.6999999999998</v>
      </c>
    </row>
    <row r="733" spans="1:11" ht="78.75">
      <c r="A733" s="26" t="s">
        <v>168</v>
      </c>
      <c r="B733" s="42" t="s">
        <v>305</v>
      </c>
      <c r="C733" s="42" t="s">
        <v>256</v>
      </c>
      <c r="D733" s="21" t="s">
        <v>335</v>
      </c>
      <c r="E733" s="42" t="s">
        <v>169</v>
      </c>
      <c r="F733" s="7"/>
      <c r="G733" s="7"/>
      <c r="H733" s="7"/>
      <c r="I733" s="7"/>
      <c r="J733" s="7"/>
      <c r="K733" s="7">
        <f>K734</f>
        <v>560.4</v>
      </c>
    </row>
    <row r="734" spans="1:11" ht="31.5">
      <c r="A734" s="47" t="s">
        <v>383</v>
      </c>
      <c r="B734" s="42" t="s">
        <v>305</v>
      </c>
      <c r="C734" s="42" t="s">
        <v>256</v>
      </c>
      <c r="D734" s="21" t="s">
        <v>335</v>
      </c>
      <c r="E734" s="42" t="s">
        <v>250</v>
      </c>
      <c r="F734" s="7"/>
      <c r="G734" s="7"/>
      <c r="H734" s="7"/>
      <c r="I734" s="7"/>
      <c r="J734" s="7"/>
      <c r="K734" s="7">
        <f>'Прил.№5 ведомств.'!G359</f>
        <v>560.4</v>
      </c>
    </row>
    <row r="735" spans="1:11" ht="47.25">
      <c r="A735" s="26" t="s">
        <v>313</v>
      </c>
      <c r="B735" s="42" t="s">
        <v>305</v>
      </c>
      <c r="C735" s="42" t="s">
        <v>256</v>
      </c>
      <c r="D735" s="21" t="s">
        <v>335</v>
      </c>
      <c r="E735" s="42" t="s">
        <v>314</v>
      </c>
      <c r="F735" s="7" t="e">
        <f aca="true" t="shared" si="228" ref="F735:K735">F736</f>
        <v>#REF!</v>
      </c>
      <c r="G735" s="7" t="e">
        <f t="shared" si="228"/>
        <v>#REF!</v>
      </c>
      <c r="H735" s="7" t="e">
        <f t="shared" si="228"/>
        <v>#REF!</v>
      </c>
      <c r="I735" s="7" t="e">
        <f t="shared" si="228"/>
        <v>#REF!</v>
      </c>
      <c r="J735" s="7" t="e">
        <f t="shared" si="228"/>
        <v>#REF!</v>
      </c>
      <c r="K735" s="7">
        <f t="shared" si="228"/>
        <v>840.3</v>
      </c>
    </row>
    <row r="736" spans="1:11" ht="15.75">
      <c r="A736" s="26" t="s">
        <v>315</v>
      </c>
      <c r="B736" s="42" t="s">
        <v>305</v>
      </c>
      <c r="C736" s="42" t="s">
        <v>256</v>
      </c>
      <c r="D736" s="21" t="s">
        <v>335</v>
      </c>
      <c r="E736" s="42" t="s">
        <v>316</v>
      </c>
      <c r="F736" s="7" t="e">
        <f>#REF!+#REF!+#REF!</f>
        <v>#REF!</v>
      </c>
      <c r="G736" s="7" t="e">
        <f>#REF!+#REF!+#REF!</f>
        <v>#REF!</v>
      </c>
      <c r="H736" s="7" t="e">
        <f>#REF!+#REF!+#REF!</f>
        <v>#REF!</v>
      </c>
      <c r="I736" s="7" t="e">
        <f>#REF!+#REF!+#REF!</f>
        <v>#REF!</v>
      </c>
      <c r="J736" s="7" t="e">
        <f>#REF!+#REF!+#REF!</f>
        <v>#REF!</v>
      </c>
      <c r="K736" s="7">
        <f>'Прил.№5 ведомств.'!G859+'Прил.№5 ведомств.'!G943</f>
        <v>840.3</v>
      </c>
    </row>
    <row r="737" spans="1:11" ht="15.75">
      <c r="A737" s="43" t="s">
        <v>508</v>
      </c>
      <c r="B737" s="8" t="s">
        <v>305</v>
      </c>
      <c r="C737" s="8" t="s">
        <v>305</v>
      </c>
      <c r="D737" s="8"/>
      <c r="E737" s="8"/>
      <c r="F737" s="4" t="e">
        <f>F750+F755</f>
        <v>#REF!</v>
      </c>
      <c r="G737" s="4" t="e">
        <f>G750+G755</f>
        <v>#REF!</v>
      </c>
      <c r="H737" s="4" t="e">
        <f>H750+H755</f>
        <v>#REF!</v>
      </c>
      <c r="I737" s="4" t="e">
        <f>I750+I755</f>
        <v>#REF!</v>
      </c>
      <c r="J737" s="4" t="e">
        <f>J750+J755</f>
        <v>#REF!</v>
      </c>
      <c r="K737" s="4">
        <f>K750+K755+K738</f>
        <v>7736.3</v>
      </c>
    </row>
    <row r="738" spans="1:11" ht="47.25">
      <c r="A738" s="26" t="s">
        <v>384</v>
      </c>
      <c r="B738" s="21" t="s">
        <v>305</v>
      </c>
      <c r="C738" s="21" t="s">
        <v>305</v>
      </c>
      <c r="D738" s="21" t="s">
        <v>385</v>
      </c>
      <c r="E738" s="21"/>
      <c r="F738" s="4"/>
      <c r="G738" s="4"/>
      <c r="H738" s="4"/>
      <c r="I738" s="4"/>
      <c r="J738" s="4"/>
      <c r="K738" s="7">
        <f>K739</f>
        <v>900</v>
      </c>
    </row>
    <row r="739" spans="1:11" ht="31.5">
      <c r="A739" s="26" t="s">
        <v>386</v>
      </c>
      <c r="B739" s="21" t="s">
        <v>305</v>
      </c>
      <c r="C739" s="21" t="s">
        <v>305</v>
      </c>
      <c r="D739" s="21" t="s">
        <v>387</v>
      </c>
      <c r="E739" s="21"/>
      <c r="F739" s="4"/>
      <c r="G739" s="4"/>
      <c r="H739" s="4"/>
      <c r="I739" s="4"/>
      <c r="J739" s="4"/>
      <c r="K739" s="7">
        <f>K740+K747</f>
        <v>900</v>
      </c>
    </row>
    <row r="740" spans="1:11" ht="31.5">
      <c r="A740" s="26" t="s">
        <v>198</v>
      </c>
      <c r="B740" s="21" t="s">
        <v>305</v>
      </c>
      <c r="C740" s="21" t="s">
        <v>305</v>
      </c>
      <c r="D740" s="21" t="s">
        <v>388</v>
      </c>
      <c r="E740" s="21"/>
      <c r="F740" s="4"/>
      <c r="G740" s="4"/>
      <c r="H740" s="4"/>
      <c r="I740" s="4"/>
      <c r="J740" s="4"/>
      <c r="K740" s="7">
        <f>K741+K743+K745</f>
        <v>601.4</v>
      </c>
    </row>
    <row r="741" spans="1:11" ht="78.75">
      <c r="A741" s="26" t="s">
        <v>168</v>
      </c>
      <c r="B741" s="21" t="s">
        <v>305</v>
      </c>
      <c r="C741" s="21" t="s">
        <v>305</v>
      </c>
      <c r="D741" s="21" t="s">
        <v>388</v>
      </c>
      <c r="E741" s="21" t="s">
        <v>169</v>
      </c>
      <c r="F741" s="4"/>
      <c r="G741" s="4"/>
      <c r="H741" s="4"/>
      <c r="I741" s="4"/>
      <c r="J741" s="4"/>
      <c r="K741" s="7">
        <f>K742</f>
        <v>40</v>
      </c>
    </row>
    <row r="742" spans="1:11" ht="31.5">
      <c r="A742" s="26" t="s">
        <v>383</v>
      </c>
      <c r="B742" s="21" t="s">
        <v>305</v>
      </c>
      <c r="C742" s="21" t="s">
        <v>305</v>
      </c>
      <c r="D742" s="21" t="s">
        <v>388</v>
      </c>
      <c r="E742" s="21" t="s">
        <v>250</v>
      </c>
      <c r="F742" s="4"/>
      <c r="G742" s="4"/>
      <c r="H742" s="4"/>
      <c r="I742" s="4"/>
      <c r="J742" s="4"/>
      <c r="K742" s="7">
        <f>'Прил.№5 ведомств.'!G371</f>
        <v>40</v>
      </c>
    </row>
    <row r="743" spans="1:11" ht="31.5">
      <c r="A743" s="26" t="s">
        <v>172</v>
      </c>
      <c r="B743" s="21" t="s">
        <v>305</v>
      </c>
      <c r="C743" s="21" t="s">
        <v>305</v>
      </c>
      <c r="D743" s="21" t="s">
        <v>388</v>
      </c>
      <c r="E743" s="21" t="s">
        <v>173</v>
      </c>
      <c r="F743" s="4"/>
      <c r="G743" s="4"/>
      <c r="H743" s="4"/>
      <c r="I743" s="4"/>
      <c r="J743" s="4"/>
      <c r="K743" s="7">
        <f>K744</f>
        <v>536.4</v>
      </c>
    </row>
    <row r="744" spans="1:11" ht="47.25">
      <c r="A744" s="26" t="s">
        <v>174</v>
      </c>
      <c r="B744" s="21" t="s">
        <v>305</v>
      </c>
      <c r="C744" s="21" t="s">
        <v>305</v>
      </c>
      <c r="D744" s="21" t="s">
        <v>388</v>
      </c>
      <c r="E744" s="21" t="s">
        <v>175</v>
      </c>
      <c r="F744" s="4"/>
      <c r="G744" s="4"/>
      <c r="H744" s="4"/>
      <c r="I744" s="4"/>
      <c r="J744" s="4"/>
      <c r="K744" s="7">
        <f>'Прил.№5 ведомств.'!G373</f>
        <v>536.4</v>
      </c>
    </row>
    <row r="745" spans="1:11" ht="31.5">
      <c r="A745" s="26" t="s">
        <v>289</v>
      </c>
      <c r="B745" s="21" t="s">
        <v>305</v>
      </c>
      <c r="C745" s="21" t="s">
        <v>305</v>
      </c>
      <c r="D745" s="21" t="s">
        <v>388</v>
      </c>
      <c r="E745" s="21" t="s">
        <v>290</v>
      </c>
      <c r="F745" s="4"/>
      <c r="G745" s="4"/>
      <c r="H745" s="4"/>
      <c r="I745" s="4"/>
      <c r="J745" s="4"/>
      <c r="K745" s="7">
        <f>K746</f>
        <v>25</v>
      </c>
    </row>
    <row r="746" spans="1:11" ht="31.5">
      <c r="A746" s="26" t="s">
        <v>389</v>
      </c>
      <c r="B746" s="21" t="s">
        <v>305</v>
      </c>
      <c r="C746" s="21" t="s">
        <v>305</v>
      </c>
      <c r="D746" s="21" t="s">
        <v>388</v>
      </c>
      <c r="E746" s="21" t="s">
        <v>390</v>
      </c>
      <c r="F746" s="4"/>
      <c r="G746" s="4"/>
      <c r="H746" s="4"/>
      <c r="I746" s="4"/>
      <c r="J746" s="4"/>
      <c r="K746" s="7">
        <f>'Прил.№5 ведомств.'!G375</f>
        <v>25</v>
      </c>
    </row>
    <row r="747" spans="1:11" ht="39" customHeight="1">
      <c r="A747" s="120" t="s">
        <v>1052</v>
      </c>
      <c r="B747" s="21" t="s">
        <v>305</v>
      </c>
      <c r="C747" s="21" t="s">
        <v>305</v>
      </c>
      <c r="D747" s="21" t="s">
        <v>1051</v>
      </c>
      <c r="E747" s="21"/>
      <c r="F747" s="4"/>
      <c r="G747" s="4"/>
      <c r="H747" s="4"/>
      <c r="I747" s="4"/>
      <c r="J747" s="4"/>
      <c r="K747" s="7">
        <f>K748</f>
        <v>298.6</v>
      </c>
    </row>
    <row r="748" spans="1:11" ht="78.75">
      <c r="A748" s="26" t="s">
        <v>168</v>
      </c>
      <c r="B748" s="21" t="s">
        <v>305</v>
      </c>
      <c r="C748" s="21" t="s">
        <v>305</v>
      </c>
      <c r="D748" s="21" t="s">
        <v>1051</v>
      </c>
      <c r="E748" s="21" t="s">
        <v>169</v>
      </c>
      <c r="F748" s="4"/>
      <c r="G748" s="4"/>
      <c r="H748" s="4"/>
      <c r="I748" s="4"/>
      <c r="J748" s="4"/>
      <c r="K748" s="7">
        <f>K749</f>
        <v>298.6</v>
      </c>
    </row>
    <row r="749" spans="1:11" ht="31.5">
      <c r="A749" s="26" t="s">
        <v>383</v>
      </c>
      <c r="B749" s="21" t="s">
        <v>305</v>
      </c>
      <c r="C749" s="21" t="s">
        <v>305</v>
      </c>
      <c r="D749" s="21" t="s">
        <v>1051</v>
      </c>
      <c r="E749" s="21" t="s">
        <v>250</v>
      </c>
      <c r="F749" s="4"/>
      <c r="G749" s="4"/>
      <c r="H749" s="4"/>
      <c r="I749" s="4"/>
      <c r="J749" s="4"/>
      <c r="K749" s="7">
        <f>'Прил.№5 ведомств.'!G378</f>
        <v>298.6</v>
      </c>
    </row>
    <row r="750" spans="1:11" ht="47.25">
      <c r="A750" s="31" t="s">
        <v>468</v>
      </c>
      <c r="B750" s="42" t="s">
        <v>305</v>
      </c>
      <c r="C750" s="42" t="s">
        <v>305</v>
      </c>
      <c r="D750" s="42" t="s">
        <v>448</v>
      </c>
      <c r="E750" s="42"/>
      <c r="F750" s="7" t="e">
        <f aca="true" t="shared" si="229" ref="F750:K750">F751</f>
        <v>#REF!</v>
      </c>
      <c r="G750" s="7" t="e">
        <f t="shared" si="229"/>
        <v>#REF!</v>
      </c>
      <c r="H750" s="7" t="e">
        <f t="shared" si="229"/>
        <v>#REF!</v>
      </c>
      <c r="I750" s="7" t="e">
        <f t="shared" si="229"/>
        <v>#REF!</v>
      </c>
      <c r="J750" s="7" t="e">
        <f t="shared" si="229"/>
        <v>#REF!</v>
      </c>
      <c r="K750" s="7">
        <f t="shared" si="229"/>
        <v>3584</v>
      </c>
    </row>
    <row r="751" spans="1:11" ht="31.5">
      <c r="A751" s="31" t="s">
        <v>509</v>
      </c>
      <c r="B751" s="42" t="s">
        <v>305</v>
      </c>
      <c r="C751" s="42" t="s">
        <v>510</v>
      </c>
      <c r="D751" s="42" t="s">
        <v>511</v>
      </c>
      <c r="E751" s="42"/>
      <c r="F751" s="7" t="e">
        <f aca="true" t="shared" si="230" ref="F751:K751">F753</f>
        <v>#REF!</v>
      </c>
      <c r="G751" s="7" t="e">
        <f t="shared" si="230"/>
        <v>#REF!</v>
      </c>
      <c r="H751" s="7" t="e">
        <f t="shared" si="230"/>
        <v>#REF!</v>
      </c>
      <c r="I751" s="7" t="e">
        <f t="shared" si="230"/>
        <v>#REF!</v>
      </c>
      <c r="J751" s="7" t="e">
        <f t="shared" si="230"/>
        <v>#REF!</v>
      </c>
      <c r="K751" s="7">
        <f t="shared" si="230"/>
        <v>3584</v>
      </c>
    </row>
    <row r="752" spans="1:11" ht="31.5">
      <c r="A752" s="26" t="s">
        <v>662</v>
      </c>
      <c r="B752" s="42" t="s">
        <v>305</v>
      </c>
      <c r="C752" s="42" t="s">
        <v>305</v>
      </c>
      <c r="D752" s="42" t="s">
        <v>513</v>
      </c>
      <c r="E752" s="42"/>
      <c r="F752" s="7" t="e">
        <f>F753</f>
        <v>#REF!</v>
      </c>
      <c r="G752" s="7" t="e">
        <f aca="true" t="shared" si="231" ref="G752:K753">G753</f>
        <v>#REF!</v>
      </c>
      <c r="H752" s="7" t="e">
        <f t="shared" si="231"/>
        <v>#REF!</v>
      </c>
      <c r="I752" s="7" t="e">
        <f t="shared" si="231"/>
        <v>#REF!</v>
      </c>
      <c r="J752" s="7" t="e">
        <f t="shared" si="231"/>
        <v>#REF!</v>
      </c>
      <c r="K752" s="7">
        <f t="shared" si="231"/>
        <v>3584</v>
      </c>
    </row>
    <row r="753" spans="1:11" ht="47.25">
      <c r="A753" s="31" t="s">
        <v>313</v>
      </c>
      <c r="B753" s="42" t="s">
        <v>305</v>
      </c>
      <c r="C753" s="42" t="s">
        <v>305</v>
      </c>
      <c r="D753" s="42" t="s">
        <v>513</v>
      </c>
      <c r="E753" s="42" t="s">
        <v>314</v>
      </c>
      <c r="F753" s="62" t="e">
        <f>F754</f>
        <v>#REF!</v>
      </c>
      <c r="G753" s="62" t="e">
        <f t="shared" si="231"/>
        <v>#REF!</v>
      </c>
      <c r="H753" s="62" t="e">
        <f t="shared" si="231"/>
        <v>#REF!</v>
      </c>
      <c r="I753" s="62" t="e">
        <f t="shared" si="231"/>
        <v>#REF!</v>
      </c>
      <c r="J753" s="62" t="e">
        <f t="shared" si="231"/>
        <v>#REF!</v>
      </c>
      <c r="K753" s="62">
        <f t="shared" si="231"/>
        <v>3584</v>
      </c>
    </row>
    <row r="754" spans="1:11" ht="15.75">
      <c r="A754" s="31" t="s">
        <v>315</v>
      </c>
      <c r="B754" s="42" t="s">
        <v>305</v>
      </c>
      <c r="C754" s="42" t="s">
        <v>305</v>
      </c>
      <c r="D754" s="42" t="s">
        <v>513</v>
      </c>
      <c r="E754" s="42" t="s">
        <v>316</v>
      </c>
      <c r="F754" s="62" t="e">
        <f>#REF!</f>
        <v>#REF!</v>
      </c>
      <c r="G754" s="62" t="e">
        <f>#REF!</f>
        <v>#REF!</v>
      </c>
      <c r="H754" s="62" t="e">
        <f>#REF!</f>
        <v>#REF!</v>
      </c>
      <c r="I754" s="62" t="e">
        <f>#REF!</f>
        <v>#REF!</v>
      </c>
      <c r="J754" s="62" t="e">
        <f>#REF!</f>
        <v>#REF!</v>
      </c>
      <c r="K754" s="62">
        <f>'Прил.№5 ведомств.'!G865</f>
        <v>3584</v>
      </c>
    </row>
    <row r="755" spans="1:11" ht="15.75">
      <c r="A755" s="31" t="s">
        <v>162</v>
      </c>
      <c r="B755" s="42" t="s">
        <v>305</v>
      </c>
      <c r="C755" s="42" t="s">
        <v>305</v>
      </c>
      <c r="D755" s="42" t="s">
        <v>163</v>
      </c>
      <c r="E755" s="42"/>
      <c r="F755" s="7" t="e">
        <f>F756</f>
        <v>#REF!</v>
      </c>
      <c r="G755" s="7" t="e">
        <f aca="true" t="shared" si="232" ref="G755:K758">G756</f>
        <v>#REF!</v>
      </c>
      <c r="H755" s="7" t="e">
        <f t="shared" si="232"/>
        <v>#REF!</v>
      </c>
      <c r="I755" s="7" t="e">
        <f t="shared" si="232"/>
        <v>#REF!</v>
      </c>
      <c r="J755" s="7" t="e">
        <f t="shared" si="232"/>
        <v>#REF!</v>
      </c>
      <c r="K755" s="7">
        <f t="shared" si="232"/>
        <v>3252.3</v>
      </c>
    </row>
    <row r="756" spans="1:11" ht="31.5">
      <c r="A756" s="31" t="s">
        <v>226</v>
      </c>
      <c r="B756" s="42" t="s">
        <v>305</v>
      </c>
      <c r="C756" s="42" t="s">
        <v>305</v>
      </c>
      <c r="D756" s="42" t="s">
        <v>227</v>
      </c>
      <c r="E756" s="42"/>
      <c r="F756" s="7" t="e">
        <f>F757</f>
        <v>#REF!</v>
      </c>
      <c r="G756" s="7" t="e">
        <f t="shared" si="232"/>
        <v>#REF!</v>
      </c>
      <c r="H756" s="7" t="e">
        <f t="shared" si="232"/>
        <v>#REF!</v>
      </c>
      <c r="I756" s="7" t="e">
        <f t="shared" si="232"/>
        <v>#REF!</v>
      </c>
      <c r="J756" s="7" t="e">
        <f t="shared" si="232"/>
        <v>#REF!</v>
      </c>
      <c r="K756" s="7">
        <f t="shared" si="232"/>
        <v>3252.3</v>
      </c>
    </row>
    <row r="757" spans="1:11" ht="31.5">
      <c r="A757" s="47" t="s">
        <v>516</v>
      </c>
      <c r="B757" s="42" t="s">
        <v>305</v>
      </c>
      <c r="C757" s="42" t="s">
        <v>305</v>
      </c>
      <c r="D757" s="42" t="s">
        <v>517</v>
      </c>
      <c r="E757" s="42"/>
      <c r="F757" s="7" t="e">
        <f>F758</f>
        <v>#REF!</v>
      </c>
      <c r="G757" s="7" t="e">
        <f t="shared" si="232"/>
        <v>#REF!</v>
      </c>
      <c r="H757" s="7" t="e">
        <f t="shared" si="232"/>
        <v>#REF!</v>
      </c>
      <c r="I757" s="7" t="e">
        <f t="shared" si="232"/>
        <v>#REF!</v>
      </c>
      <c r="J757" s="7" t="e">
        <f t="shared" si="232"/>
        <v>#REF!</v>
      </c>
      <c r="K757" s="7">
        <f t="shared" si="232"/>
        <v>3252.3</v>
      </c>
    </row>
    <row r="758" spans="1:11" ht="47.25">
      <c r="A758" s="31" t="s">
        <v>313</v>
      </c>
      <c r="B758" s="42" t="s">
        <v>305</v>
      </c>
      <c r="C758" s="42" t="s">
        <v>305</v>
      </c>
      <c r="D758" s="42" t="s">
        <v>517</v>
      </c>
      <c r="E758" s="42" t="s">
        <v>314</v>
      </c>
      <c r="F758" s="7" t="e">
        <f>F759</f>
        <v>#REF!</v>
      </c>
      <c r="G758" s="7" t="e">
        <f t="shared" si="232"/>
        <v>#REF!</v>
      </c>
      <c r="H758" s="7" t="e">
        <f t="shared" si="232"/>
        <v>#REF!</v>
      </c>
      <c r="I758" s="7" t="e">
        <f t="shared" si="232"/>
        <v>#REF!</v>
      </c>
      <c r="J758" s="7" t="e">
        <f t="shared" si="232"/>
        <v>#REF!</v>
      </c>
      <c r="K758" s="7">
        <f t="shared" si="232"/>
        <v>3252.3</v>
      </c>
    </row>
    <row r="759" spans="1:11" ht="15.75">
      <c r="A759" s="31" t="s">
        <v>315</v>
      </c>
      <c r="B759" s="42" t="s">
        <v>305</v>
      </c>
      <c r="C759" s="42" t="s">
        <v>305</v>
      </c>
      <c r="D759" s="42" t="s">
        <v>517</v>
      </c>
      <c r="E759" s="42" t="s">
        <v>316</v>
      </c>
      <c r="F759" s="7" t="e">
        <f>#REF!</f>
        <v>#REF!</v>
      </c>
      <c r="G759" s="7" t="e">
        <f>#REF!</f>
        <v>#REF!</v>
      </c>
      <c r="H759" s="7" t="e">
        <f>#REF!</f>
        <v>#REF!</v>
      </c>
      <c r="I759" s="7" t="e">
        <f>#REF!</f>
        <v>#REF!</v>
      </c>
      <c r="J759" s="7" t="e">
        <f>#REF!</f>
        <v>#REF!</v>
      </c>
      <c r="K759" s="7">
        <f>'Прил.№5 ведомств.'!G871</f>
        <v>3252.3</v>
      </c>
    </row>
    <row r="760" spans="1:11" ht="15.75">
      <c r="A760" s="43" t="s">
        <v>336</v>
      </c>
      <c r="B760" s="8" t="s">
        <v>305</v>
      </c>
      <c r="C760" s="8" t="s">
        <v>260</v>
      </c>
      <c r="D760" s="8"/>
      <c r="E760" s="8"/>
      <c r="F760" s="4" t="e">
        <f aca="true" t="shared" si="233" ref="F760:K760">F770+F761</f>
        <v>#REF!</v>
      </c>
      <c r="G760" s="4" t="e">
        <f t="shared" si="233"/>
        <v>#REF!</v>
      </c>
      <c r="H760" s="4" t="e">
        <f t="shared" si="233"/>
        <v>#REF!</v>
      </c>
      <c r="I760" s="4" t="e">
        <f t="shared" si="233"/>
        <v>#REF!</v>
      </c>
      <c r="J760" s="4" t="e">
        <f t="shared" si="233"/>
        <v>#REF!</v>
      </c>
      <c r="K760" s="4">
        <f t="shared" si="233"/>
        <v>20019.8</v>
      </c>
    </row>
    <row r="761" spans="1:11" ht="47.25" hidden="1">
      <c r="A761" s="26" t="s">
        <v>375</v>
      </c>
      <c r="B761" s="42" t="s">
        <v>305</v>
      </c>
      <c r="C761" s="42" t="s">
        <v>260</v>
      </c>
      <c r="D761" s="21" t="s">
        <v>376</v>
      </c>
      <c r="E761" s="8"/>
      <c r="F761" s="7" t="e">
        <f aca="true" t="shared" si="234" ref="F761:K761">F762+F765</f>
        <v>#REF!</v>
      </c>
      <c r="G761" s="7" t="e">
        <f t="shared" si="234"/>
        <v>#REF!</v>
      </c>
      <c r="H761" s="7" t="e">
        <f t="shared" si="234"/>
        <v>#REF!</v>
      </c>
      <c r="I761" s="7" t="e">
        <f t="shared" si="234"/>
        <v>#REF!</v>
      </c>
      <c r="J761" s="7" t="e">
        <f t="shared" si="234"/>
        <v>#REF!</v>
      </c>
      <c r="K761" s="7">
        <f t="shared" si="234"/>
        <v>0</v>
      </c>
    </row>
    <row r="762" spans="1:11" ht="31.5" hidden="1">
      <c r="A762" s="26" t="s">
        <v>377</v>
      </c>
      <c r="B762" s="42" t="s">
        <v>305</v>
      </c>
      <c r="C762" s="42" t="s">
        <v>260</v>
      </c>
      <c r="D762" s="21" t="s">
        <v>378</v>
      </c>
      <c r="E762" s="8"/>
      <c r="F762" s="7" t="e">
        <f>F763</f>
        <v>#REF!</v>
      </c>
      <c r="G762" s="7" t="e">
        <f aca="true" t="shared" si="235" ref="G762:K763">G763</f>
        <v>#REF!</v>
      </c>
      <c r="H762" s="7" t="e">
        <f t="shared" si="235"/>
        <v>#REF!</v>
      </c>
      <c r="I762" s="7" t="e">
        <f t="shared" si="235"/>
        <v>#REF!</v>
      </c>
      <c r="J762" s="7" t="e">
        <f t="shared" si="235"/>
        <v>#REF!</v>
      </c>
      <c r="K762" s="7">
        <f t="shared" si="235"/>
        <v>0</v>
      </c>
    </row>
    <row r="763" spans="1:11" ht="31.5" hidden="1">
      <c r="A763" s="26" t="s">
        <v>172</v>
      </c>
      <c r="B763" s="42" t="s">
        <v>305</v>
      </c>
      <c r="C763" s="42" t="s">
        <v>260</v>
      </c>
      <c r="D763" s="21" t="s">
        <v>378</v>
      </c>
      <c r="E763" s="42" t="s">
        <v>173</v>
      </c>
      <c r="F763" s="7" t="e">
        <f>F764</f>
        <v>#REF!</v>
      </c>
      <c r="G763" s="7" t="e">
        <f t="shared" si="235"/>
        <v>#REF!</v>
      </c>
      <c r="H763" s="7" t="e">
        <f t="shared" si="235"/>
        <v>#REF!</v>
      </c>
      <c r="I763" s="7" t="e">
        <f t="shared" si="235"/>
        <v>#REF!</v>
      </c>
      <c r="J763" s="7" t="e">
        <f t="shared" si="235"/>
        <v>#REF!</v>
      </c>
      <c r="K763" s="7">
        <f t="shared" si="235"/>
        <v>0</v>
      </c>
    </row>
    <row r="764" spans="1:11" ht="47.25" hidden="1">
      <c r="A764" s="26" t="s">
        <v>174</v>
      </c>
      <c r="B764" s="42" t="s">
        <v>305</v>
      </c>
      <c r="C764" s="42" t="s">
        <v>260</v>
      </c>
      <c r="D764" s="21" t="s">
        <v>378</v>
      </c>
      <c r="E764" s="42" t="s">
        <v>175</v>
      </c>
      <c r="F764" s="7" t="e">
        <f>#REF!</f>
        <v>#REF!</v>
      </c>
      <c r="G764" s="7" t="e">
        <f>#REF!</f>
        <v>#REF!</v>
      </c>
      <c r="H764" s="7" t="e">
        <f>#REF!</f>
        <v>#REF!</v>
      </c>
      <c r="I764" s="7" t="e">
        <f>#REF!</f>
        <v>#REF!</v>
      </c>
      <c r="J764" s="7" t="e">
        <f>#REF!</f>
        <v>#REF!</v>
      </c>
      <c r="K764" s="7">
        <f>'Прил.№5 ведомств.'!G876</f>
        <v>0</v>
      </c>
    </row>
    <row r="765" spans="1:11" ht="47.25" hidden="1">
      <c r="A765" s="26" t="s">
        <v>663</v>
      </c>
      <c r="B765" s="42" t="s">
        <v>305</v>
      </c>
      <c r="C765" s="42" t="s">
        <v>260</v>
      </c>
      <c r="D765" s="21" t="s">
        <v>519</v>
      </c>
      <c r="E765" s="42"/>
      <c r="F765" s="7" t="e">
        <f aca="true" t="shared" si="236" ref="F765:K765">F766+F768</f>
        <v>#REF!</v>
      </c>
      <c r="G765" s="7" t="e">
        <f t="shared" si="236"/>
        <v>#REF!</v>
      </c>
      <c r="H765" s="7" t="e">
        <f t="shared" si="236"/>
        <v>#REF!</v>
      </c>
      <c r="I765" s="7" t="e">
        <f t="shared" si="236"/>
        <v>#REF!</v>
      </c>
      <c r="J765" s="7" t="e">
        <f t="shared" si="236"/>
        <v>#REF!</v>
      </c>
      <c r="K765" s="7">
        <f t="shared" si="236"/>
        <v>0</v>
      </c>
    </row>
    <row r="766" spans="1:11" ht="78.75" hidden="1">
      <c r="A766" s="26" t="s">
        <v>168</v>
      </c>
      <c r="B766" s="42" t="s">
        <v>305</v>
      </c>
      <c r="C766" s="42" t="s">
        <v>260</v>
      </c>
      <c r="D766" s="21" t="s">
        <v>519</v>
      </c>
      <c r="E766" s="42" t="s">
        <v>169</v>
      </c>
      <c r="F766" s="7" t="e">
        <f aca="true" t="shared" si="237" ref="F766:K766">F767</f>
        <v>#REF!</v>
      </c>
      <c r="G766" s="7" t="e">
        <f t="shared" si="237"/>
        <v>#REF!</v>
      </c>
      <c r="H766" s="7" t="e">
        <f t="shared" si="237"/>
        <v>#REF!</v>
      </c>
      <c r="I766" s="7" t="e">
        <f t="shared" si="237"/>
        <v>#REF!</v>
      </c>
      <c r="J766" s="7" t="e">
        <f t="shared" si="237"/>
        <v>#REF!</v>
      </c>
      <c r="K766" s="7">
        <f t="shared" si="237"/>
        <v>0</v>
      </c>
    </row>
    <row r="767" spans="1:11" ht="31.5" hidden="1">
      <c r="A767" s="26" t="s">
        <v>383</v>
      </c>
      <c r="B767" s="42" t="s">
        <v>305</v>
      </c>
      <c r="C767" s="42" t="s">
        <v>260</v>
      </c>
      <c r="D767" s="21" t="s">
        <v>519</v>
      </c>
      <c r="E767" s="42" t="s">
        <v>250</v>
      </c>
      <c r="F767" s="7" t="e">
        <f>#REF!</f>
        <v>#REF!</v>
      </c>
      <c r="G767" s="7" t="e">
        <f>#REF!</f>
        <v>#REF!</v>
      </c>
      <c r="H767" s="7" t="e">
        <f>#REF!</f>
        <v>#REF!</v>
      </c>
      <c r="I767" s="7" t="e">
        <f>#REF!</f>
        <v>#REF!</v>
      </c>
      <c r="J767" s="7" t="e">
        <f>#REF!</f>
        <v>#REF!</v>
      </c>
      <c r="K767" s="7">
        <f>'Прил.№5 ведомств.'!G879</f>
        <v>0</v>
      </c>
    </row>
    <row r="768" spans="1:11" ht="31.5" hidden="1">
      <c r="A768" s="26" t="s">
        <v>172</v>
      </c>
      <c r="B768" s="42" t="s">
        <v>305</v>
      </c>
      <c r="C768" s="42" t="s">
        <v>260</v>
      </c>
      <c r="D768" s="21" t="s">
        <v>519</v>
      </c>
      <c r="E768" s="42" t="s">
        <v>173</v>
      </c>
      <c r="F768" s="7" t="e">
        <f aca="true" t="shared" si="238" ref="F768:K768">F769</f>
        <v>#REF!</v>
      </c>
      <c r="G768" s="7" t="e">
        <f t="shared" si="238"/>
        <v>#REF!</v>
      </c>
      <c r="H768" s="7" t="e">
        <f t="shared" si="238"/>
        <v>#REF!</v>
      </c>
      <c r="I768" s="7" t="e">
        <f t="shared" si="238"/>
        <v>#REF!</v>
      </c>
      <c r="J768" s="7" t="e">
        <f t="shared" si="238"/>
        <v>#REF!</v>
      </c>
      <c r="K768" s="7">
        <f t="shared" si="238"/>
        <v>0</v>
      </c>
    </row>
    <row r="769" spans="1:11" ht="47.25" hidden="1">
      <c r="A769" s="26" t="s">
        <v>174</v>
      </c>
      <c r="B769" s="42" t="s">
        <v>305</v>
      </c>
      <c r="C769" s="42" t="s">
        <v>260</v>
      </c>
      <c r="D769" s="21" t="s">
        <v>519</v>
      </c>
      <c r="E769" s="42" t="s">
        <v>175</v>
      </c>
      <c r="F769" s="7" t="e">
        <f>#REF!</f>
        <v>#REF!</v>
      </c>
      <c r="G769" s="7" t="e">
        <f>#REF!</f>
        <v>#REF!</v>
      </c>
      <c r="H769" s="7" t="e">
        <f>#REF!</f>
        <v>#REF!</v>
      </c>
      <c r="I769" s="7" t="e">
        <f>#REF!</f>
        <v>#REF!</v>
      </c>
      <c r="J769" s="7" t="e">
        <f>#REF!</f>
        <v>#REF!</v>
      </c>
      <c r="K769" s="7">
        <f>'Прил.№5 ведомств.'!G881</f>
        <v>0</v>
      </c>
    </row>
    <row r="770" spans="1:11" ht="15.75">
      <c r="A770" s="31" t="s">
        <v>162</v>
      </c>
      <c r="B770" s="42" t="s">
        <v>305</v>
      </c>
      <c r="C770" s="42" t="s">
        <v>260</v>
      </c>
      <c r="D770" s="42" t="s">
        <v>163</v>
      </c>
      <c r="E770" s="42"/>
      <c r="F770" s="7" t="e">
        <f aca="true" t="shared" si="239" ref="F770:K770">F771+F781+F777</f>
        <v>#REF!</v>
      </c>
      <c r="G770" s="7" t="e">
        <f t="shared" si="239"/>
        <v>#REF!</v>
      </c>
      <c r="H770" s="7" t="e">
        <f t="shared" si="239"/>
        <v>#REF!</v>
      </c>
      <c r="I770" s="7" t="e">
        <f t="shared" si="239"/>
        <v>#REF!</v>
      </c>
      <c r="J770" s="7" t="e">
        <f t="shared" si="239"/>
        <v>#REF!</v>
      </c>
      <c r="K770" s="7">
        <f t="shared" si="239"/>
        <v>20019.8</v>
      </c>
    </row>
    <row r="771" spans="1:11" ht="31.5">
      <c r="A771" s="31" t="s">
        <v>164</v>
      </c>
      <c r="B771" s="42" t="s">
        <v>305</v>
      </c>
      <c r="C771" s="42" t="s">
        <v>260</v>
      </c>
      <c r="D771" s="42" t="s">
        <v>165</v>
      </c>
      <c r="E771" s="42"/>
      <c r="F771" s="7" t="e">
        <f aca="true" t="shared" si="240" ref="F771:K771">F772</f>
        <v>#REF!</v>
      </c>
      <c r="G771" s="7" t="e">
        <f t="shared" si="240"/>
        <v>#REF!</v>
      </c>
      <c r="H771" s="7" t="e">
        <f t="shared" si="240"/>
        <v>#REF!</v>
      </c>
      <c r="I771" s="7" t="e">
        <f t="shared" si="240"/>
        <v>#REF!</v>
      </c>
      <c r="J771" s="7" t="e">
        <f t="shared" si="240"/>
        <v>#REF!</v>
      </c>
      <c r="K771" s="7">
        <f t="shared" si="240"/>
        <v>5636.6</v>
      </c>
    </row>
    <row r="772" spans="1:11" ht="36.75" customHeight="1">
      <c r="A772" s="31" t="s">
        <v>166</v>
      </c>
      <c r="B772" s="42" t="s">
        <v>305</v>
      </c>
      <c r="C772" s="42" t="s">
        <v>260</v>
      </c>
      <c r="D772" s="42" t="s">
        <v>167</v>
      </c>
      <c r="E772" s="42"/>
      <c r="F772" s="7" t="e">
        <f aca="true" t="shared" si="241" ref="F772:K772">F773+F775</f>
        <v>#REF!</v>
      </c>
      <c r="G772" s="7" t="e">
        <f t="shared" si="241"/>
        <v>#REF!</v>
      </c>
      <c r="H772" s="7" t="e">
        <f t="shared" si="241"/>
        <v>#REF!</v>
      </c>
      <c r="I772" s="7" t="e">
        <f t="shared" si="241"/>
        <v>#REF!</v>
      </c>
      <c r="J772" s="7" t="e">
        <f t="shared" si="241"/>
        <v>#REF!</v>
      </c>
      <c r="K772" s="7">
        <f t="shared" si="241"/>
        <v>5636.6</v>
      </c>
    </row>
    <row r="773" spans="1:11" ht="78.75">
      <c r="A773" s="31" t="s">
        <v>168</v>
      </c>
      <c r="B773" s="42" t="s">
        <v>305</v>
      </c>
      <c r="C773" s="42" t="s">
        <v>260</v>
      </c>
      <c r="D773" s="42" t="s">
        <v>167</v>
      </c>
      <c r="E773" s="42" t="s">
        <v>169</v>
      </c>
      <c r="F773" s="62" t="e">
        <f aca="true" t="shared" si="242" ref="F773:K773">F774</f>
        <v>#REF!</v>
      </c>
      <c r="G773" s="62" t="e">
        <f t="shared" si="242"/>
        <v>#REF!</v>
      </c>
      <c r="H773" s="62" t="e">
        <f t="shared" si="242"/>
        <v>#REF!</v>
      </c>
      <c r="I773" s="62" t="e">
        <f t="shared" si="242"/>
        <v>#REF!</v>
      </c>
      <c r="J773" s="62" t="e">
        <f t="shared" si="242"/>
        <v>#REF!</v>
      </c>
      <c r="K773" s="62">
        <f t="shared" si="242"/>
        <v>5381</v>
      </c>
    </row>
    <row r="774" spans="1:11" ht="31.5">
      <c r="A774" s="31" t="s">
        <v>170</v>
      </c>
      <c r="B774" s="42" t="s">
        <v>305</v>
      </c>
      <c r="C774" s="42" t="s">
        <v>260</v>
      </c>
      <c r="D774" s="42" t="s">
        <v>167</v>
      </c>
      <c r="E774" s="42" t="s">
        <v>171</v>
      </c>
      <c r="F774" s="62" t="e">
        <f>#REF!</f>
        <v>#REF!</v>
      </c>
      <c r="G774" s="62" t="e">
        <f>#REF!</f>
        <v>#REF!</v>
      </c>
      <c r="H774" s="62" t="e">
        <f>#REF!</f>
        <v>#REF!</v>
      </c>
      <c r="I774" s="62" t="e">
        <f>#REF!</f>
        <v>#REF!</v>
      </c>
      <c r="J774" s="62" t="e">
        <f>#REF!</f>
        <v>#REF!</v>
      </c>
      <c r="K774" s="62">
        <f>'Прил.№5 ведомств.'!G886</f>
        <v>5381</v>
      </c>
    </row>
    <row r="775" spans="1:11" ht="31.5">
      <c r="A775" s="31" t="s">
        <v>172</v>
      </c>
      <c r="B775" s="42" t="s">
        <v>305</v>
      </c>
      <c r="C775" s="42" t="s">
        <v>260</v>
      </c>
      <c r="D775" s="42" t="s">
        <v>167</v>
      </c>
      <c r="E775" s="42" t="s">
        <v>173</v>
      </c>
      <c r="F775" s="7" t="e">
        <f aca="true" t="shared" si="243" ref="F775:K775">F776</f>
        <v>#REF!</v>
      </c>
      <c r="G775" s="7" t="e">
        <f t="shared" si="243"/>
        <v>#REF!</v>
      </c>
      <c r="H775" s="7" t="e">
        <f t="shared" si="243"/>
        <v>#REF!</v>
      </c>
      <c r="I775" s="7" t="e">
        <f t="shared" si="243"/>
        <v>#REF!</v>
      </c>
      <c r="J775" s="7" t="e">
        <f t="shared" si="243"/>
        <v>#REF!</v>
      </c>
      <c r="K775" s="7">
        <f t="shared" si="243"/>
        <v>255.6</v>
      </c>
    </row>
    <row r="776" spans="1:11" ht="47.25">
      <c r="A776" s="31" t="s">
        <v>174</v>
      </c>
      <c r="B776" s="42" t="s">
        <v>305</v>
      </c>
      <c r="C776" s="42" t="s">
        <v>260</v>
      </c>
      <c r="D776" s="42" t="s">
        <v>167</v>
      </c>
      <c r="E776" s="42" t="s">
        <v>175</v>
      </c>
      <c r="F776" s="7" t="e">
        <f>#REF!</f>
        <v>#REF!</v>
      </c>
      <c r="G776" s="7" t="e">
        <f>#REF!</f>
        <v>#REF!</v>
      </c>
      <c r="H776" s="7" t="e">
        <f>#REF!</f>
        <v>#REF!</v>
      </c>
      <c r="I776" s="7" t="e">
        <f>#REF!</f>
        <v>#REF!</v>
      </c>
      <c r="J776" s="7" t="e">
        <f>#REF!</f>
        <v>#REF!</v>
      </c>
      <c r="K776" s="7">
        <f>'Прил.№5 ведомств.'!G888</f>
        <v>255.6</v>
      </c>
    </row>
    <row r="777" spans="1:11" ht="31.5" customHeight="1" hidden="1">
      <c r="A777" s="31" t="s">
        <v>226</v>
      </c>
      <c r="B777" s="42" t="s">
        <v>305</v>
      </c>
      <c r="C777" s="42" t="s">
        <v>260</v>
      </c>
      <c r="D777" s="42" t="s">
        <v>227</v>
      </c>
      <c r="E777" s="42"/>
      <c r="F777" s="7">
        <f>F778</f>
        <v>0</v>
      </c>
      <c r="G777" s="7">
        <f aca="true" t="shared" si="244" ref="G777:K779">G778</f>
        <v>0</v>
      </c>
      <c r="H777" s="7">
        <f t="shared" si="244"/>
        <v>0</v>
      </c>
      <c r="I777" s="7">
        <f t="shared" si="244"/>
        <v>0</v>
      </c>
      <c r="J777" s="7">
        <f t="shared" si="244"/>
        <v>0</v>
      </c>
      <c r="K777" s="7">
        <f t="shared" si="244"/>
        <v>0</v>
      </c>
    </row>
    <row r="778" spans="1:11" ht="31.5" customHeight="1" hidden="1">
      <c r="A778" s="67" t="s">
        <v>337</v>
      </c>
      <c r="B778" s="42" t="s">
        <v>305</v>
      </c>
      <c r="C778" s="42" t="s">
        <v>260</v>
      </c>
      <c r="D778" s="21" t="s">
        <v>338</v>
      </c>
      <c r="E778" s="42"/>
      <c r="F778" s="7">
        <f>F779</f>
        <v>0</v>
      </c>
      <c r="G778" s="7">
        <f t="shared" si="244"/>
        <v>0</v>
      </c>
      <c r="H778" s="7">
        <f t="shared" si="244"/>
        <v>0</v>
      </c>
      <c r="I778" s="7">
        <f t="shared" si="244"/>
        <v>0</v>
      </c>
      <c r="J778" s="7">
        <f t="shared" si="244"/>
        <v>0</v>
      </c>
      <c r="K778" s="7">
        <f t="shared" si="244"/>
        <v>0</v>
      </c>
    </row>
    <row r="779" spans="1:11" ht="15.75" customHeight="1" hidden="1">
      <c r="A779" s="31" t="s">
        <v>176</v>
      </c>
      <c r="B779" s="42" t="s">
        <v>305</v>
      </c>
      <c r="C779" s="42" t="s">
        <v>260</v>
      </c>
      <c r="D779" s="21" t="s">
        <v>338</v>
      </c>
      <c r="E779" s="42" t="s">
        <v>186</v>
      </c>
      <c r="F779" s="7">
        <f>F780</f>
        <v>0</v>
      </c>
      <c r="G779" s="7">
        <f t="shared" si="244"/>
        <v>0</v>
      </c>
      <c r="H779" s="7">
        <f t="shared" si="244"/>
        <v>0</v>
      </c>
      <c r="I779" s="7">
        <f t="shared" si="244"/>
        <v>0</v>
      </c>
      <c r="J779" s="7">
        <f t="shared" si="244"/>
        <v>0</v>
      </c>
      <c r="K779" s="7">
        <f t="shared" si="244"/>
        <v>0</v>
      </c>
    </row>
    <row r="780" spans="1:11" ht="47.25" customHeight="1" hidden="1">
      <c r="A780" s="31" t="s">
        <v>225</v>
      </c>
      <c r="B780" s="42" t="s">
        <v>305</v>
      </c>
      <c r="C780" s="42" t="s">
        <v>260</v>
      </c>
      <c r="D780" s="21" t="s">
        <v>338</v>
      </c>
      <c r="E780" s="42" t="s">
        <v>201</v>
      </c>
      <c r="F780" s="7">
        <f aca="true" t="shared" si="245" ref="F780:K780">90-90</f>
        <v>0</v>
      </c>
      <c r="G780" s="7">
        <f t="shared" si="245"/>
        <v>0</v>
      </c>
      <c r="H780" s="7">
        <f t="shared" si="245"/>
        <v>0</v>
      </c>
      <c r="I780" s="7">
        <f t="shared" si="245"/>
        <v>0</v>
      </c>
      <c r="J780" s="7">
        <f t="shared" si="245"/>
        <v>0</v>
      </c>
      <c r="K780" s="7">
        <f t="shared" si="245"/>
        <v>0</v>
      </c>
    </row>
    <row r="781" spans="1:11" ht="15.75">
      <c r="A781" s="31" t="s">
        <v>182</v>
      </c>
      <c r="B781" s="42" t="s">
        <v>305</v>
      </c>
      <c r="C781" s="42" t="s">
        <v>260</v>
      </c>
      <c r="D781" s="42" t="s">
        <v>183</v>
      </c>
      <c r="E781" s="42"/>
      <c r="F781" s="7" t="e">
        <f aca="true" t="shared" si="246" ref="F781:K781">F782+F785</f>
        <v>#REF!</v>
      </c>
      <c r="G781" s="7" t="e">
        <f t="shared" si="246"/>
        <v>#REF!</v>
      </c>
      <c r="H781" s="7" t="e">
        <f t="shared" si="246"/>
        <v>#REF!</v>
      </c>
      <c r="I781" s="7" t="e">
        <f t="shared" si="246"/>
        <v>#REF!</v>
      </c>
      <c r="J781" s="7" t="e">
        <f t="shared" si="246"/>
        <v>#REF!</v>
      </c>
      <c r="K781" s="7">
        <f t="shared" si="246"/>
        <v>14383.199999999999</v>
      </c>
    </row>
    <row r="782" spans="1:11" ht="15.75">
      <c r="A782" s="31" t="s">
        <v>520</v>
      </c>
      <c r="B782" s="42" t="s">
        <v>305</v>
      </c>
      <c r="C782" s="42" t="s">
        <v>260</v>
      </c>
      <c r="D782" s="42" t="s">
        <v>521</v>
      </c>
      <c r="E782" s="42"/>
      <c r="F782" s="7" t="e">
        <f>F783</f>
        <v>#REF!</v>
      </c>
      <c r="G782" s="7" t="e">
        <f aca="true" t="shared" si="247" ref="G782:K783">G783</f>
        <v>#REF!</v>
      </c>
      <c r="H782" s="7" t="e">
        <f t="shared" si="247"/>
        <v>#REF!</v>
      </c>
      <c r="I782" s="7" t="e">
        <f t="shared" si="247"/>
        <v>#REF!</v>
      </c>
      <c r="J782" s="7" t="e">
        <f t="shared" si="247"/>
        <v>#REF!</v>
      </c>
      <c r="K782" s="7">
        <f t="shared" si="247"/>
        <v>600</v>
      </c>
    </row>
    <row r="783" spans="1:11" ht="31.5">
      <c r="A783" s="31" t="s">
        <v>172</v>
      </c>
      <c r="B783" s="42" t="s">
        <v>305</v>
      </c>
      <c r="C783" s="42" t="s">
        <v>260</v>
      </c>
      <c r="D783" s="42" t="s">
        <v>521</v>
      </c>
      <c r="E783" s="42" t="s">
        <v>173</v>
      </c>
      <c r="F783" s="7" t="e">
        <f>F784</f>
        <v>#REF!</v>
      </c>
      <c r="G783" s="7" t="e">
        <f t="shared" si="247"/>
        <v>#REF!</v>
      </c>
      <c r="H783" s="7" t="e">
        <f t="shared" si="247"/>
        <v>#REF!</v>
      </c>
      <c r="I783" s="7" t="e">
        <f t="shared" si="247"/>
        <v>#REF!</v>
      </c>
      <c r="J783" s="7" t="e">
        <f t="shared" si="247"/>
        <v>#REF!</v>
      </c>
      <c r="K783" s="7">
        <f t="shared" si="247"/>
        <v>600</v>
      </c>
    </row>
    <row r="784" spans="1:11" ht="47.25">
      <c r="A784" s="31" t="s">
        <v>174</v>
      </c>
      <c r="B784" s="42" t="s">
        <v>305</v>
      </c>
      <c r="C784" s="42" t="s">
        <v>260</v>
      </c>
      <c r="D784" s="42" t="s">
        <v>521</v>
      </c>
      <c r="E784" s="42" t="s">
        <v>175</v>
      </c>
      <c r="F784" s="7" t="e">
        <f>#REF!</f>
        <v>#REF!</v>
      </c>
      <c r="G784" s="7" t="e">
        <f>#REF!</f>
        <v>#REF!</v>
      </c>
      <c r="H784" s="7" t="e">
        <f>#REF!</f>
        <v>#REF!</v>
      </c>
      <c r="I784" s="7" t="e">
        <f>#REF!</f>
        <v>#REF!</v>
      </c>
      <c r="J784" s="7" t="e">
        <f>#REF!</f>
        <v>#REF!</v>
      </c>
      <c r="K784" s="7">
        <f>'Прил.№5 ведомств.'!G892</f>
        <v>600</v>
      </c>
    </row>
    <row r="785" spans="1:11" ht="31.5">
      <c r="A785" s="26" t="s">
        <v>381</v>
      </c>
      <c r="B785" s="42" t="s">
        <v>305</v>
      </c>
      <c r="C785" s="42" t="s">
        <v>260</v>
      </c>
      <c r="D785" s="42" t="s">
        <v>382</v>
      </c>
      <c r="E785" s="42"/>
      <c r="F785" s="7" t="e">
        <f aca="true" t="shared" si="248" ref="F785:K785">F786+F788+F790</f>
        <v>#REF!</v>
      </c>
      <c r="G785" s="7" t="e">
        <f t="shared" si="248"/>
        <v>#REF!</v>
      </c>
      <c r="H785" s="7" t="e">
        <f t="shared" si="248"/>
        <v>#REF!</v>
      </c>
      <c r="I785" s="7" t="e">
        <f t="shared" si="248"/>
        <v>#REF!</v>
      </c>
      <c r="J785" s="7" t="e">
        <f t="shared" si="248"/>
        <v>#REF!</v>
      </c>
      <c r="K785" s="7">
        <f t="shared" si="248"/>
        <v>13783.199999999999</v>
      </c>
    </row>
    <row r="786" spans="1:11" ht="78.75">
      <c r="A786" s="31" t="s">
        <v>168</v>
      </c>
      <c r="B786" s="42" t="s">
        <v>305</v>
      </c>
      <c r="C786" s="42" t="s">
        <v>260</v>
      </c>
      <c r="D786" s="42" t="s">
        <v>382</v>
      </c>
      <c r="E786" s="42" t="s">
        <v>169</v>
      </c>
      <c r="F786" s="7" t="e">
        <f aca="true" t="shared" si="249" ref="F786:K786">F787</f>
        <v>#REF!</v>
      </c>
      <c r="G786" s="7" t="e">
        <f t="shared" si="249"/>
        <v>#REF!</v>
      </c>
      <c r="H786" s="7" t="e">
        <f t="shared" si="249"/>
        <v>#REF!</v>
      </c>
      <c r="I786" s="7" t="e">
        <f t="shared" si="249"/>
        <v>#REF!</v>
      </c>
      <c r="J786" s="7" t="e">
        <f t="shared" si="249"/>
        <v>#REF!</v>
      </c>
      <c r="K786" s="7">
        <f t="shared" si="249"/>
        <v>12465.699999999999</v>
      </c>
    </row>
    <row r="787" spans="1:11" ht="31.5">
      <c r="A787" s="47" t="s">
        <v>383</v>
      </c>
      <c r="B787" s="42" t="s">
        <v>305</v>
      </c>
      <c r="C787" s="42" t="s">
        <v>260</v>
      </c>
      <c r="D787" s="42" t="s">
        <v>382</v>
      </c>
      <c r="E787" s="42" t="s">
        <v>250</v>
      </c>
      <c r="F787" s="62" t="e">
        <f>#REF!</f>
        <v>#REF!</v>
      </c>
      <c r="G787" s="62" t="e">
        <f>#REF!</f>
        <v>#REF!</v>
      </c>
      <c r="H787" s="62" t="e">
        <f>#REF!</f>
        <v>#REF!</v>
      </c>
      <c r="I787" s="62" t="e">
        <f>#REF!</f>
        <v>#REF!</v>
      </c>
      <c r="J787" s="62" t="e">
        <f>#REF!</f>
        <v>#REF!</v>
      </c>
      <c r="K787" s="62">
        <f>'Прил.№5 ведомств.'!G895</f>
        <v>12465.699999999999</v>
      </c>
    </row>
    <row r="788" spans="1:11" ht="31.5">
      <c r="A788" s="31" t="s">
        <v>172</v>
      </c>
      <c r="B788" s="42" t="s">
        <v>305</v>
      </c>
      <c r="C788" s="42" t="s">
        <v>260</v>
      </c>
      <c r="D788" s="42" t="s">
        <v>382</v>
      </c>
      <c r="E788" s="42" t="s">
        <v>173</v>
      </c>
      <c r="F788" s="7" t="e">
        <f aca="true" t="shared" si="250" ref="F788:K788">F789</f>
        <v>#REF!</v>
      </c>
      <c r="G788" s="7" t="e">
        <f t="shared" si="250"/>
        <v>#REF!</v>
      </c>
      <c r="H788" s="7" t="e">
        <f t="shared" si="250"/>
        <v>#REF!</v>
      </c>
      <c r="I788" s="7" t="e">
        <f t="shared" si="250"/>
        <v>#REF!</v>
      </c>
      <c r="J788" s="7" t="e">
        <f t="shared" si="250"/>
        <v>#REF!</v>
      </c>
      <c r="K788" s="7">
        <f t="shared" si="250"/>
        <v>1302.1</v>
      </c>
    </row>
    <row r="789" spans="1:11" ht="47.25">
      <c r="A789" s="31" t="s">
        <v>174</v>
      </c>
      <c r="B789" s="42" t="s">
        <v>305</v>
      </c>
      <c r="C789" s="42" t="s">
        <v>260</v>
      </c>
      <c r="D789" s="42" t="s">
        <v>382</v>
      </c>
      <c r="E789" s="42" t="s">
        <v>175</v>
      </c>
      <c r="F789" s="7" t="e">
        <f>#REF!</f>
        <v>#REF!</v>
      </c>
      <c r="G789" s="7" t="e">
        <f>#REF!</f>
        <v>#REF!</v>
      </c>
      <c r="H789" s="7" t="e">
        <f>#REF!</f>
        <v>#REF!</v>
      </c>
      <c r="I789" s="7" t="e">
        <f>#REF!</f>
        <v>#REF!</v>
      </c>
      <c r="J789" s="7" t="e">
        <f>#REF!</f>
        <v>#REF!</v>
      </c>
      <c r="K789" s="7">
        <f>'Прил.№5 ведомств.'!G897</f>
        <v>1302.1</v>
      </c>
    </row>
    <row r="790" spans="1:11" ht="15.75">
      <c r="A790" s="31" t="s">
        <v>176</v>
      </c>
      <c r="B790" s="42" t="s">
        <v>305</v>
      </c>
      <c r="C790" s="42" t="s">
        <v>260</v>
      </c>
      <c r="D790" s="42" t="s">
        <v>382</v>
      </c>
      <c r="E790" s="42" t="s">
        <v>186</v>
      </c>
      <c r="F790" s="7" t="e">
        <f aca="true" t="shared" si="251" ref="F790:K790">F791</f>
        <v>#REF!</v>
      </c>
      <c r="G790" s="7" t="e">
        <f t="shared" si="251"/>
        <v>#REF!</v>
      </c>
      <c r="H790" s="7" t="e">
        <f t="shared" si="251"/>
        <v>#REF!</v>
      </c>
      <c r="I790" s="7" t="e">
        <f t="shared" si="251"/>
        <v>#REF!</v>
      </c>
      <c r="J790" s="7" t="e">
        <f t="shared" si="251"/>
        <v>#REF!</v>
      </c>
      <c r="K790" s="7">
        <f t="shared" si="251"/>
        <v>15.4</v>
      </c>
    </row>
    <row r="791" spans="1:11" ht="15.75">
      <c r="A791" s="31" t="s">
        <v>610</v>
      </c>
      <c r="B791" s="42" t="s">
        <v>305</v>
      </c>
      <c r="C791" s="42" t="s">
        <v>260</v>
      </c>
      <c r="D791" s="42" t="s">
        <v>382</v>
      </c>
      <c r="E791" s="42" t="s">
        <v>179</v>
      </c>
      <c r="F791" s="7" t="e">
        <f>#REF!</f>
        <v>#REF!</v>
      </c>
      <c r="G791" s="7" t="e">
        <f>#REF!</f>
        <v>#REF!</v>
      </c>
      <c r="H791" s="7" t="e">
        <f>#REF!</f>
        <v>#REF!</v>
      </c>
      <c r="I791" s="7" t="e">
        <f>#REF!</f>
        <v>#REF!</v>
      </c>
      <c r="J791" s="7" t="e">
        <f>#REF!</f>
        <v>#REF!</v>
      </c>
      <c r="K791" s="7">
        <f>'Прил.№5 ведомств.'!G899</f>
        <v>15.4</v>
      </c>
    </row>
    <row r="792" spans="1:13" ht="15.75">
      <c r="A792" s="43" t="s">
        <v>339</v>
      </c>
      <c r="B792" s="8" t="s">
        <v>340</v>
      </c>
      <c r="C792" s="8"/>
      <c r="D792" s="8"/>
      <c r="E792" s="8"/>
      <c r="F792" s="4" t="e">
        <f aca="true" t="shared" si="252" ref="F792:K792">F793+F851</f>
        <v>#REF!</v>
      </c>
      <c r="G792" s="4" t="e">
        <f t="shared" si="252"/>
        <v>#REF!</v>
      </c>
      <c r="H792" s="4" t="e">
        <f t="shared" si="252"/>
        <v>#REF!</v>
      </c>
      <c r="I792" s="4" t="e">
        <f t="shared" si="252"/>
        <v>#REF!</v>
      </c>
      <c r="J792" s="4" t="e">
        <f t="shared" si="252"/>
        <v>#REF!</v>
      </c>
      <c r="K792" s="4">
        <f t="shared" si="252"/>
        <v>68235.29999999999</v>
      </c>
      <c r="M792" s="23"/>
    </row>
    <row r="793" spans="1:15" ht="15.75">
      <c r="A793" s="43" t="s">
        <v>341</v>
      </c>
      <c r="B793" s="8" t="s">
        <v>340</v>
      </c>
      <c r="C793" s="8" t="s">
        <v>159</v>
      </c>
      <c r="D793" s="8"/>
      <c r="E793" s="8"/>
      <c r="F793" s="4" t="e">
        <f>F794+F830+F801</f>
        <v>#REF!</v>
      </c>
      <c r="G793" s="4" t="e">
        <f>G794+G830+G801</f>
        <v>#REF!</v>
      </c>
      <c r="H793" s="4" t="e">
        <f>H794+H830+H801</f>
        <v>#REF!</v>
      </c>
      <c r="I793" s="4" t="e">
        <f>I794+I830+I801</f>
        <v>#REF!</v>
      </c>
      <c r="J793" s="4" t="e">
        <f>J794+J830+J801</f>
        <v>#REF!</v>
      </c>
      <c r="K793" s="4">
        <f>K794+K830+K801+K826</f>
        <v>49157.2</v>
      </c>
      <c r="L793" s="23"/>
      <c r="M793" s="23"/>
      <c r="N793" s="23"/>
      <c r="O793" s="23"/>
    </row>
    <row r="794" spans="1:13" ht="31.5">
      <c r="A794" s="31" t="s">
        <v>307</v>
      </c>
      <c r="B794" s="42" t="s">
        <v>340</v>
      </c>
      <c r="C794" s="42" t="s">
        <v>159</v>
      </c>
      <c r="D794" s="42" t="s">
        <v>308</v>
      </c>
      <c r="E794" s="42"/>
      <c r="F794" s="7" t="e">
        <f>F795+#REF!</f>
        <v>#REF!</v>
      </c>
      <c r="G794" s="7" t="e">
        <f>G795+#REF!</f>
        <v>#REF!</v>
      </c>
      <c r="H794" s="7" t="e">
        <f>H795+#REF!</f>
        <v>#REF!</v>
      </c>
      <c r="I794" s="7" t="e">
        <f>I795+#REF!</f>
        <v>#REF!</v>
      </c>
      <c r="J794" s="7" t="e">
        <f>J795+#REF!</f>
        <v>#REF!</v>
      </c>
      <c r="K794" s="7">
        <f>K795+K812</f>
        <v>45443.3</v>
      </c>
      <c r="M794" s="269"/>
    </row>
    <row r="795" spans="1:11" ht="47.25">
      <c r="A795" s="31" t="s">
        <v>342</v>
      </c>
      <c r="B795" s="42" t="s">
        <v>340</v>
      </c>
      <c r="C795" s="42" t="s">
        <v>159</v>
      </c>
      <c r="D795" s="42" t="s">
        <v>343</v>
      </c>
      <c r="E795" s="42"/>
      <c r="F795" s="7" t="e">
        <f>F796+#REF!+#REF!+#REF!+#REF!+#REF!+#REF!+#REF!+#REF!+#REF!</f>
        <v>#REF!</v>
      </c>
      <c r="G795" s="7" t="e">
        <f>G796+#REF!+#REF!+#REF!+#REF!+#REF!+#REF!+#REF!+#REF!+#REF!</f>
        <v>#REF!</v>
      </c>
      <c r="H795" s="7" t="e">
        <f>H796+#REF!+#REF!+#REF!+#REF!+#REF!+#REF!+#REF!+#REF!+#REF!</f>
        <v>#REF!</v>
      </c>
      <c r="I795" s="7" t="e">
        <f>I796+#REF!+#REF!+#REF!+#REF!+#REF!+#REF!+#REF!+#REF!+#REF!</f>
        <v>#REF!</v>
      </c>
      <c r="J795" s="7" t="e">
        <f>J796+#REF!+#REF!+#REF!+#REF!+#REF!+#REF!+#REF!+#REF!+#REF!</f>
        <v>#REF!</v>
      </c>
      <c r="K795" s="7">
        <f>K796+K805</f>
        <v>25924.600000000002</v>
      </c>
    </row>
    <row r="796" spans="1:11" ht="31.5">
      <c r="A796" s="33" t="s">
        <v>1041</v>
      </c>
      <c r="B796" s="42" t="s">
        <v>340</v>
      </c>
      <c r="C796" s="42" t="s">
        <v>159</v>
      </c>
      <c r="D796" s="42" t="s">
        <v>1042</v>
      </c>
      <c r="E796" s="42"/>
      <c r="F796" s="7" t="e">
        <f>F799</f>
        <v>#REF!</v>
      </c>
      <c r="G796" s="7" t="e">
        <f>G799</f>
        <v>#REF!</v>
      </c>
      <c r="H796" s="7" t="e">
        <f>H799</f>
        <v>#REF!</v>
      </c>
      <c r="I796" s="7" t="e">
        <f>I799</f>
        <v>#REF!</v>
      </c>
      <c r="J796" s="7" t="e">
        <f>J799</f>
        <v>#REF!</v>
      </c>
      <c r="K796" s="7">
        <f>K797+K799</f>
        <v>2050</v>
      </c>
    </row>
    <row r="797" spans="1:11" ht="78.75">
      <c r="A797" s="277" t="s">
        <v>168</v>
      </c>
      <c r="B797" s="42" t="s">
        <v>340</v>
      </c>
      <c r="C797" s="42" t="s">
        <v>159</v>
      </c>
      <c r="D797" s="42" t="s">
        <v>1042</v>
      </c>
      <c r="E797" s="42" t="s">
        <v>169</v>
      </c>
      <c r="F797" s="7"/>
      <c r="G797" s="7"/>
      <c r="H797" s="7"/>
      <c r="I797" s="7"/>
      <c r="J797" s="7"/>
      <c r="K797" s="7">
        <f>K798</f>
        <v>925</v>
      </c>
    </row>
    <row r="798" spans="1:11" ht="31.5">
      <c r="A798" s="26" t="s">
        <v>249</v>
      </c>
      <c r="B798" s="42" t="s">
        <v>340</v>
      </c>
      <c r="C798" s="42" t="s">
        <v>159</v>
      </c>
      <c r="D798" s="42" t="s">
        <v>1042</v>
      </c>
      <c r="E798" s="42" t="s">
        <v>250</v>
      </c>
      <c r="F798" s="7"/>
      <c r="G798" s="7"/>
      <c r="H798" s="7"/>
      <c r="I798" s="7"/>
      <c r="J798" s="7"/>
      <c r="K798" s="7">
        <f>'Прил.№5 ведомств.'!G385</f>
        <v>925</v>
      </c>
    </row>
    <row r="799" spans="1:11" ht="31.5">
      <c r="A799" s="26" t="s">
        <v>172</v>
      </c>
      <c r="B799" s="42" t="s">
        <v>340</v>
      </c>
      <c r="C799" s="42" t="s">
        <v>159</v>
      </c>
      <c r="D799" s="42" t="s">
        <v>1042</v>
      </c>
      <c r="E799" s="42" t="s">
        <v>173</v>
      </c>
      <c r="F799" s="7" t="e">
        <f aca="true" t="shared" si="253" ref="F799:K799">F800</f>
        <v>#REF!</v>
      </c>
      <c r="G799" s="7" t="e">
        <f t="shared" si="253"/>
        <v>#REF!</v>
      </c>
      <c r="H799" s="7" t="e">
        <f t="shared" si="253"/>
        <v>#REF!</v>
      </c>
      <c r="I799" s="7" t="e">
        <f t="shared" si="253"/>
        <v>#REF!</v>
      </c>
      <c r="J799" s="7" t="e">
        <f t="shared" si="253"/>
        <v>#REF!</v>
      </c>
      <c r="K799" s="7">
        <f t="shared" si="253"/>
        <v>1125</v>
      </c>
    </row>
    <row r="800" spans="1:17" ht="47.25">
      <c r="A800" s="26" t="s">
        <v>174</v>
      </c>
      <c r="B800" s="42" t="s">
        <v>340</v>
      </c>
      <c r="C800" s="42" t="s">
        <v>159</v>
      </c>
      <c r="D800" s="42" t="s">
        <v>1042</v>
      </c>
      <c r="E800" s="42" t="s">
        <v>175</v>
      </c>
      <c r="F800" s="7" t="e">
        <f>#REF!</f>
        <v>#REF!</v>
      </c>
      <c r="G800" s="7" t="e">
        <f>#REF!</f>
        <v>#REF!</v>
      </c>
      <c r="H800" s="7" t="e">
        <f>#REF!</f>
        <v>#REF!</v>
      </c>
      <c r="I800" s="7" t="e">
        <f>#REF!</f>
        <v>#REF!</v>
      </c>
      <c r="J800" s="7" t="e">
        <f>#REF!</f>
        <v>#REF!</v>
      </c>
      <c r="K800" s="7">
        <f>'Прил.№5 ведомств.'!G387</f>
        <v>1125</v>
      </c>
      <c r="L800" s="23"/>
      <c r="Q800" s="23"/>
    </row>
    <row r="801" spans="1:11" ht="63" hidden="1">
      <c r="A801" s="31" t="s">
        <v>364</v>
      </c>
      <c r="B801" s="42" t="s">
        <v>340</v>
      </c>
      <c r="C801" s="42" t="s">
        <v>159</v>
      </c>
      <c r="D801" s="42" t="s">
        <v>365</v>
      </c>
      <c r="E801" s="21"/>
      <c r="F801" s="7" t="e">
        <f>F802</f>
        <v>#REF!</v>
      </c>
      <c r="G801" s="7" t="e">
        <f aca="true" t="shared" si="254" ref="G801:K803">G802</f>
        <v>#REF!</v>
      </c>
      <c r="H801" s="7" t="e">
        <f t="shared" si="254"/>
        <v>#REF!</v>
      </c>
      <c r="I801" s="7" t="e">
        <f t="shared" si="254"/>
        <v>#REF!</v>
      </c>
      <c r="J801" s="7" t="e">
        <f t="shared" si="254"/>
        <v>#REF!</v>
      </c>
      <c r="K801" s="7">
        <f t="shared" si="254"/>
        <v>0</v>
      </c>
    </row>
    <row r="802" spans="1:11" ht="47.25" hidden="1">
      <c r="A802" s="26" t="s">
        <v>668</v>
      </c>
      <c r="B802" s="42" t="s">
        <v>340</v>
      </c>
      <c r="C802" s="42" t="s">
        <v>159</v>
      </c>
      <c r="D802" s="42" t="s">
        <v>367</v>
      </c>
      <c r="E802" s="21"/>
      <c r="F802" s="7" t="e">
        <f>F803</f>
        <v>#REF!</v>
      </c>
      <c r="G802" s="7" t="e">
        <f t="shared" si="254"/>
        <v>#REF!</v>
      </c>
      <c r="H802" s="7" t="e">
        <f t="shared" si="254"/>
        <v>#REF!</v>
      </c>
      <c r="I802" s="7" t="e">
        <f t="shared" si="254"/>
        <v>#REF!</v>
      </c>
      <c r="J802" s="7" t="e">
        <f t="shared" si="254"/>
        <v>#REF!</v>
      </c>
      <c r="K802" s="7">
        <f t="shared" si="254"/>
        <v>0</v>
      </c>
    </row>
    <row r="803" spans="1:11" ht="47.25" hidden="1">
      <c r="A803" s="31" t="s">
        <v>313</v>
      </c>
      <c r="B803" s="42" t="s">
        <v>340</v>
      </c>
      <c r="C803" s="42" t="s">
        <v>159</v>
      </c>
      <c r="D803" s="42" t="s">
        <v>367</v>
      </c>
      <c r="E803" s="21" t="s">
        <v>314</v>
      </c>
      <c r="F803" s="7" t="e">
        <f>F804</f>
        <v>#REF!</v>
      </c>
      <c r="G803" s="7" t="e">
        <f t="shared" si="254"/>
        <v>#REF!</v>
      </c>
      <c r="H803" s="7" t="e">
        <f t="shared" si="254"/>
        <v>#REF!</v>
      </c>
      <c r="I803" s="7" t="e">
        <f t="shared" si="254"/>
        <v>#REF!</v>
      </c>
      <c r="J803" s="7" t="e">
        <f t="shared" si="254"/>
        <v>#REF!</v>
      </c>
      <c r="K803" s="7">
        <f t="shared" si="254"/>
        <v>0</v>
      </c>
    </row>
    <row r="804" spans="1:11" ht="15.75" hidden="1">
      <c r="A804" s="31" t="s">
        <v>315</v>
      </c>
      <c r="B804" s="42" t="s">
        <v>340</v>
      </c>
      <c r="C804" s="42" t="s">
        <v>159</v>
      </c>
      <c r="D804" s="42" t="s">
        <v>367</v>
      </c>
      <c r="E804" s="21" t="s">
        <v>316</v>
      </c>
      <c r="F804" s="7" t="e">
        <f>#REF!</f>
        <v>#REF!</v>
      </c>
      <c r="G804" s="7" t="e">
        <f>#REF!</f>
        <v>#REF!</v>
      </c>
      <c r="H804" s="7" t="e">
        <f>#REF!</f>
        <v>#REF!</v>
      </c>
      <c r="I804" s="7" t="e">
        <f>#REF!</f>
        <v>#REF!</v>
      </c>
      <c r="J804" s="7" t="e">
        <f>#REF!</f>
        <v>#REF!</v>
      </c>
      <c r="K804" s="7">
        <f>'Прил.№5 ведомств.'!G462</f>
        <v>0</v>
      </c>
    </row>
    <row r="805" spans="1:11" ht="15.75">
      <c r="A805" s="26" t="s">
        <v>990</v>
      </c>
      <c r="B805" s="21" t="s">
        <v>340</v>
      </c>
      <c r="C805" s="21" t="s">
        <v>159</v>
      </c>
      <c r="D805" s="21" t="s">
        <v>352</v>
      </c>
      <c r="E805" s="21"/>
      <c r="F805" s="7"/>
      <c r="G805" s="7"/>
      <c r="H805" s="7"/>
      <c r="I805" s="7"/>
      <c r="J805" s="7"/>
      <c r="K805" s="7">
        <f>K806+K808+K810</f>
        <v>23874.600000000002</v>
      </c>
    </row>
    <row r="806" spans="1:11" ht="78.75">
      <c r="A806" s="26" t="s">
        <v>168</v>
      </c>
      <c r="B806" s="21" t="s">
        <v>340</v>
      </c>
      <c r="C806" s="21" t="s">
        <v>159</v>
      </c>
      <c r="D806" s="21" t="s">
        <v>352</v>
      </c>
      <c r="E806" s="21" t="s">
        <v>169</v>
      </c>
      <c r="F806" s="7"/>
      <c r="G806" s="7"/>
      <c r="H806" s="7"/>
      <c r="I806" s="7"/>
      <c r="J806" s="7"/>
      <c r="K806" s="7">
        <f>K807</f>
        <v>18085.4</v>
      </c>
    </row>
    <row r="807" spans="1:11" ht="31.5">
      <c r="A807" s="26" t="s">
        <v>249</v>
      </c>
      <c r="B807" s="21" t="s">
        <v>340</v>
      </c>
      <c r="C807" s="21" t="s">
        <v>159</v>
      </c>
      <c r="D807" s="21" t="s">
        <v>352</v>
      </c>
      <c r="E807" s="21" t="s">
        <v>250</v>
      </c>
      <c r="F807" s="7"/>
      <c r="G807" s="7"/>
      <c r="H807" s="7"/>
      <c r="I807" s="7"/>
      <c r="J807" s="7"/>
      <c r="K807" s="7">
        <f>'Прил.№5 ведомств.'!G418</f>
        <v>18085.4</v>
      </c>
    </row>
    <row r="808" spans="1:11" ht="31.5">
      <c r="A808" s="26" t="s">
        <v>172</v>
      </c>
      <c r="B808" s="21" t="s">
        <v>340</v>
      </c>
      <c r="C808" s="21" t="s">
        <v>159</v>
      </c>
      <c r="D808" s="21" t="s">
        <v>352</v>
      </c>
      <c r="E808" s="21" t="s">
        <v>173</v>
      </c>
      <c r="F808" s="7"/>
      <c r="G808" s="7"/>
      <c r="H808" s="7"/>
      <c r="I808" s="7"/>
      <c r="J808" s="7"/>
      <c r="K808" s="7">
        <f>K809</f>
        <v>5681.2</v>
      </c>
    </row>
    <row r="809" spans="1:11" ht="47.25">
      <c r="A809" s="26" t="s">
        <v>174</v>
      </c>
      <c r="B809" s="21" t="s">
        <v>340</v>
      </c>
      <c r="C809" s="21" t="s">
        <v>159</v>
      </c>
      <c r="D809" s="21" t="s">
        <v>352</v>
      </c>
      <c r="E809" s="21" t="s">
        <v>175</v>
      </c>
      <c r="F809" s="7"/>
      <c r="G809" s="7"/>
      <c r="H809" s="7"/>
      <c r="I809" s="7"/>
      <c r="J809" s="7"/>
      <c r="K809" s="7">
        <f>'Прил.№5 ведомств.'!G420</f>
        <v>5681.2</v>
      </c>
    </row>
    <row r="810" spans="1:11" ht="15.75" hidden="1">
      <c r="A810" s="26" t="s">
        <v>176</v>
      </c>
      <c r="B810" s="21" t="s">
        <v>340</v>
      </c>
      <c r="C810" s="21" t="s">
        <v>159</v>
      </c>
      <c r="D810" s="21" t="s">
        <v>352</v>
      </c>
      <c r="E810" s="21" t="s">
        <v>186</v>
      </c>
      <c r="F810" s="7"/>
      <c r="G810" s="7"/>
      <c r="H810" s="7"/>
      <c r="I810" s="7"/>
      <c r="J810" s="7"/>
      <c r="K810" s="7">
        <f>K811</f>
        <v>108</v>
      </c>
    </row>
    <row r="811" spans="1:11" ht="15.75" hidden="1">
      <c r="A811" s="26" t="s">
        <v>178</v>
      </c>
      <c r="B811" s="21" t="s">
        <v>340</v>
      </c>
      <c r="C811" s="21" t="s">
        <v>159</v>
      </c>
      <c r="D811" s="21" t="s">
        <v>352</v>
      </c>
      <c r="E811" s="21" t="s">
        <v>179</v>
      </c>
      <c r="F811" s="7"/>
      <c r="G811" s="7"/>
      <c r="H811" s="7"/>
      <c r="I811" s="7"/>
      <c r="J811" s="7"/>
      <c r="K811" s="7">
        <f>'Прил.№5 ведомств.'!G422</f>
        <v>108</v>
      </c>
    </row>
    <row r="812" spans="1:11" ht="31.5">
      <c r="A812" s="26" t="s">
        <v>353</v>
      </c>
      <c r="B812" s="21" t="s">
        <v>340</v>
      </c>
      <c r="C812" s="21" t="s">
        <v>159</v>
      </c>
      <c r="D812" s="21" t="s">
        <v>354</v>
      </c>
      <c r="E812" s="21"/>
      <c r="F812" s="7"/>
      <c r="G812" s="7"/>
      <c r="H812" s="7"/>
      <c r="I812" s="7"/>
      <c r="J812" s="7"/>
      <c r="K812" s="7">
        <f>K819+K813+K816</f>
        <v>19518.699999999997</v>
      </c>
    </row>
    <row r="813" spans="1:11" ht="31.5">
      <c r="A813" s="26" t="s">
        <v>370</v>
      </c>
      <c r="B813" s="21" t="s">
        <v>340</v>
      </c>
      <c r="C813" s="21" t="s">
        <v>159</v>
      </c>
      <c r="D813" s="21" t="s">
        <v>357</v>
      </c>
      <c r="E813" s="21"/>
      <c r="F813" s="7"/>
      <c r="G813" s="7"/>
      <c r="H813" s="7"/>
      <c r="I813" s="7"/>
      <c r="J813" s="7"/>
      <c r="K813" s="7">
        <f>K814</f>
        <v>3.5</v>
      </c>
    </row>
    <row r="814" spans="1:11" ht="31.5">
      <c r="A814" s="26" t="s">
        <v>172</v>
      </c>
      <c r="B814" s="21" t="s">
        <v>340</v>
      </c>
      <c r="C814" s="21" t="s">
        <v>159</v>
      </c>
      <c r="D814" s="21" t="s">
        <v>357</v>
      </c>
      <c r="E814" s="21" t="s">
        <v>173</v>
      </c>
      <c r="F814" s="7"/>
      <c r="G814" s="7"/>
      <c r="H814" s="7"/>
      <c r="I814" s="7"/>
      <c r="J814" s="7"/>
      <c r="K814" s="7">
        <f>K815</f>
        <v>3.5</v>
      </c>
    </row>
    <row r="815" spans="1:11" s="1" customFormat="1" ht="47.25">
      <c r="A815" s="26" t="s">
        <v>174</v>
      </c>
      <c r="B815" s="21" t="s">
        <v>340</v>
      </c>
      <c r="C815" s="21" t="s">
        <v>159</v>
      </c>
      <c r="D815" s="21" t="s">
        <v>357</v>
      </c>
      <c r="E815" s="21" t="s">
        <v>175</v>
      </c>
      <c r="F815" s="7"/>
      <c r="G815" s="7"/>
      <c r="H815" s="7"/>
      <c r="I815" s="7"/>
      <c r="J815" s="7"/>
      <c r="K815" s="7">
        <f>'Прил.№5 ведомств.'!G426</f>
        <v>3.5</v>
      </c>
    </row>
    <row r="816" spans="1:11" ht="31.5">
      <c r="A816" s="26" t="s">
        <v>1057</v>
      </c>
      <c r="B816" s="21" t="s">
        <v>340</v>
      </c>
      <c r="C816" s="21" t="s">
        <v>159</v>
      </c>
      <c r="D816" s="21" t="s">
        <v>1058</v>
      </c>
      <c r="E816" s="21"/>
      <c r="F816" s="7"/>
      <c r="G816" s="7"/>
      <c r="H816" s="7"/>
      <c r="I816" s="7"/>
      <c r="J816" s="7"/>
      <c r="K816" s="7">
        <f>K817</f>
        <v>227.5</v>
      </c>
    </row>
    <row r="817" spans="1:11" ht="31.5">
      <c r="A817" s="26" t="s">
        <v>172</v>
      </c>
      <c r="B817" s="21" t="s">
        <v>340</v>
      </c>
      <c r="C817" s="21" t="s">
        <v>159</v>
      </c>
      <c r="D817" s="21" t="s">
        <v>1058</v>
      </c>
      <c r="E817" s="21" t="s">
        <v>173</v>
      </c>
      <c r="F817" s="7"/>
      <c r="G817" s="7"/>
      <c r="H817" s="7"/>
      <c r="I817" s="7"/>
      <c r="J817" s="7"/>
      <c r="K817" s="7">
        <f>K818</f>
        <v>227.5</v>
      </c>
    </row>
    <row r="818" spans="1:11" ht="47.25">
      <c r="A818" s="26" t="s">
        <v>174</v>
      </c>
      <c r="B818" s="21" t="s">
        <v>340</v>
      </c>
      <c r="C818" s="21" t="s">
        <v>159</v>
      </c>
      <c r="D818" s="21" t="s">
        <v>1058</v>
      </c>
      <c r="E818" s="21" t="s">
        <v>175</v>
      </c>
      <c r="F818" s="7"/>
      <c r="G818" s="7"/>
      <c r="H818" s="7"/>
      <c r="I818" s="7"/>
      <c r="J818" s="7"/>
      <c r="K818" s="7">
        <f>'Прил.№5 ведомств.'!G429</f>
        <v>227.5</v>
      </c>
    </row>
    <row r="819" spans="1:11" ht="15.75">
      <c r="A819" s="26" t="s">
        <v>990</v>
      </c>
      <c r="B819" s="21" t="s">
        <v>340</v>
      </c>
      <c r="C819" s="21" t="s">
        <v>159</v>
      </c>
      <c r="D819" s="21" t="s">
        <v>992</v>
      </c>
      <c r="E819" s="21"/>
      <c r="F819" s="7"/>
      <c r="G819" s="7"/>
      <c r="H819" s="7"/>
      <c r="I819" s="7"/>
      <c r="J819" s="7"/>
      <c r="K819" s="7">
        <f>K820+K822+K824</f>
        <v>19287.699999999997</v>
      </c>
    </row>
    <row r="820" spans="1:11" ht="78.75">
      <c r="A820" s="26" t="s">
        <v>168</v>
      </c>
      <c r="B820" s="21" t="s">
        <v>340</v>
      </c>
      <c r="C820" s="21" t="s">
        <v>159</v>
      </c>
      <c r="D820" s="21" t="s">
        <v>992</v>
      </c>
      <c r="E820" s="21" t="s">
        <v>169</v>
      </c>
      <c r="F820" s="7"/>
      <c r="G820" s="7"/>
      <c r="H820" s="7"/>
      <c r="I820" s="7"/>
      <c r="J820" s="7"/>
      <c r="K820" s="7">
        <f>K821</f>
        <v>15393.199999999999</v>
      </c>
    </row>
    <row r="821" spans="1:11" ht="31.5">
      <c r="A821" s="26" t="s">
        <v>249</v>
      </c>
      <c r="B821" s="21" t="s">
        <v>340</v>
      </c>
      <c r="C821" s="21" t="s">
        <v>159</v>
      </c>
      <c r="D821" s="21" t="s">
        <v>992</v>
      </c>
      <c r="E821" s="21" t="s">
        <v>250</v>
      </c>
      <c r="F821" s="7"/>
      <c r="G821" s="7"/>
      <c r="H821" s="7"/>
      <c r="I821" s="7"/>
      <c r="J821" s="7"/>
      <c r="K821" s="7">
        <f>'Прил.№5 ведомств.'!G465</f>
        <v>15393.199999999999</v>
      </c>
    </row>
    <row r="822" spans="1:11" ht="31.5">
      <c r="A822" s="26" t="s">
        <v>172</v>
      </c>
      <c r="B822" s="21" t="s">
        <v>340</v>
      </c>
      <c r="C822" s="21" t="s">
        <v>159</v>
      </c>
      <c r="D822" s="21" t="s">
        <v>992</v>
      </c>
      <c r="E822" s="21" t="s">
        <v>173</v>
      </c>
      <c r="F822" s="7"/>
      <c r="G822" s="7"/>
      <c r="H822" s="7"/>
      <c r="I822" s="7"/>
      <c r="J822" s="7"/>
      <c r="K822" s="7">
        <f>K823</f>
        <v>3857.9</v>
      </c>
    </row>
    <row r="823" spans="1:11" ht="47.25">
      <c r="A823" s="26" t="s">
        <v>174</v>
      </c>
      <c r="B823" s="21" t="s">
        <v>340</v>
      </c>
      <c r="C823" s="21" t="s">
        <v>159</v>
      </c>
      <c r="D823" s="21" t="s">
        <v>992</v>
      </c>
      <c r="E823" s="21" t="s">
        <v>175</v>
      </c>
      <c r="F823" s="7"/>
      <c r="G823" s="7"/>
      <c r="H823" s="7"/>
      <c r="I823" s="7"/>
      <c r="J823" s="7"/>
      <c r="K823" s="7">
        <f>'Прил.№5 ведомств.'!G467</f>
        <v>3857.9</v>
      </c>
    </row>
    <row r="824" spans="1:11" ht="15.75" hidden="1">
      <c r="A824" s="26" t="s">
        <v>176</v>
      </c>
      <c r="B824" s="21" t="s">
        <v>340</v>
      </c>
      <c r="C824" s="21" t="s">
        <v>159</v>
      </c>
      <c r="D824" s="21" t="s">
        <v>992</v>
      </c>
      <c r="E824" s="21" t="s">
        <v>186</v>
      </c>
      <c r="F824" s="7"/>
      <c r="G824" s="7"/>
      <c r="H824" s="7"/>
      <c r="I824" s="7"/>
      <c r="J824" s="7"/>
      <c r="K824" s="7">
        <f>K825</f>
        <v>36.6</v>
      </c>
    </row>
    <row r="825" spans="1:11" ht="15.75" hidden="1">
      <c r="A825" s="26" t="s">
        <v>178</v>
      </c>
      <c r="B825" s="21" t="s">
        <v>340</v>
      </c>
      <c r="C825" s="21" t="s">
        <v>159</v>
      </c>
      <c r="D825" s="21" t="s">
        <v>992</v>
      </c>
      <c r="E825" s="21" t="s">
        <v>179</v>
      </c>
      <c r="F825" s="7"/>
      <c r="G825" s="7"/>
      <c r="H825" s="7"/>
      <c r="I825" s="7"/>
      <c r="J825" s="7"/>
      <c r="K825" s="7">
        <f>'Прил.№5 ведомств.'!G469</f>
        <v>36.6</v>
      </c>
    </row>
    <row r="826" spans="1:11" ht="63">
      <c r="A826" s="31" t="s">
        <v>782</v>
      </c>
      <c r="B826" s="21" t="s">
        <v>340</v>
      </c>
      <c r="C826" s="21" t="s">
        <v>159</v>
      </c>
      <c r="D826" s="21" t="s">
        <v>780</v>
      </c>
      <c r="E826" s="34"/>
      <c r="F826" s="7"/>
      <c r="G826" s="7"/>
      <c r="H826" s="7"/>
      <c r="I826" s="7"/>
      <c r="J826" s="7"/>
      <c r="K826" s="7">
        <f>K827</f>
        <v>793.2</v>
      </c>
    </row>
    <row r="827" spans="1:11" ht="47.25">
      <c r="A827" s="120" t="s">
        <v>911</v>
      </c>
      <c r="B827" s="21" t="s">
        <v>340</v>
      </c>
      <c r="C827" s="21" t="s">
        <v>159</v>
      </c>
      <c r="D827" s="21" t="s">
        <v>915</v>
      </c>
      <c r="E827" s="34"/>
      <c r="F827" s="7"/>
      <c r="G827" s="7"/>
      <c r="H827" s="7"/>
      <c r="I827" s="7"/>
      <c r="J827" s="7"/>
      <c r="K827" s="7">
        <f>K828</f>
        <v>793.2</v>
      </c>
    </row>
    <row r="828" spans="1:11" ht="31.5">
      <c r="A828" s="26" t="s">
        <v>172</v>
      </c>
      <c r="B828" s="21" t="s">
        <v>340</v>
      </c>
      <c r="C828" s="21" t="s">
        <v>159</v>
      </c>
      <c r="D828" s="21" t="s">
        <v>915</v>
      </c>
      <c r="E828" s="34" t="s">
        <v>173</v>
      </c>
      <c r="F828" s="7"/>
      <c r="G828" s="7"/>
      <c r="H828" s="7"/>
      <c r="I828" s="7"/>
      <c r="J828" s="7"/>
      <c r="K828" s="7">
        <f>K829</f>
        <v>793.2</v>
      </c>
    </row>
    <row r="829" spans="1:11" ht="47.25">
      <c r="A829" s="26" t="s">
        <v>174</v>
      </c>
      <c r="B829" s="21" t="s">
        <v>340</v>
      </c>
      <c r="C829" s="21" t="s">
        <v>159</v>
      </c>
      <c r="D829" s="21" t="s">
        <v>915</v>
      </c>
      <c r="E829" s="34" t="s">
        <v>175</v>
      </c>
      <c r="F829" s="7"/>
      <c r="G829" s="7"/>
      <c r="H829" s="7"/>
      <c r="I829" s="7"/>
      <c r="J829" s="7"/>
      <c r="K829" s="7">
        <f>'Прил.№5 ведомств.'!G477</f>
        <v>793.2</v>
      </c>
    </row>
    <row r="830" spans="1:11" ht="15.75">
      <c r="A830" s="31" t="s">
        <v>162</v>
      </c>
      <c r="B830" s="42" t="s">
        <v>340</v>
      </c>
      <c r="C830" s="42" t="s">
        <v>159</v>
      </c>
      <c r="D830" s="42" t="s">
        <v>163</v>
      </c>
      <c r="E830" s="42"/>
      <c r="F830" s="7" t="e">
        <f aca="true" t="shared" si="255" ref="F830:K830">F831</f>
        <v>#REF!</v>
      </c>
      <c r="G830" s="7" t="e">
        <f t="shared" si="255"/>
        <v>#REF!</v>
      </c>
      <c r="H830" s="7" t="e">
        <f t="shared" si="255"/>
        <v>#REF!</v>
      </c>
      <c r="I830" s="7" t="e">
        <f t="shared" si="255"/>
        <v>#REF!</v>
      </c>
      <c r="J830" s="7" t="e">
        <f t="shared" si="255"/>
        <v>#REF!</v>
      </c>
      <c r="K830" s="7">
        <f t="shared" si="255"/>
        <v>2920.7</v>
      </c>
    </row>
    <row r="831" spans="1:11" ht="31.5">
      <c r="A831" s="31" t="s">
        <v>226</v>
      </c>
      <c r="B831" s="42" t="s">
        <v>340</v>
      </c>
      <c r="C831" s="42" t="s">
        <v>159</v>
      </c>
      <c r="D831" s="42" t="s">
        <v>227</v>
      </c>
      <c r="E831" s="42"/>
      <c r="F831" s="7" t="e">
        <f aca="true" t="shared" si="256" ref="F831:K831">F834+F836+F839+F841+F844+F845+F848</f>
        <v>#REF!</v>
      </c>
      <c r="G831" s="7" t="e">
        <f t="shared" si="256"/>
        <v>#REF!</v>
      </c>
      <c r="H831" s="7" t="e">
        <f t="shared" si="256"/>
        <v>#REF!</v>
      </c>
      <c r="I831" s="7" t="e">
        <f t="shared" si="256"/>
        <v>#REF!</v>
      </c>
      <c r="J831" s="7" t="e">
        <f t="shared" si="256"/>
        <v>#REF!</v>
      </c>
      <c r="K831" s="7">
        <f t="shared" si="256"/>
        <v>2920.7</v>
      </c>
    </row>
    <row r="832" spans="1:11" ht="31.5" customHeight="1" hidden="1">
      <c r="A832" s="67" t="s">
        <v>368</v>
      </c>
      <c r="B832" s="42" t="s">
        <v>340</v>
      </c>
      <c r="C832" s="42" t="s">
        <v>159</v>
      </c>
      <c r="D832" s="42" t="s">
        <v>369</v>
      </c>
      <c r="E832" s="42"/>
      <c r="F832" s="7">
        <f aca="true" t="shared" si="257" ref="F832:K832">F833+F835</f>
        <v>0</v>
      </c>
      <c r="G832" s="7">
        <f t="shared" si="257"/>
        <v>0</v>
      </c>
      <c r="H832" s="7">
        <f t="shared" si="257"/>
        <v>0</v>
      </c>
      <c r="I832" s="7">
        <f t="shared" si="257"/>
        <v>0</v>
      </c>
      <c r="J832" s="7">
        <f t="shared" si="257"/>
        <v>0</v>
      </c>
      <c r="K832" s="7">
        <f t="shared" si="257"/>
        <v>0</v>
      </c>
    </row>
    <row r="833" spans="1:11" ht="31.5" customHeight="1" hidden="1">
      <c r="A833" s="31" t="s">
        <v>172</v>
      </c>
      <c r="B833" s="42" t="s">
        <v>340</v>
      </c>
      <c r="C833" s="42" t="s">
        <v>159</v>
      </c>
      <c r="D833" s="42" t="s">
        <v>369</v>
      </c>
      <c r="E833" s="42" t="s">
        <v>173</v>
      </c>
      <c r="F833" s="7">
        <f aca="true" t="shared" si="258" ref="F833:K833">F834</f>
        <v>0</v>
      </c>
      <c r="G833" s="7">
        <f t="shared" si="258"/>
        <v>0</v>
      </c>
      <c r="H833" s="7">
        <f t="shared" si="258"/>
        <v>0</v>
      </c>
      <c r="I833" s="7">
        <f t="shared" si="258"/>
        <v>0</v>
      </c>
      <c r="J833" s="7">
        <f t="shared" si="258"/>
        <v>0</v>
      </c>
      <c r="K833" s="7">
        <f t="shared" si="258"/>
        <v>0</v>
      </c>
    </row>
    <row r="834" spans="1:11" ht="47.25" customHeight="1" hidden="1">
      <c r="A834" s="31" t="s">
        <v>174</v>
      </c>
      <c r="B834" s="42" t="s">
        <v>340</v>
      </c>
      <c r="C834" s="42" t="s">
        <v>159</v>
      </c>
      <c r="D834" s="42" t="s">
        <v>369</v>
      </c>
      <c r="E834" s="42" t="s">
        <v>175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</row>
    <row r="835" spans="1:11" ht="47.25" customHeight="1" hidden="1">
      <c r="A835" s="31" t="s">
        <v>313</v>
      </c>
      <c r="B835" s="42" t="s">
        <v>340</v>
      </c>
      <c r="C835" s="42" t="s">
        <v>159</v>
      </c>
      <c r="D835" s="42" t="s">
        <v>369</v>
      </c>
      <c r="E835" s="42" t="s">
        <v>314</v>
      </c>
      <c r="F835" s="7">
        <f aca="true" t="shared" si="259" ref="F835:K835">F836</f>
        <v>0</v>
      </c>
      <c r="G835" s="7">
        <f t="shared" si="259"/>
        <v>0</v>
      </c>
      <c r="H835" s="7">
        <f t="shared" si="259"/>
        <v>0</v>
      </c>
      <c r="I835" s="7">
        <f t="shared" si="259"/>
        <v>0</v>
      </c>
      <c r="J835" s="7">
        <f t="shared" si="259"/>
        <v>0</v>
      </c>
      <c r="K835" s="7">
        <f t="shared" si="259"/>
        <v>0</v>
      </c>
    </row>
    <row r="836" spans="1:11" ht="15.75" customHeight="1" hidden="1">
      <c r="A836" s="31" t="s">
        <v>315</v>
      </c>
      <c r="B836" s="42" t="s">
        <v>340</v>
      </c>
      <c r="C836" s="42" t="s">
        <v>159</v>
      </c>
      <c r="D836" s="42" t="s">
        <v>369</v>
      </c>
      <c r="E836" s="42" t="s">
        <v>316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</row>
    <row r="837" spans="1:11" ht="31.5">
      <c r="A837" s="31" t="s">
        <v>356</v>
      </c>
      <c r="B837" s="42" t="s">
        <v>340</v>
      </c>
      <c r="C837" s="42" t="s">
        <v>159</v>
      </c>
      <c r="D837" s="42" t="s">
        <v>371</v>
      </c>
      <c r="E837" s="42"/>
      <c r="F837" s="7" t="e">
        <f aca="true" t="shared" si="260" ref="F837:K837">F840+F838</f>
        <v>#REF!</v>
      </c>
      <c r="G837" s="7" t="e">
        <f t="shared" si="260"/>
        <v>#REF!</v>
      </c>
      <c r="H837" s="7" t="e">
        <f t="shared" si="260"/>
        <v>#REF!</v>
      </c>
      <c r="I837" s="7" t="e">
        <f t="shared" si="260"/>
        <v>#REF!</v>
      </c>
      <c r="J837" s="7" t="e">
        <f t="shared" si="260"/>
        <v>#REF!</v>
      </c>
      <c r="K837" s="7">
        <f t="shared" si="260"/>
        <v>69.1</v>
      </c>
    </row>
    <row r="838" spans="1:11" ht="31.5" customHeight="1" hidden="1">
      <c r="A838" s="31" t="s">
        <v>172</v>
      </c>
      <c r="B838" s="42" t="s">
        <v>340</v>
      </c>
      <c r="C838" s="42" t="s">
        <v>159</v>
      </c>
      <c r="D838" s="42" t="s">
        <v>371</v>
      </c>
      <c r="E838" s="42" t="s">
        <v>173</v>
      </c>
      <c r="F838" s="7">
        <f aca="true" t="shared" si="261" ref="F838:K838">F839</f>
        <v>0</v>
      </c>
      <c r="G838" s="7">
        <f t="shared" si="261"/>
        <v>0</v>
      </c>
      <c r="H838" s="7">
        <f t="shared" si="261"/>
        <v>0</v>
      </c>
      <c r="I838" s="7">
        <f t="shared" si="261"/>
        <v>0</v>
      </c>
      <c r="J838" s="7">
        <f t="shared" si="261"/>
        <v>0</v>
      </c>
      <c r="K838" s="7">
        <f t="shared" si="261"/>
        <v>0</v>
      </c>
    </row>
    <row r="839" spans="1:11" ht="47.25" customHeight="1" hidden="1">
      <c r="A839" s="31" t="s">
        <v>174</v>
      </c>
      <c r="B839" s="42" t="s">
        <v>340</v>
      </c>
      <c r="C839" s="42" t="s">
        <v>159</v>
      </c>
      <c r="D839" s="42" t="s">
        <v>371</v>
      </c>
      <c r="E839" s="42" t="s">
        <v>175</v>
      </c>
      <c r="F839" s="7"/>
      <c r="G839" s="7"/>
      <c r="H839" s="7"/>
      <c r="I839" s="7"/>
      <c r="J839" s="7"/>
      <c r="K839" s="7"/>
    </row>
    <row r="840" spans="1:11" ht="31.5">
      <c r="A840" s="26" t="s">
        <v>172</v>
      </c>
      <c r="B840" s="42" t="s">
        <v>340</v>
      </c>
      <c r="C840" s="42" t="s">
        <v>159</v>
      </c>
      <c r="D840" s="42" t="s">
        <v>371</v>
      </c>
      <c r="E840" s="42" t="s">
        <v>173</v>
      </c>
      <c r="F840" s="7" t="e">
        <f aca="true" t="shared" si="262" ref="F840:K840">F841</f>
        <v>#REF!</v>
      </c>
      <c r="G840" s="7" t="e">
        <f t="shared" si="262"/>
        <v>#REF!</v>
      </c>
      <c r="H840" s="7" t="e">
        <f t="shared" si="262"/>
        <v>#REF!</v>
      </c>
      <c r="I840" s="7" t="e">
        <f t="shared" si="262"/>
        <v>#REF!</v>
      </c>
      <c r="J840" s="7" t="e">
        <f t="shared" si="262"/>
        <v>#REF!</v>
      </c>
      <c r="K840" s="7">
        <f t="shared" si="262"/>
        <v>69.1</v>
      </c>
    </row>
    <row r="841" spans="1:11" ht="47.25">
      <c r="A841" s="26" t="s">
        <v>174</v>
      </c>
      <c r="B841" s="42" t="s">
        <v>340</v>
      </c>
      <c r="C841" s="42" t="s">
        <v>159</v>
      </c>
      <c r="D841" s="42" t="s">
        <v>371</v>
      </c>
      <c r="E841" s="42" t="s">
        <v>175</v>
      </c>
      <c r="F841" s="7" t="e">
        <f>#REF!</f>
        <v>#REF!</v>
      </c>
      <c r="G841" s="7" t="e">
        <f>#REF!</f>
        <v>#REF!</v>
      </c>
      <c r="H841" s="7" t="e">
        <f>#REF!</f>
        <v>#REF!</v>
      </c>
      <c r="I841" s="7" t="e">
        <f>#REF!</f>
        <v>#REF!</v>
      </c>
      <c r="J841" s="7" t="e">
        <f>#REF!</f>
        <v>#REF!</v>
      </c>
      <c r="K841" s="7">
        <f>'Прил.№5 ведомств.'!G489</f>
        <v>69.1</v>
      </c>
    </row>
    <row r="842" spans="1:11" ht="79.5" customHeight="1">
      <c r="A842" s="31" t="s">
        <v>669</v>
      </c>
      <c r="B842" s="42" t="s">
        <v>340</v>
      </c>
      <c r="C842" s="42" t="s">
        <v>159</v>
      </c>
      <c r="D842" s="42" t="s">
        <v>373</v>
      </c>
      <c r="E842" s="42"/>
      <c r="F842" s="7" t="e">
        <f>F843</f>
        <v>#REF!</v>
      </c>
      <c r="G842" s="7" t="e">
        <f aca="true" t="shared" si="263" ref="G842:K843">G843</f>
        <v>#REF!</v>
      </c>
      <c r="H842" s="7" t="e">
        <f t="shared" si="263"/>
        <v>#REF!</v>
      </c>
      <c r="I842" s="7" t="e">
        <f t="shared" si="263"/>
        <v>#REF!</v>
      </c>
      <c r="J842" s="7" t="e">
        <f t="shared" si="263"/>
        <v>#REF!</v>
      </c>
      <c r="K842" s="7">
        <f t="shared" si="263"/>
        <v>273.7</v>
      </c>
    </row>
    <row r="843" spans="1:11" ht="78.75">
      <c r="A843" s="26" t="s">
        <v>168</v>
      </c>
      <c r="B843" s="42" t="s">
        <v>340</v>
      </c>
      <c r="C843" s="42" t="s">
        <v>159</v>
      </c>
      <c r="D843" s="42" t="s">
        <v>373</v>
      </c>
      <c r="E843" s="42" t="s">
        <v>169</v>
      </c>
      <c r="F843" s="7" t="e">
        <f>F844</f>
        <v>#REF!</v>
      </c>
      <c r="G843" s="7" t="e">
        <f t="shared" si="263"/>
        <v>#REF!</v>
      </c>
      <c r="H843" s="7" t="e">
        <f t="shared" si="263"/>
        <v>#REF!</v>
      </c>
      <c r="I843" s="7" t="e">
        <f t="shared" si="263"/>
        <v>#REF!</v>
      </c>
      <c r="J843" s="7" t="e">
        <f t="shared" si="263"/>
        <v>#REF!</v>
      </c>
      <c r="K843" s="7">
        <f t="shared" si="263"/>
        <v>273.7</v>
      </c>
    </row>
    <row r="844" spans="1:11" ht="31.5">
      <c r="A844" s="26" t="s">
        <v>249</v>
      </c>
      <c r="B844" s="42" t="s">
        <v>340</v>
      </c>
      <c r="C844" s="42" t="s">
        <v>159</v>
      </c>
      <c r="D844" s="42" t="s">
        <v>373</v>
      </c>
      <c r="E844" s="42" t="s">
        <v>250</v>
      </c>
      <c r="F844" s="7" t="e">
        <f>#REF!</f>
        <v>#REF!</v>
      </c>
      <c r="G844" s="7" t="e">
        <f>#REF!</f>
        <v>#REF!</v>
      </c>
      <c r="H844" s="7" t="e">
        <f>#REF!</f>
        <v>#REF!</v>
      </c>
      <c r="I844" s="7" t="e">
        <f>#REF!</f>
        <v>#REF!</v>
      </c>
      <c r="J844" s="7" t="e">
        <f>#REF!</f>
        <v>#REF!</v>
      </c>
      <c r="K844" s="7">
        <f>'Прил.№5 ведомств.'!G492</f>
        <v>273.7</v>
      </c>
    </row>
    <row r="845" spans="1:11" ht="94.5">
      <c r="A845" s="33" t="s">
        <v>334</v>
      </c>
      <c r="B845" s="42" t="s">
        <v>340</v>
      </c>
      <c r="C845" s="42" t="s">
        <v>159</v>
      </c>
      <c r="D845" s="21" t="s">
        <v>335</v>
      </c>
      <c r="E845" s="42"/>
      <c r="F845" s="7" t="e">
        <f>F846</f>
        <v>#REF!</v>
      </c>
      <c r="G845" s="7" t="e">
        <f aca="true" t="shared" si="264" ref="G845:K846">G846</f>
        <v>#REF!</v>
      </c>
      <c r="H845" s="7" t="e">
        <f t="shared" si="264"/>
        <v>#REF!</v>
      </c>
      <c r="I845" s="7" t="e">
        <f t="shared" si="264"/>
        <v>#REF!</v>
      </c>
      <c r="J845" s="7" t="e">
        <f t="shared" si="264"/>
        <v>#REF!</v>
      </c>
      <c r="K845" s="7">
        <f t="shared" si="264"/>
        <v>1673.7</v>
      </c>
    </row>
    <row r="846" spans="1:11" ht="78.75">
      <c r="A846" s="26" t="s">
        <v>168</v>
      </c>
      <c r="B846" s="42" t="s">
        <v>340</v>
      </c>
      <c r="C846" s="42" t="s">
        <v>159</v>
      </c>
      <c r="D846" s="21" t="s">
        <v>335</v>
      </c>
      <c r="E846" s="42" t="s">
        <v>169</v>
      </c>
      <c r="F846" s="7" t="e">
        <f>F847</f>
        <v>#REF!</v>
      </c>
      <c r="G846" s="7" t="e">
        <f t="shared" si="264"/>
        <v>#REF!</v>
      </c>
      <c r="H846" s="7" t="e">
        <f t="shared" si="264"/>
        <v>#REF!</v>
      </c>
      <c r="I846" s="7" t="e">
        <f t="shared" si="264"/>
        <v>#REF!</v>
      </c>
      <c r="J846" s="7" t="e">
        <f t="shared" si="264"/>
        <v>#REF!</v>
      </c>
      <c r="K846" s="7">
        <f t="shared" si="264"/>
        <v>1673.7</v>
      </c>
    </row>
    <row r="847" spans="1:11" ht="31.5">
      <c r="A847" s="26" t="s">
        <v>249</v>
      </c>
      <c r="B847" s="42" t="s">
        <v>340</v>
      </c>
      <c r="C847" s="42" t="s">
        <v>159</v>
      </c>
      <c r="D847" s="21" t="s">
        <v>335</v>
      </c>
      <c r="E847" s="42" t="s">
        <v>250</v>
      </c>
      <c r="F847" s="7" t="e">
        <f>#REF!</f>
        <v>#REF!</v>
      </c>
      <c r="G847" s="7" t="e">
        <f>#REF!</f>
        <v>#REF!</v>
      </c>
      <c r="H847" s="7" t="e">
        <f>#REF!</f>
        <v>#REF!</v>
      </c>
      <c r="I847" s="7" t="e">
        <f>#REF!</f>
        <v>#REF!</v>
      </c>
      <c r="J847" s="7" t="e">
        <f>#REF!</f>
        <v>#REF!</v>
      </c>
      <c r="K847" s="7">
        <f>'Прил.№5 ведомств.'!G493</f>
        <v>1673.7</v>
      </c>
    </row>
    <row r="848" spans="1:11" ht="47.25">
      <c r="A848" s="277" t="s">
        <v>757</v>
      </c>
      <c r="B848" s="42" t="s">
        <v>340</v>
      </c>
      <c r="C848" s="42" t="s">
        <v>159</v>
      </c>
      <c r="D848" s="334" t="s">
        <v>605</v>
      </c>
      <c r="E848" s="42"/>
      <c r="F848" s="7" t="e">
        <f>F849</f>
        <v>#REF!</v>
      </c>
      <c r="G848" s="7" t="e">
        <f aca="true" t="shared" si="265" ref="G848:K849">G849</f>
        <v>#REF!</v>
      </c>
      <c r="H848" s="7" t="e">
        <f t="shared" si="265"/>
        <v>#REF!</v>
      </c>
      <c r="I848" s="7" t="e">
        <f t="shared" si="265"/>
        <v>#REF!</v>
      </c>
      <c r="J848" s="7" t="e">
        <f t="shared" si="265"/>
        <v>#REF!</v>
      </c>
      <c r="K848" s="7">
        <f t="shared" si="265"/>
        <v>904.2</v>
      </c>
    </row>
    <row r="849" spans="1:11" ht="31.5">
      <c r="A849" s="277" t="s">
        <v>172</v>
      </c>
      <c r="B849" s="42" t="s">
        <v>340</v>
      </c>
      <c r="C849" s="42" t="s">
        <v>159</v>
      </c>
      <c r="D849" s="334" t="s">
        <v>605</v>
      </c>
      <c r="E849" s="42" t="s">
        <v>173</v>
      </c>
      <c r="F849" s="7" t="e">
        <f>F850</f>
        <v>#REF!</v>
      </c>
      <c r="G849" s="7" t="e">
        <f t="shared" si="265"/>
        <v>#REF!</v>
      </c>
      <c r="H849" s="7" t="e">
        <f t="shared" si="265"/>
        <v>#REF!</v>
      </c>
      <c r="I849" s="7" t="e">
        <f t="shared" si="265"/>
        <v>#REF!</v>
      </c>
      <c r="J849" s="7" t="e">
        <f t="shared" si="265"/>
        <v>#REF!</v>
      </c>
      <c r="K849" s="7">
        <f t="shared" si="265"/>
        <v>904.2</v>
      </c>
    </row>
    <row r="850" spans="1:11" ht="47.25">
      <c r="A850" s="26" t="s">
        <v>174</v>
      </c>
      <c r="B850" s="42" t="s">
        <v>340</v>
      </c>
      <c r="C850" s="42" t="s">
        <v>159</v>
      </c>
      <c r="D850" s="334" t="s">
        <v>605</v>
      </c>
      <c r="E850" s="42" t="s">
        <v>175</v>
      </c>
      <c r="F850" s="7" t="e">
        <f>#REF!</f>
        <v>#REF!</v>
      </c>
      <c r="G850" s="7" t="e">
        <f>#REF!</f>
        <v>#REF!</v>
      </c>
      <c r="H850" s="7" t="e">
        <f>#REF!</f>
        <v>#REF!</v>
      </c>
      <c r="I850" s="7" t="e">
        <f>#REF!</f>
        <v>#REF!</v>
      </c>
      <c r="J850" s="7" t="e">
        <f>#REF!</f>
        <v>#REF!</v>
      </c>
      <c r="K850" s="7">
        <f>'Прил.№5 ведомств.'!G498</f>
        <v>904.2</v>
      </c>
    </row>
    <row r="851" spans="1:11" ht="31.5">
      <c r="A851" s="43" t="s">
        <v>374</v>
      </c>
      <c r="B851" s="8" t="s">
        <v>340</v>
      </c>
      <c r="C851" s="8" t="s">
        <v>191</v>
      </c>
      <c r="D851" s="8"/>
      <c r="E851" s="8"/>
      <c r="F851" s="4" t="e">
        <f>F871+F852+F862</f>
        <v>#REF!</v>
      </c>
      <c r="G851" s="4" t="e">
        <f>G871+G852+G862</f>
        <v>#REF!</v>
      </c>
      <c r="H851" s="4" t="e">
        <f>H871+H852+H862</f>
        <v>#REF!</v>
      </c>
      <c r="I851" s="4" t="e">
        <f>I871+I852+I862</f>
        <v>#REF!</v>
      </c>
      <c r="J851" s="4" t="e">
        <f>J871+J852+J862</f>
        <v>#REF!</v>
      </c>
      <c r="K851" s="4">
        <f>K871+K852+K862+K866</f>
        <v>19078.1</v>
      </c>
    </row>
    <row r="852" spans="1:11" ht="47.25" hidden="1">
      <c r="A852" s="26" t="s">
        <v>375</v>
      </c>
      <c r="B852" s="42" t="s">
        <v>340</v>
      </c>
      <c r="C852" s="42" t="s">
        <v>191</v>
      </c>
      <c r="D852" s="21" t="s">
        <v>376</v>
      </c>
      <c r="E852" s="21"/>
      <c r="F852" s="7" t="e">
        <f aca="true" t="shared" si="266" ref="F852:K852">F853+F856+F859</f>
        <v>#REF!</v>
      </c>
      <c r="G852" s="7" t="e">
        <f t="shared" si="266"/>
        <v>#REF!</v>
      </c>
      <c r="H852" s="7" t="e">
        <f t="shared" si="266"/>
        <v>#REF!</v>
      </c>
      <c r="I852" s="7" t="e">
        <f t="shared" si="266"/>
        <v>#REF!</v>
      </c>
      <c r="J852" s="7" t="e">
        <f t="shared" si="266"/>
        <v>#REF!</v>
      </c>
      <c r="K852" s="7">
        <f t="shared" si="266"/>
        <v>0</v>
      </c>
    </row>
    <row r="853" spans="1:11" ht="31.5" customHeight="1" hidden="1">
      <c r="A853" s="26" t="s">
        <v>377</v>
      </c>
      <c r="B853" s="42" t="s">
        <v>340</v>
      </c>
      <c r="C853" s="42" t="s">
        <v>191</v>
      </c>
      <c r="D853" s="21" t="s">
        <v>378</v>
      </c>
      <c r="E853" s="21"/>
      <c r="F853" s="7" t="e">
        <f>F854</f>
        <v>#REF!</v>
      </c>
      <c r="G853" s="7" t="e">
        <f aca="true" t="shared" si="267" ref="G853:K854">G854</f>
        <v>#REF!</v>
      </c>
      <c r="H853" s="7" t="e">
        <f t="shared" si="267"/>
        <v>#REF!</v>
      </c>
      <c r="I853" s="7" t="e">
        <f t="shared" si="267"/>
        <v>#REF!</v>
      </c>
      <c r="J853" s="7" t="e">
        <f t="shared" si="267"/>
        <v>#REF!</v>
      </c>
      <c r="K853" s="7">
        <f t="shared" si="267"/>
        <v>0</v>
      </c>
    </row>
    <row r="854" spans="1:11" ht="31.5" customHeight="1" hidden="1">
      <c r="A854" s="26" t="s">
        <v>172</v>
      </c>
      <c r="B854" s="42" t="s">
        <v>340</v>
      </c>
      <c r="C854" s="42" t="s">
        <v>191</v>
      </c>
      <c r="D854" s="21" t="s">
        <v>378</v>
      </c>
      <c r="E854" s="21" t="s">
        <v>173</v>
      </c>
      <c r="F854" s="7" t="e">
        <f>F855</f>
        <v>#REF!</v>
      </c>
      <c r="G854" s="7" t="e">
        <f t="shared" si="267"/>
        <v>#REF!</v>
      </c>
      <c r="H854" s="7" t="e">
        <f t="shared" si="267"/>
        <v>#REF!</v>
      </c>
      <c r="I854" s="7" t="e">
        <f t="shared" si="267"/>
        <v>#REF!</v>
      </c>
      <c r="J854" s="7" t="e">
        <f t="shared" si="267"/>
        <v>#REF!</v>
      </c>
      <c r="K854" s="7">
        <f t="shared" si="267"/>
        <v>0</v>
      </c>
    </row>
    <row r="855" spans="1:11" ht="47.25" customHeight="1" hidden="1">
      <c r="A855" s="26" t="s">
        <v>174</v>
      </c>
      <c r="B855" s="42" t="s">
        <v>340</v>
      </c>
      <c r="C855" s="42" t="s">
        <v>191</v>
      </c>
      <c r="D855" s="21" t="s">
        <v>378</v>
      </c>
      <c r="E855" s="21" t="s">
        <v>175</v>
      </c>
      <c r="F855" s="7" t="e">
        <f>#REF!</f>
        <v>#REF!</v>
      </c>
      <c r="G855" s="7" t="e">
        <f>#REF!</f>
        <v>#REF!</v>
      </c>
      <c r="H855" s="7" t="e">
        <f>#REF!</f>
        <v>#REF!</v>
      </c>
      <c r="I855" s="7" t="e">
        <f>#REF!</f>
        <v>#REF!</v>
      </c>
      <c r="J855" s="7" t="e">
        <f>#REF!</f>
        <v>#REF!</v>
      </c>
      <c r="K855" s="7">
        <f>'Прил.№5 ведомств.'!G503</f>
        <v>0</v>
      </c>
    </row>
    <row r="856" spans="1:11" ht="31.5" hidden="1">
      <c r="A856" s="26" t="s">
        <v>379</v>
      </c>
      <c r="B856" s="42" t="s">
        <v>340</v>
      </c>
      <c r="C856" s="42" t="s">
        <v>191</v>
      </c>
      <c r="D856" s="21" t="s">
        <v>380</v>
      </c>
      <c r="E856" s="21"/>
      <c r="F856" s="7" t="e">
        <f>F857</f>
        <v>#REF!</v>
      </c>
      <c r="G856" s="7" t="e">
        <f aca="true" t="shared" si="268" ref="G856:K857">G857</f>
        <v>#REF!</v>
      </c>
      <c r="H856" s="7" t="e">
        <f t="shared" si="268"/>
        <v>#REF!</v>
      </c>
      <c r="I856" s="7" t="e">
        <f t="shared" si="268"/>
        <v>#REF!</v>
      </c>
      <c r="J856" s="7" t="e">
        <f t="shared" si="268"/>
        <v>#REF!</v>
      </c>
      <c r="K856" s="7">
        <f t="shared" si="268"/>
        <v>0</v>
      </c>
    </row>
    <row r="857" spans="1:11" ht="31.5" hidden="1">
      <c r="A857" s="26" t="s">
        <v>172</v>
      </c>
      <c r="B857" s="42" t="s">
        <v>340</v>
      </c>
      <c r="C857" s="42" t="s">
        <v>191</v>
      </c>
      <c r="D857" s="21" t="s">
        <v>380</v>
      </c>
      <c r="E857" s="21" t="s">
        <v>173</v>
      </c>
      <c r="F857" s="7" t="e">
        <f>F858</f>
        <v>#REF!</v>
      </c>
      <c r="G857" s="7" t="e">
        <f t="shared" si="268"/>
        <v>#REF!</v>
      </c>
      <c r="H857" s="7" t="e">
        <f t="shared" si="268"/>
        <v>#REF!</v>
      </c>
      <c r="I857" s="7" t="e">
        <f t="shared" si="268"/>
        <v>#REF!</v>
      </c>
      <c r="J857" s="7" t="e">
        <f t="shared" si="268"/>
        <v>#REF!</v>
      </c>
      <c r="K857" s="7">
        <f t="shared" si="268"/>
        <v>0</v>
      </c>
    </row>
    <row r="858" spans="1:11" ht="47.25" hidden="1">
      <c r="A858" s="26" t="s">
        <v>174</v>
      </c>
      <c r="B858" s="42" t="s">
        <v>340</v>
      </c>
      <c r="C858" s="42" t="s">
        <v>191</v>
      </c>
      <c r="D858" s="21" t="s">
        <v>380</v>
      </c>
      <c r="E858" s="21" t="s">
        <v>175</v>
      </c>
      <c r="F858" s="7" t="e">
        <f>#REF!</f>
        <v>#REF!</v>
      </c>
      <c r="G858" s="7" t="e">
        <f>#REF!</f>
        <v>#REF!</v>
      </c>
      <c r="H858" s="7" t="e">
        <f>#REF!</f>
        <v>#REF!</v>
      </c>
      <c r="I858" s="7" t="e">
        <f>#REF!</f>
        <v>#REF!</v>
      </c>
      <c r="J858" s="7" t="e">
        <f>#REF!</f>
        <v>#REF!</v>
      </c>
      <c r="K858" s="7">
        <f>'Прил.№5 ведомств.'!G509</f>
        <v>0</v>
      </c>
    </row>
    <row r="859" spans="1:11" ht="47.25" hidden="1">
      <c r="A859" s="26" t="s">
        <v>783</v>
      </c>
      <c r="B859" s="42" t="s">
        <v>340</v>
      </c>
      <c r="C859" s="42" t="s">
        <v>191</v>
      </c>
      <c r="D859" s="21" t="s">
        <v>745</v>
      </c>
      <c r="E859" s="21"/>
      <c r="F859" s="7" t="e">
        <f>F860</f>
        <v>#REF!</v>
      </c>
      <c r="G859" s="7" t="e">
        <f aca="true" t="shared" si="269" ref="G859:K860">G860</f>
        <v>#REF!</v>
      </c>
      <c r="H859" s="7" t="e">
        <f t="shared" si="269"/>
        <v>#REF!</v>
      </c>
      <c r="I859" s="7" t="e">
        <f t="shared" si="269"/>
        <v>#REF!</v>
      </c>
      <c r="J859" s="7" t="e">
        <f t="shared" si="269"/>
        <v>#REF!</v>
      </c>
      <c r="K859" s="7">
        <f t="shared" si="269"/>
        <v>0</v>
      </c>
    </row>
    <row r="860" spans="1:11" ht="31.5" hidden="1">
      <c r="A860" s="26" t="s">
        <v>172</v>
      </c>
      <c r="B860" s="42" t="s">
        <v>340</v>
      </c>
      <c r="C860" s="42" t="s">
        <v>191</v>
      </c>
      <c r="D860" s="21" t="s">
        <v>745</v>
      </c>
      <c r="E860" s="21" t="s">
        <v>169</v>
      </c>
      <c r="F860" s="7" t="e">
        <f>F861</f>
        <v>#REF!</v>
      </c>
      <c r="G860" s="7" t="e">
        <f t="shared" si="269"/>
        <v>#REF!</v>
      </c>
      <c r="H860" s="7" t="e">
        <f t="shared" si="269"/>
        <v>#REF!</v>
      </c>
      <c r="I860" s="7" t="e">
        <f t="shared" si="269"/>
        <v>#REF!</v>
      </c>
      <c r="J860" s="7" t="e">
        <f t="shared" si="269"/>
        <v>#REF!</v>
      </c>
      <c r="K860" s="7">
        <f t="shared" si="269"/>
        <v>0</v>
      </c>
    </row>
    <row r="861" spans="1:11" ht="47.25" hidden="1">
      <c r="A861" s="26" t="s">
        <v>174</v>
      </c>
      <c r="B861" s="42" t="s">
        <v>340</v>
      </c>
      <c r="C861" s="42" t="s">
        <v>191</v>
      </c>
      <c r="D861" s="21" t="s">
        <v>745</v>
      </c>
      <c r="E861" s="21" t="s">
        <v>171</v>
      </c>
      <c r="F861" s="7" t="e">
        <f>#REF!</f>
        <v>#REF!</v>
      </c>
      <c r="G861" s="7" t="e">
        <f>#REF!</f>
        <v>#REF!</v>
      </c>
      <c r="H861" s="7" t="e">
        <f>#REF!</f>
        <v>#REF!</v>
      </c>
      <c r="I861" s="7" t="e">
        <f>#REF!</f>
        <v>#REF!</v>
      </c>
      <c r="J861" s="7" t="e">
        <f>#REF!</f>
        <v>#REF!</v>
      </c>
      <c r="K861" s="7">
        <f>'Прил.№5 ведомств.'!G515</f>
        <v>0</v>
      </c>
    </row>
    <row r="862" spans="1:11" ht="63" hidden="1">
      <c r="A862" s="31" t="s">
        <v>782</v>
      </c>
      <c r="B862" s="42" t="s">
        <v>340</v>
      </c>
      <c r="C862" s="42" t="s">
        <v>191</v>
      </c>
      <c r="D862" s="21" t="s">
        <v>780</v>
      </c>
      <c r="E862" s="21"/>
      <c r="F862" s="7" t="e">
        <f>F863</f>
        <v>#REF!</v>
      </c>
      <c r="G862" s="7" t="e">
        <f aca="true" t="shared" si="270" ref="G862:K864">G863</f>
        <v>#REF!</v>
      </c>
      <c r="H862" s="7" t="e">
        <f t="shared" si="270"/>
        <v>#REF!</v>
      </c>
      <c r="I862" s="7" t="e">
        <f t="shared" si="270"/>
        <v>#REF!</v>
      </c>
      <c r="J862" s="7" t="e">
        <f t="shared" si="270"/>
        <v>#REF!</v>
      </c>
      <c r="K862" s="7">
        <f t="shared" si="270"/>
        <v>0</v>
      </c>
    </row>
    <row r="863" spans="1:11" ht="31.5" hidden="1">
      <c r="A863" s="26" t="s">
        <v>410</v>
      </c>
      <c r="B863" s="42" t="s">
        <v>340</v>
      </c>
      <c r="C863" s="42" t="s">
        <v>191</v>
      </c>
      <c r="D863" s="21" t="s">
        <v>788</v>
      </c>
      <c r="E863" s="21"/>
      <c r="F863" s="7" t="e">
        <f>F864</f>
        <v>#REF!</v>
      </c>
      <c r="G863" s="7" t="e">
        <f t="shared" si="270"/>
        <v>#REF!</v>
      </c>
      <c r="H863" s="7" t="e">
        <f t="shared" si="270"/>
        <v>#REF!</v>
      </c>
      <c r="I863" s="7" t="e">
        <f t="shared" si="270"/>
        <v>#REF!</v>
      </c>
      <c r="J863" s="7" t="e">
        <f t="shared" si="270"/>
        <v>#REF!</v>
      </c>
      <c r="K863" s="7">
        <f t="shared" si="270"/>
        <v>0</v>
      </c>
    </row>
    <row r="864" spans="1:11" ht="31.5" hidden="1">
      <c r="A864" s="26" t="s">
        <v>172</v>
      </c>
      <c r="B864" s="42" t="s">
        <v>340</v>
      </c>
      <c r="C864" s="42" t="s">
        <v>191</v>
      </c>
      <c r="D864" s="21" t="s">
        <v>788</v>
      </c>
      <c r="E864" s="21" t="s">
        <v>173</v>
      </c>
      <c r="F864" s="7" t="e">
        <f>F865</f>
        <v>#REF!</v>
      </c>
      <c r="G864" s="7" t="e">
        <f t="shared" si="270"/>
        <v>#REF!</v>
      </c>
      <c r="H864" s="7" t="e">
        <f t="shared" si="270"/>
        <v>#REF!</v>
      </c>
      <c r="I864" s="7" t="e">
        <f t="shared" si="270"/>
        <v>#REF!</v>
      </c>
      <c r="J864" s="7" t="e">
        <f t="shared" si="270"/>
        <v>#REF!</v>
      </c>
      <c r="K864" s="7">
        <f t="shared" si="270"/>
        <v>0</v>
      </c>
    </row>
    <row r="865" spans="1:11" ht="47.25" hidden="1">
      <c r="A865" s="26" t="s">
        <v>174</v>
      </c>
      <c r="B865" s="42" t="s">
        <v>340</v>
      </c>
      <c r="C865" s="42" t="s">
        <v>191</v>
      </c>
      <c r="D865" s="21" t="s">
        <v>788</v>
      </c>
      <c r="E865" s="21" t="s">
        <v>175</v>
      </c>
      <c r="F865" s="7" t="e">
        <f>#REF!</f>
        <v>#REF!</v>
      </c>
      <c r="G865" s="7" t="e">
        <f>#REF!</f>
        <v>#REF!</v>
      </c>
      <c r="H865" s="7" t="e">
        <f>#REF!</f>
        <v>#REF!</v>
      </c>
      <c r="I865" s="7" t="e">
        <f>#REF!</f>
        <v>#REF!</v>
      </c>
      <c r="J865" s="7" t="e">
        <f>#REF!</f>
        <v>#REF!</v>
      </c>
      <c r="K865" s="7">
        <f>'Прил.№5 ведомств.'!G522</f>
        <v>0</v>
      </c>
    </row>
    <row r="866" spans="1:11" ht="47.25">
      <c r="A866" s="26" t="s">
        <v>384</v>
      </c>
      <c r="B866" s="21" t="s">
        <v>340</v>
      </c>
      <c r="C866" s="21" t="s">
        <v>191</v>
      </c>
      <c r="D866" s="21" t="s">
        <v>385</v>
      </c>
      <c r="E866" s="21"/>
      <c r="F866" s="7"/>
      <c r="G866" s="7"/>
      <c r="H866" s="7"/>
      <c r="I866" s="7"/>
      <c r="J866" s="7"/>
      <c r="K866" s="7">
        <f>K867</f>
        <v>260</v>
      </c>
    </row>
    <row r="867" spans="1:11" ht="47.25">
      <c r="A867" s="26" t="s">
        <v>405</v>
      </c>
      <c r="B867" s="21" t="s">
        <v>340</v>
      </c>
      <c r="C867" s="21" t="s">
        <v>191</v>
      </c>
      <c r="D867" s="21" t="s">
        <v>406</v>
      </c>
      <c r="E867" s="21"/>
      <c r="F867" s="7"/>
      <c r="G867" s="7"/>
      <c r="H867" s="7"/>
      <c r="I867" s="7"/>
      <c r="J867" s="7"/>
      <c r="K867" s="7">
        <f>K868</f>
        <v>260</v>
      </c>
    </row>
    <row r="868" spans="1:11" ht="31.5">
      <c r="A868" s="26" t="s">
        <v>198</v>
      </c>
      <c r="B868" s="21" t="s">
        <v>340</v>
      </c>
      <c r="C868" s="21" t="s">
        <v>191</v>
      </c>
      <c r="D868" s="21" t="s">
        <v>407</v>
      </c>
      <c r="E868" s="21"/>
      <c r="F868" s="7"/>
      <c r="G868" s="7"/>
      <c r="H868" s="7"/>
      <c r="I868" s="7"/>
      <c r="J868" s="7"/>
      <c r="K868" s="7">
        <f>K869</f>
        <v>260</v>
      </c>
    </row>
    <row r="869" spans="1:11" ht="31.5">
      <c r="A869" s="26" t="s">
        <v>172</v>
      </c>
      <c r="B869" s="21" t="s">
        <v>340</v>
      </c>
      <c r="C869" s="21" t="s">
        <v>191</v>
      </c>
      <c r="D869" s="21" t="s">
        <v>407</v>
      </c>
      <c r="E869" s="21" t="s">
        <v>173</v>
      </c>
      <c r="F869" s="7"/>
      <c r="G869" s="7"/>
      <c r="H869" s="7"/>
      <c r="I869" s="7"/>
      <c r="J869" s="7"/>
      <c r="K869" s="7">
        <f>K870</f>
        <v>260</v>
      </c>
    </row>
    <row r="870" spans="1:11" ht="47.25">
      <c r="A870" s="26" t="s">
        <v>174</v>
      </c>
      <c r="B870" s="21" t="s">
        <v>340</v>
      </c>
      <c r="C870" s="21" t="s">
        <v>191</v>
      </c>
      <c r="D870" s="21" t="s">
        <v>407</v>
      </c>
      <c r="E870" s="21" t="s">
        <v>175</v>
      </c>
      <c r="F870" s="7"/>
      <c r="G870" s="7"/>
      <c r="H870" s="7"/>
      <c r="I870" s="7"/>
      <c r="J870" s="7"/>
      <c r="K870" s="7">
        <f>'Прил.№5 ведомств.'!G527</f>
        <v>260</v>
      </c>
    </row>
    <row r="871" spans="1:11" ht="15.75">
      <c r="A871" s="31" t="s">
        <v>162</v>
      </c>
      <c r="B871" s="42" t="s">
        <v>340</v>
      </c>
      <c r="C871" s="42" t="s">
        <v>191</v>
      </c>
      <c r="D871" s="42" t="s">
        <v>163</v>
      </c>
      <c r="E871" s="42"/>
      <c r="F871" s="7" t="e">
        <f aca="true" t="shared" si="271" ref="F871:K871">F878+F872</f>
        <v>#REF!</v>
      </c>
      <c r="G871" s="7" t="e">
        <f t="shared" si="271"/>
        <v>#REF!</v>
      </c>
      <c r="H871" s="7" t="e">
        <f t="shared" si="271"/>
        <v>#REF!</v>
      </c>
      <c r="I871" s="7" t="e">
        <f t="shared" si="271"/>
        <v>#REF!</v>
      </c>
      <c r="J871" s="7" t="e">
        <f t="shared" si="271"/>
        <v>#REF!</v>
      </c>
      <c r="K871" s="7">
        <f t="shared" si="271"/>
        <v>18818.1</v>
      </c>
    </row>
    <row r="872" spans="1:11" ht="31.5">
      <c r="A872" s="31" t="s">
        <v>164</v>
      </c>
      <c r="B872" s="42" t="s">
        <v>340</v>
      </c>
      <c r="C872" s="42" t="s">
        <v>191</v>
      </c>
      <c r="D872" s="42" t="s">
        <v>165</v>
      </c>
      <c r="E872" s="42"/>
      <c r="F872" s="7" t="e">
        <f aca="true" t="shared" si="272" ref="F872:K872">F873</f>
        <v>#REF!</v>
      </c>
      <c r="G872" s="7" t="e">
        <f t="shared" si="272"/>
        <v>#REF!</v>
      </c>
      <c r="H872" s="7" t="e">
        <f t="shared" si="272"/>
        <v>#REF!</v>
      </c>
      <c r="I872" s="7" t="e">
        <f t="shared" si="272"/>
        <v>#REF!</v>
      </c>
      <c r="J872" s="7" t="e">
        <f t="shared" si="272"/>
        <v>#REF!</v>
      </c>
      <c r="K872" s="7">
        <f t="shared" si="272"/>
        <v>7186.8</v>
      </c>
    </row>
    <row r="873" spans="1:11" ht="47.25">
      <c r="A873" s="31" t="s">
        <v>166</v>
      </c>
      <c r="B873" s="42" t="s">
        <v>340</v>
      </c>
      <c r="C873" s="42" t="s">
        <v>191</v>
      </c>
      <c r="D873" s="42" t="s">
        <v>167</v>
      </c>
      <c r="E873" s="42"/>
      <c r="F873" s="7" t="e">
        <f aca="true" t="shared" si="273" ref="F873:K873">F874+F876</f>
        <v>#REF!</v>
      </c>
      <c r="G873" s="7" t="e">
        <f t="shared" si="273"/>
        <v>#REF!</v>
      </c>
      <c r="H873" s="7" t="e">
        <f t="shared" si="273"/>
        <v>#REF!</v>
      </c>
      <c r="I873" s="7" t="e">
        <f t="shared" si="273"/>
        <v>#REF!</v>
      </c>
      <c r="J873" s="7" t="e">
        <f t="shared" si="273"/>
        <v>#REF!</v>
      </c>
      <c r="K873" s="7">
        <f t="shared" si="273"/>
        <v>7186.8</v>
      </c>
    </row>
    <row r="874" spans="1:11" ht="78.75">
      <c r="A874" s="31" t="s">
        <v>168</v>
      </c>
      <c r="B874" s="42" t="s">
        <v>340</v>
      </c>
      <c r="C874" s="42" t="s">
        <v>191</v>
      </c>
      <c r="D874" s="42" t="s">
        <v>167</v>
      </c>
      <c r="E874" s="42" t="s">
        <v>169</v>
      </c>
      <c r="F874" s="62" t="e">
        <f aca="true" t="shared" si="274" ref="F874:K874">F875</f>
        <v>#REF!</v>
      </c>
      <c r="G874" s="62" t="e">
        <f t="shared" si="274"/>
        <v>#REF!</v>
      </c>
      <c r="H874" s="62" t="e">
        <f t="shared" si="274"/>
        <v>#REF!</v>
      </c>
      <c r="I874" s="62" t="e">
        <f t="shared" si="274"/>
        <v>#REF!</v>
      </c>
      <c r="J874" s="62" t="e">
        <f t="shared" si="274"/>
        <v>#REF!</v>
      </c>
      <c r="K874" s="62">
        <f t="shared" si="274"/>
        <v>7186.8</v>
      </c>
    </row>
    <row r="875" spans="1:11" ht="31.5">
      <c r="A875" s="31" t="s">
        <v>170</v>
      </c>
      <c r="B875" s="42" t="s">
        <v>340</v>
      </c>
      <c r="C875" s="42" t="s">
        <v>191</v>
      </c>
      <c r="D875" s="42" t="s">
        <v>167</v>
      </c>
      <c r="E875" s="42" t="s">
        <v>171</v>
      </c>
      <c r="F875" s="62" t="e">
        <f>#REF!</f>
        <v>#REF!</v>
      </c>
      <c r="G875" s="62" t="e">
        <f>#REF!</f>
        <v>#REF!</v>
      </c>
      <c r="H875" s="62" t="e">
        <f>#REF!</f>
        <v>#REF!</v>
      </c>
      <c r="I875" s="62" t="e">
        <f>#REF!</f>
        <v>#REF!</v>
      </c>
      <c r="J875" s="62" t="e">
        <f>#REF!</f>
        <v>#REF!</v>
      </c>
      <c r="K875" s="62">
        <f>'Прил.№5 ведомств.'!G532</f>
        <v>7186.8</v>
      </c>
    </row>
    <row r="876" spans="1:11" ht="31.5" customHeight="1" hidden="1">
      <c r="A876" s="31" t="s">
        <v>172</v>
      </c>
      <c r="B876" s="42" t="s">
        <v>340</v>
      </c>
      <c r="C876" s="42" t="s">
        <v>191</v>
      </c>
      <c r="D876" s="42" t="s">
        <v>167</v>
      </c>
      <c r="E876" s="42" t="s">
        <v>173</v>
      </c>
      <c r="F876" s="62">
        <f aca="true" t="shared" si="275" ref="F876:K876">F877</f>
        <v>0</v>
      </c>
      <c r="G876" s="62">
        <f t="shared" si="275"/>
        <v>0</v>
      </c>
      <c r="H876" s="62" t="e">
        <f t="shared" si="275"/>
        <v>#REF!</v>
      </c>
      <c r="I876" s="62" t="e">
        <f t="shared" si="275"/>
        <v>#REF!</v>
      </c>
      <c r="J876" s="62" t="e">
        <f t="shared" si="275"/>
        <v>#REF!</v>
      </c>
      <c r="K876" s="62">
        <f t="shared" si="275"/>
        <v>0</v>
      </c>
    </row>
    <row r="877" spans="1:11" ht="47.25" customHeight="1" hidden="1">
      <c r="A877" s="31" t="s">
        <v>174</v>
      </c>
      <c r="B877" s="42" t="s">
        <v>340</v>
      </c>
      <c r="C877" s="42" t="s">
        <v>191</v>
      </c>
      <c r="D877" s="42" t="s">
        <v>167</v>
      </c>
      <c r="E877" s="42" t="s">
        <v>175</v>
      </c>
      <c r="F877" s="62"/>
      <c r="G877" s="62"/>
      <c r="H877" s="62" t="e">
        <f>#REF!</f>
        <v>#REF!</v>
      </c>
      <c r="I877" s="62" t="e">
        <f>#REF!</f>
        <v>#REF!</v>
      </c>
      <c r="J877" s="62" t="e">
        <f>#REF!</f>
        <v>#REF!</v>
      </c>
      <c r="K877" s="62">
        <f>'Прил.№5 ведомств.'!G534</f>
        <v>0</v>
      </c>
    </row>
    <row r="878" spans="1:11" ht="15.75">
      <c r="A878" s="31" t="s">
        <v>182</v>
      </c>
      <c r="B878" s="42" t="s">
        <v>340</v>
      </c>
      <c r="C878" s="42" t="s">
        <v>191</v>
      </c>
      <c r="D878" s="42" t="s">
        <v>183</v>
      </c>
      <c r="E878" s="42"/>
      <c r="F878" s="7" t="e">
        <f aca="true" t="shared" si="276" ref="F878:K878">F879</f>
        <v>#REF!</v>
      </c>
      <c r="G878" s="7" t="e">
        <f t="shared" si="276"/>
        <v>#REF!</v>
      </c>
      <c r="H878" s="7" t="e">
        <f t="shared" si="276"/>
        <v>#REF!</v>
      </c>
      <c r="I878" s="7" t="e">
        <f t="shared" si="276"/>
        <v>#REF!</v>
      </c>
      <c r="J878" s="7" t="e">
        <f t="shared" si="276"/>
        <v>#REF!</v>
      </c>
      <c r="K878" s="7">
        <f t="shared" si="276"/>
        <v>11631.3</v>
      </c>
    </row>
    <row r="879" spans="1:11" ht="31.5">
      <c r="A879" s="26" t="s">
        <v>381</v>
      </c>
      <c r="B879" s="42" t="s">
        <v>340</v>
      </c>
      <c r="C879" s="42" t="s">
        <v>191</v>
      </c>
      <c r="D879" s="42" t="s">
        <v>382</v>
      </c>
      <c r="E879" s="42"/>
      <c r="F879" s="7" t="e">
        <f aca="true" t="shared" si="277" ref="F879:K879">F880+F882+F884</f>
        <v>#REF!</v>
      </c>
      <c r="G879" s="7" t="e">
        <f t="shared" si="277"/>
        <v>#REF!</v>
      </c>
      <c r="H879" s="7" t="e">
        <f t="shared" si="277"/>
        <v>#REF!</v>
      </c>
      <c r="I879" s="7" t="e">
        <f t="shared" si="277"/>
        <v>#REF!</v>
      </c>
      <c r="J879" s="7" t="e">
        <f t="shared" si="277"/>
        <v>#REF!</v>
      </c>
      <c r="K879" s="7">
        <f t="shared" si="277"/>
        <v>11631.3</v>
      </c>
    </row>
    <row r="880" spans="1:11" ht="78.75">
      <c r="A880" s="31" t="s">
        <v>168</v>
      </c>
      <c r="B880" s="42" t="s">
        <v>340</v>
      </c>
      <c r="C880" s="42" t="s">
        <v>191</v>
      </c>
      <c r="D880" s="42" t="s">
        <v>382</v>
      </c>
      <c r="E880" s="42" t="s">
        <v>169</v>
      </c>
      <c r="F880" s="62" t="e">
        <f aca="true" t="shared" si="278" ref="F880:K880">F881</f>
        <v>#REF!</v>
      </c>
      <c r="G880" s="62" t="e">
        <f t="shared" si="278"/>
        <v>#REF!</v>
      </c>
      <c r="H880" s="62" t="e">
        <f t="shared" si="278"/>
        <v>#REF!</v>
      </c>
      <c r="I880" s="62" t="e">
        <f t="shared" si="278"/>
        <v>#REF!</v>
      </c>
      <c r="J880" s="62" t="e">
        <f t="shared" si="278"/>
        <v>#REF!</v>
      </c>
      <c r="K880" s="62">
        <f t="shared" si="278"/>
        <v>9680.8</v>
      </c>
    </row>
    <row r="881" spans="1:11" ht="31.5">
      <c r="A881" s="47" t="s">
        <v>383</v>
      </c>
      <c r="B881" s="42" t="s">
        <v>340</v>
      </c>
      <c r="C881" s="42" t="s">
        <v>191</v>
      </c>
      <c r="D881" s="42" t="s">
        <v>382</v>
      </c>
      <c r="E881" s="42" t="s">
        <v>250</v>
      </c>
      <c r="F881" s="62" t="e">
        <f>#REF!</f>
        <v>#REF!</v>
      </c>
      <c r="G881" s="62" t="e">
        <f>#REF!</f>
        <v>#REF!</v>
      </c>
      <c r="H881" s="62" t="e">
        <f>#REF!</f>
        <v>#REF!</v>
      </c>
      <c r="I881" s="62" t="e">
        <f>#REF!</f>
        <v>#REF!</v>
      </c>
      <c r="J881" s="62" t="e">
        <f>#REF!</f>
        <v>#REF!</v>
      </c>
      <c r="K881" s="62">
        <f>'Прил.№5 ведомств.'!G538</f>
        <v>9680.8</v>
      </c>
    </row>
    <row r="882" spans="1:11" ht="31.5">
      <c r="A882" s="31" t="s">
        <v>172</v>
      </c>
      <c r="B882" s="42" t="s">
        <v>340</v>
      </c>
      <c r="C882" s="42" t="s">
        <v>191</v>
      </c>
      <c r="D882" s="42" t="s">
        <v>382</v>
      </c>
      <c r="E882" s="42" t="s">
        <v>173</v>
      </c>
      <c r="F882" s="62" t="e">
        <f aca="true" t="shared" si="279" ref="F882:K882">F883</f>
        <v>#REF!</v>
      </c>
      <c r="G882" s="62" t="e">
        <f t="shared" si="279"/>
        <v>#REF!</v>
      </c>
      <c r="H882" s="62" t="e">
        <f t="shared" si="279"/>
        <v>#REF!</v>
      </c>
      <c r="I882" s="62" t="e">
        <f t="shared" si="279"/>
        <v>#REF!</v>
      </c>
      <c r="J882" s="62" t="e">
        <f t="shared" si="279"/>
        <v>#REF!</v>
      </c>
      <c r="K882" s="62">
        <f t="shared" si="279"/>
        <v>1936.3999999999999</v>
      </c>
    </row>
    <row r="883" spans="1:11" ht="47.25">
      <c r="A883" s="31" t="s">
        <v>174</v>
      </c>
      <c r="B883" s="42" t="s">
        <v>340</v>
      </c>
      <c r="C883" s="42" t="s">
        <v>191</v>
      </c>
      <c r="D883" s="42" t="s">
        <v>382</v>
      </c>
      <c r="E883" s="42" t="s">
        <v>175</v>
      </c>
      <c r="F883" s="62" t="e">
        <f>#REF!</f>
        <v>#REF!</v>
      </c>
      <c r="G883" s="62" t="e">
        <f>#REF!</f>
        <v>#REF!</v>
      </c>
      <c r="H883" s="62" t="e">
        <f>#REF!</f>
        <v>#REF!</v>
      </c>
      <c r="I883" s="62" t="e">
        <f>#REF!</f>
        <v>#REF!</v>
      </c>
      <c r="J883" s="62" t="e">
        <f>#REF!</f>
        <v>#REF!</v>
      </c>
      <c r="K883" s="62">
        <f>'Прил.№5 ведомств.'!G540</f>
        <v>1936.3999999999999</v>
      </c>
    </row>
    <row r="884" spans="1:11" ht="15.75">
      <c r="A884" s="31" t="s">
        <v>176</v>
      </c>
      <c r="B884" s="42" t="s">
        <v>340</v>
      </c>
      <c r="C884" s="42" t="s">
        <v>191</v>
      </c>
      <c r="D884" s="42" t="s">
        <v>382</v>
      </c>
      <c r="E884" s="42" t="s">
        <v>186</v>
      </c>
      <c r="F884" s="62" t="e">
        <f aca="true" t="shared" si="280" ref="F884:K884">F885</f>
        <v>#REF!</v>
      </c>
      <c r="G884" s="62" t="e">
        <f t="shared" si="280"/>
        <v>#REF!</v>
      </c>
      <c r="H884" s="62" t="e">
        <f t="shared" si="280"/>
        <v>#REF!</v>
      </c>
      <c r="I884" s="62" t="e">
        <f t="shared" si="280"/>
        <v>#REF!</v>
      </c>
      <c r="J884" s="62" t="e">
        <f t="shared" si="280"/>
        <v>#REF!</v>
      </c>
      <c r="K884" s="62">
        <f t="shared" si="280"/>
        <v>14.1</v>
      </c>
    </row>
    <row r="885" spans="1:11" ht="15.75">
      <c r="A885" s="31" t="s">
        <v>610</v>
      </c>
      <c r="B885" s="42" t="s">
        <v>340</v>
      </c>
      <c r="C885" s="42" t="s">
        <v>191</v>
      </c>
      <c r="D885" s="42" t="s">
        <v>382</v>
      </c>
      <c r="E885" s="42" t="s">
        <v>179</v>
      </c>
      <c r="F885" s="62" t="e">
        <f>#REF!</f>
        <v>#REF!</v>
      </c>
      <c r="G885" s="62" t="e">
        <f>#REF!</f>
        <v>#REF!</v>
      </c>
      <c r="H885" s="62" t="e">
        <f>#REF!</f>
        <v>#REF!</v>
      </c>
      <c r="I885" s="62" t="e">
        <f>#REF!</f>
        <v>#REF!</v>
      </c>
      <c r="J885" s="62" t="e">
        <f>#REF!</f>
        <v>#REF!</v>
      </c>
      <c r="K885" s="62">
        <f>'Прил.№5 ведомств.'!G542</f>
        <v>14.1</v>
      </c>
    </row>
    <row r="886" spans="1:13" ht="15.75">
      <c r="A886" s="43" t="s">
        <v>284</v>
      </c>
      <c r="B886" s="8" t="s">
        <v>285</v>
      </c>
      <c r="C886" s="8"/>
      <c r="D886" s="8"/>
      <c r="E886" s="8"/>
      <c r="F886" s="4" t="e">
        <f aca="true" t="shared" si="281" ref="F886:K886">F887+F893+F979+F971</f>
        <v>#REF!</v>
      </c>
      <c r="G886" s="4" t="e">
        <f t="shared" si="281"/>
        <v>#REF!</v>
      </c>
      <c r="H886" s="4" t="e">
        <f t="shared" si="281"/>
        <v>#REF!</v>
      </c>
      <c r="I886" s="4" t="e">
        <f t="shared" si="281"/>
        <v>#REF!</v>
      </c>
      <c r="J886" s="4" t="e">
        <f t="shared" si="281"/>
        <v>#REF!</v>
      </c>
      <c r="K886" s="4">
        <f t="shared" si="281"/>
        <v>14804.4</v>
      </c>
      <c r="M886" s="23"/>
    </row>
    <row r="887" spans="1:11" ht="15.75">
      <c r="A887" s="43" t="s">
        <v>286</v>
      </c>
      <c r="B887" s="8" t="s">
        <v>285</v>
      </c>
      <c r="C887" s="8" t="s">
        <v>159</v>
      </c>
      <c r="D887" s="8"/>
      <c r="E887" s="8"/>
      <c r="F887" s="4" t="e">
        <f aca="true" t="shared" si="282" ref="F887:K887">F889</f>
        <v>#REF!</v>
      </c>
      <c r="G887" s="4" t="e">
        <f t="shared" si="282"/>
        <v>#REF!</v>
      </c>
      <c r="H887" s="4" t="e">
        <f t="shared" si="282"/>
        <v>#REF!</v>
      </c>
      <c r="I887" s="4" t="e">
        <f t="shared" si="282"/>
        <v>#REF!</v>
      </c>
      <c r="J887" s="4" t="e">
        <f t="shared" si="282"/>
        <v>#REF!</v>
      </c>
      <c r="K887" s="4">
        <f t="shared" si="282"/>
        <v>9066.4</v>
      </c>
    </row>
    <row r="888" spans="1:11" ht="15.75">
      <c r="A888" s="31" t="s">
        <v>162</v>
      </c>
      <c r="B888" s="42" t="s">
        <v>285</v>
      </c>
      <c r="C888" s="42" t="s">
        <v>159</v>
      </c>
      <c r="D888" s="42" t="s">
        <v>163</v>
      </c>
      <c r="E888" s="42"/>
      <c r="F888" s="7" t="e">
        <f>F889</f>
        <v>#REF!</v>
      </c>
      <c r="G888" s="7" t="e">
        <f aca="true" t="shared" si="283" ref="G888:K891">G889</f>
        <v>#REF!</v>
      </c>
      <c r="H888" s="7" t="e">
        <f t="shared" si="283"/>
        <v>#REF!</v>
      </c>
      <c r="I888" s="7" t="e">
        <f t="shared" si="283"/>
        <v>#REF!</v>
      </c>
      <c r="J888" s="7" t="e">
        <f t="shared" si="283"/>
        <v>#REF!</v>
      </c>
      <c r="K888" s="7">
        <f t="shared" si="283"/>
        <v>9066.4</v>
      </c>
    </row>
    <row r="889" spans="1:11" ht="15.75">
      <c r="A889" s="31" t="s">
        <v>182</v>
      </c>
      <c r="B889" s="42" t="s">
        <v>285</v>
      </c>
      <c r="C889" s="42" t="s">
        <v>159</v>
      </c>
      <c r="D889" s="42" t="s">
        <v>183</v>
      </c>
      <c r="E889" s="42"/>
      <c r="F889" s="7" t="e">
        <f>F890</f>
        <v>#REF!</v>
      </c>
      <c r="G889" s="7" t="e">
        <f t="shared" si="283"/>
        <v>#REF!</v>
      </c>
      <c r="H889" s="7" t="e">
        <f t="shared" si="283"/>
        <v>#REF!</v>
      </c>
      <c r="I889" s="7" t="e">
        <f t="shared" si="283"/>
        <v>#REF!</v>
      </c>
      <c r="J889" s="7" t="e">
        <f t="shared" si="283"/>
        <v>#REF!</v>
      </c>
      <c r="K889" s="7">
        <f t="shared" si="283"/>
        <v>9066.4</v>
      </c>
    </row>
    <row r="890" spans="1:11" ht="15.75">
      <c r="A890" s="31" t="s">
        <v>287</v>
      </c>
      <c r="B890" s="42" t="s">
        <v>285</v>
      </c>
      <c r="C890" s="42" t="s">
        <v>159</v>
      </c>
      <c r="D890" s="42" t="s">
        <v>288</v>
      </c>
      <c r="E890" s="42"/>
      <c r="F890" s="7" t="e">
        <f>F891</f>
        <v>#REF!</v>
      </c>
      <c r="G890" s="7" t="e">
        <f t="shared" si="283"/>
        <v>#REF!</v>
      </c>
      <c r="H890" s="7" t="e">
        <f t="shared" si="283"/>
        <v>#REF!</v>
      </c>
      <c r="I890" s="7" t="e">
        <f t="shared" si="283"/>
        <v>#REF!</v>
      </c>
      <c r="J890" s="7" t="e">
        <f t="shared" si="283"/>
        <v>#REF!</v>
      </c>
      <c r="K890" s="7">
        <f t="shared" si="283"/>
        <v>9066.4</v>
      </c>
    </row>
    <row r="891" spans="1:13" ht="31.5">
      <c r="A891" s="31" t="s">
        <v>289</v>
      </c>
      <c r="B891" s="42" t="s">
        <v>285</v>
      </c>
      <c r="C891" s="42" t="s">
        <v>159</v>
      </c>
      <c r="D891" s="42" t="s">
        <v>288</v>
      </c>
      <c r="E891" s="42" t="s">
        <v>290</v>
      </c>
      <c r="F891" s="7" t="e">
        <f>F892</f>
        <v>#REF!</v>
      </c>
      <c r="G891" s="7" t="e">
        <f t="shared" si="283"/>
        <v>#REF!</v>
      </c>
      <c r="H891" s="7" t="e">
        <f t="shared" si="283"/>
        <v>#REF!</v>
      </c>
      <c r="I891" s="7" t="e">
        <f t="shared" si="283"/>
        <v>#REF!</v>
      </c>
      <c r="J891" s="7" t="e">
        <f t="shared" si="283"/>
        <v>#REF!</v>
      </c>
      <c r="K891" s="7">
        <f t="shared" si="283"/>
        <v>9066.4</v>
      </c>
      <c r="L891" s="242"/>
      <c r="M891" s="128"/>
    </row>
    <row r="892" spans="1:11" ht="31.5">
      <c r="A892" s="31" t="s">
        <v>291</v>
      </c>
      <c r="B892" s="42" t="s">
        <v>285</v>
      </c>
      <c r="C892" s="42" t="s">
        <v>159</v>
      </c>
      <c r="D892" s="42" t="s">
        <v>288</v>
      </c>
      <c r="E892" s="42" t="s">
        <v>292</v>
      </c>
      <c r="F892" s="62" t="e">
        <f>#REF!</f>
        <v>#REF!</v>
      </c>
      <c r="G892" s="62" t="e">
        <f>#REF!</f>
        <v>#REF!</v>
      </c>
      <c r="H892" s="62" t="e">
        <f>#REF!</f>
        <v>#REF!</v>
      </c>
      <c r="I892" s="62" t="e">
        <f>#REF!</f>
        <v>#REF!</v>
      </c>
      <c r="J892" s="62" t="e">
        <f>#REF!</f>
        <v>#REF!</v>
      </c>
      <c r="K892" s="62">
        <f>'Прил.№5 ведомств.'!G226</f>
        <v>9066.4</v>
      </c>
    </row>
    <row r="893" spans="1:11" ht="15.75">
      <c r="A893" s="43" t="s">
        <v>293</v>
      </c>
      <c r="B893" s="8" t="s">
        <v>285</v>
      </c>
      <c r="C893" s="8" t="s">
        <v>256</v>
      </c>
      <c r="D893" s="8"/>
      <c r="E893" s="8"/>
      <c r="F893" s="4" t="e">
        <f aca="true" t="shared" si="284" ref="F893:K893">F894+F951+F947</f>
        <v>#REF!</v>
      </c>
      <c r="G893" s="4" t="e">
        <f t="shared" si="284"/>
        <v>#REF!</v>
      </c>
      <c r="H893" s="4" t="e">
        <f t="shared" si="284"/>
        <v>#REF!</v>
      </c>
      <c r="I893" s="4" t="e">
        <f t="shared" si="284"/>
        <v>#REF!</v>
      </c>
      <c r="J893" s="4" t="e">
        <f t="shared" si="284"/>
        <v>#REF!</v>
      </c>
      <c r="K893" s="4">
        <f t="shared" si="284"/>
        <v>2387</v>
      </c>
    </row>
    <row r="894" spans="1:11" ht="47.25">
      <c r="A894" s="31" t="s">
        <v>384</v>
      </c>
      <c r="B894" s="42" t="s">
        <v>285</v>
      </c>
      <c r="C894" s="42" t="s">
        <v>256</v>
      </c>
      <c r="D894" s="42" t="s">
        <v>385</v>
      </c>
      <c r="E894" s="42"/>
      <c r="F894" s="7" t="e">
        <f aca="true" t="shared" si="285" ref="F894:K894">F895+F906+F910+F914+F920+F924+F928+F943</f>
        <v>#REF!</v>
      </c>
      <c r="G894" s="7" t="e">
        <f t="shared" si="285"/>
        <v>#REF!</v>
      </c>
      <c r="H894" s="7" t="e">
        <f t="shared" si="285"/>
        <v>#REF!</v>
      </c>
      <c r="I894" s="7" t="e">
        <f t="shared" si="285"/>
        <v>#REF!</v>
      </c>
      <c r="J894" s="7" t="e">
        <f t="shared" si="285"/>
        <v>#REF!</v>
      </c>
      <c r="K894" s="7">
        <f t="shared" si="285"/>
        <v>2377</v>
      </c>
    </row>
    <row r="895" spans="1:11" ht="31.5" hidden="1">
      <c r="A895" s="31" t="s">
        <v>386</v>
      </c>
      <c r="B895" s="42" t="s">
        <v>285</v>
      </c>
      <c r="C895" s="42" t="s">
        <v>256</v>
      </c>
      <c r="D895" s="42" t="s">
        <v>387</v>
      </c>
      <c r="E895" s="42"/>
      <c r="F895" s="7" t="e">
        <f>F896+F903+F901</f>
        <v>#REF!</v>
      </c>
      <c r="G895" s="7" t="e">
        <f>G896+G903+G901</f>
        <v>#REF!</v>
      </c>
      <c r="H895" s="7" t="e">
        <f>H896+H903+H901</f>
        <v>#REF!</v>
      </c>
      <c r="I895" s="7" t="e">
        <f>I896+I903+I901</f>
        <v>#REF!</v>
      </c>
      <c r="J895" s="7" t="e">
        <f>J896+J903+J901</f>
        <v>#REF!</v>
      </c>
      <c r="K895" s="7">
        <f>K896+K903</f>
        <v>0</v>
      </c>
    </row>
    <row r="896" spans="1:11" ht="31.5" hidden="1">
      <c r="A896" s="31" t="s">
        <v>198</v>
      </c>
      <c r="B896" s="42" t="s">
        <v>285</v>
      </c>
      <c r="C896" s="42" t="s">
        <v>256</v>
      </c>
      <c r="D896" s="42" t="s">
        <v>388</v>
      </c>
      <c r="E896" s="42"/>
      <c r="F896" s="7" t="e">
        <f>F899</f>
        <v>#REF!</v>
      </c>
      <c r="G896" s="7" t="e">
        <f>G899</f>
        <v>#REF!</v>
      </c>
      <c r="H896" s="7" t="e">
        <f>H899</f>
        <v>#REF!</v>
      </c>
      <c r="I896" s="7" t="e">
        <f>I899</f>
        <v>#REF!</v>
      </c>
      <c r="J896" s="7" t="e">
        <f>J899</f>
        <v>#REF!</v>
      </c>
      <c r="K896" s="7">
        <f>K899+K897+K901</f>
        <v>0</v>
      </c>
    </row>
    <row r="897" spans="1:11" ht="78.75" hidden="1">
      <c r="A897" s="26" t="s">
        <v>168</v>
      </c>
      <c r="B897" s="42" t="s">
        <v>285</v>
      </c>
      <c r="C897" s="42" t="s">
        <v>256</v>
      </c>
      <c r="D897" s="42" t="s">
        <v>388</v>
      </c>
      <c r="E897" s="42" t="s">
        <v>169</v>
      </c>
      <c r="F897" s="7"/>
      <c r="G897" s="7"/>
      <c r="H897" s="7"/>
      <c r="I897" s="7"/>
      <c r="J897" s="7"/>
      <c r="K897" s="7">
        <f>K898</f>
        <v>0</v>
      </c>
    </row>
    <row r="898" spans="1:11" ht="31.5" hidden="1">
      <c r="A898" s="26" t="s">
        <v>383</v>
      </c>
      <c r="B898" s="42" t="s">
        <v>285</v>
      </c>
      <c r="C898" s="42" t="s">
        <v>256</v>
      </c>
      <c r="D898" s="42" t="s">
        <v>388</v>
      </c>
      <c r="E898" s="42" t="s">
        <v>250</v>
      </c>
      <c r="F898" s="7"/>
      <c r="G898" s="7"/>
      <c r="H898" s="7"/>
      <c r="I898" s="7"/>
      <c r="J898" s="7"/>
      <c r="K898" s="7">
        <f>'Прил.№5 ведомств.'!G549</f>
        <v>0</v>
      </c>
    </row>
    <row r="899" spans="1:11" ht="31.5" hidden="1">
      <c r="A899" s="31" t="s">
        <v>172</v>
      </c>
      <c r="B899" s="42" t="s">
        <v>285</v>
      </c>
      <c r="C899" s="42" t="s">
        <v>256</v>
      </c>
      <c r="D899" s="42" t="s">
        <v>388</v>
      </c>
      <c r="E899" s="42" t="s">
        <v>173</v>
      </c>
      <c r="F899" s="7" t="e">
        <f aca="true" t="shared" si="286" ref="F899:K899">F900</f>
        <v>#REF!</v>
      </c>
      <c r="G899" s="7" t="e">
        <f t="shared" si="286"/>
        <v>#REF!</v>
      </c>
      <c r="H899" s="7" t="e">
        <f t="shared" si="286"/>
        <v>#REF!</v>
      </c>
      <c r="I899" s="7" t="e">
        <f t="shared" si="286"/>
        <v>#REF!</v>
      </c>
      <c r="J899" s="7" t="e">
        <f t="shared" si="286"/>
        <v>#REF!</v>
      </c>
      <c r="K899" s="7">
        <f t="shared" si="286"/>
        <v>0</v>
      </c>
    </row>
    <row r="900" spans="1:11" ht="47.25" hidden="1">
      <c r="A900" s="31" t="s">
        <v>174</v>
      </c>
      <c r="B900" s="42" t="s">
        <v>285</v>
      </c>
      <c r="C900" s="42" t="s">
        <v>256</v>
      </c>
      <c r="D900" s="42" t="s">
        <v>388</v>
      </c>
      <c r="E900" s="42" t="s">
        <v>175</v>
      </c>
      <c r="F900" s="7" t="e">
        <f>#REF!</f>
        <v>#REF!</v>
      </c>
      <c r="G900" s="7" t="e">
        <f>#REF!</f>
        <v>#REF!</v>
      </c>
      <c r="H900" s="7" t="e">
        <f>#REF!</f>
        <v>#REF!</v>
      </c>
      <c r="I900" s="7" t="e">
        <f>#REF!</f>
        <v>#REF!</v>
      </c>
      <c r="J900" s="7" t="e">
        <f>#REF!</f>
        <v>#REF!</v>
      </c>
      <c r="K900" s="7">
        <f>'Прил.№5 ведомств.'!G551</f>
        <v>0</v>
      </c>
    </row>
    <row r="901" spans="1:11" ht="31.5" hidden="1">
      <c r="A901" s="31" t="s">
        <v>289</v>
      </c>
      <c r="B901" s="42" t="s">
        <v>285</v>
      </c>
      <c r="C901" s="42" t="s">
        <v>256</v>
      </c>
      <c r="D901" s="42" t="s">
        <v>388</v>
      </c>
      <c r="E901" s="42" t="s">
        <v>290</v>
      </c>
      <c r="F901" s="7" t="e">
        <f aca="true" t="shared" si="287" ref="F901:K901">F902</f>
        <v>#REF!</v>
      </c>
      <c r="G901" s="7" t="e">
        <f t="shared" si="287"/>
        <v>#REF!</v>
      </c>
      <c r="H901" s="7" t="e">
        <f t="shared" si="287"/>
        <v>#REF!</v>
      </c>
      <c r="I901" s="7" t="e">
        <f t="shared" si="287"/>
        <v>#REF!</v>
      </c>
      <c r="J901" s="7" t="e">
        <f t="shared" si="287"/>
        <v>#REF!</v>
      </c>
      <c r="K901" s="7">
        <f t="shared" si="287"/>
        <v>0</v>
      </c>
    </row>
    <row r="902" spans="1:11" ht="31.5" hidden="1">
      <c r="A902" s="31" t="s">
        <v>389</v>
      </c>
      <c r="B902" s="42" t="s">
        <v>285</v>
      </c>
      <c r="C902" s="42" t="s">
        <v>256</v>
      </c>
      <c r="D902" s="42" t="s">
        <v>388</v>
      </c>
      <c r="E902" s="42" t="s">
        <v>390</v>
      </c>
      <c r="F902" s="7" t="e">
        <f>#REF!</f>
        <v>#REF!</v>
      </c>
      <c r="G902" s="7" t="e">
        <f>#REF!</f>
        <v>#REF!</v>
      </c>
      <c r="H902" s="7" t="e">
        <f>#REF!</f>
        <v>#REF!</v>
      </c>
      <c r="I902" s="7" t="e">
        <f>#REF!</f>
        <v>#REF!</v>
      </c>
      <c r="J902" s="7" t="e">
        <f>#REF!</f>
        <v>#REF!</v>
      </c>
      <c r="K902" s="7">
        <f>'Прил.№5 ведомств.'!G553</f>
        <v>0</v>
      </c>
    </row>
    <row r="903" spans="1:11" ht="31.5" hidden="1">
      <c r="A903" s="26" t="s">
        <v>391</v>
      </c>
      <c r="B903" s="42" t="s">
        <v>285</v>
      </c>
      <c r="C903" s="42" t="s">
        <v>256</v>
      </c>
      <c r="D903" s="21" t="s">
        <v>392</v>
      </c>
      <c r="E903" s="42"/>
      <c r="F903" s="7" t="e">
        <f>F904</f>
        <v>#REF!</v>
      </c>
      <c r="G903" s="7" t="e">
        <f aca="true" t="shared" si="288" ref="G903:K904">G904</f>
        <v>#REF!</v>
      </c>
      <c r="H903" s="7" t="e">
        <f t="shared" si="288"/>
        <v>#REF!</v>
      </c>
      <c r="I903" s="7" t="e">
        <f t="shared" si="288"/>
        <v>#REF!</v>
      </c>
      <c r="J903" s="7" t="e">
        <f t="shared" si="288"/>
        <v>#REF!</v>
      </c>
      <c r="K903" s="7">
        <f t="shared" si="288"/>
        <v>0</v>
      </c>
    </row>
    <row r="904" spans="1:11" ht="47.25" hidden="1">
      <c r="A904" s="26" t="s">
        <v>313</v>
      </c>
      <c r="B904" s="42" t="s">
        <v>285</v>
      </c>
      <c r="C904" s="42" t="s">
        <v>256</v>
      </c>
      <c r="D904" s="21" t="s">
        <v>392</v>
      </c>
      <c r="E904" s="42" t="s">
        <v>314</v>
      </c>
      <c r="F904" s="7" t="e">
        <f>F905</f>
        <v>#REF!</v>
      </c>
      <c r="G904" s="7" t="e">
        <f t="shared" si="288"/>
        <v>#REF!</v>
      </c>
      <c r="H904" s="7" t="e">
        <f t="shared" si="288"/>
        <v>#REF!</v>
      </c>
      <c r="I904" s="7" t="e">
        <f t="shared" si="288"/>
        <v>#REF!</v>
      </c>
      <c r="J904" s="7" t="e">
        <f t="shared" si="288"/>
        <v>#REF!</v>
      </c>
      <c r="K904" s="7">
        <f t="shared" si="288"/>
        <v>0</v>
      </c>
    </row>
    <row r="905" spans="1:11" ht="15.75" hidden="1">
      <c r="A905" s="26" t="s">
        <v>315</v>
      </c>
      <c r="B905" s="42" t="s">
        <v>285</v>
      </c>
      <c r="C905" s="42" t="s">
        <v>256</v>
      </c>
      <c r="D905" s="21" t="s">
        <v>392</v>
      </c>
      <c r="E905" s="42" t="s">
        <v>316</v>
      </c>
      <c r="F905" s="7" t="e">
        <f>#REF!</f>
        <v>#REF!</v>
      </c>
      <c r="G905" s="7" t="e">
        <f>#REF!</f>
        <v>#REF!</v>
      </c>
      <c r="H905" s="7" t="e">
        <f>#REF!</f>
        <v>#REF!</v>
      </c>
      <c r="I905" s="7" t="e">
        <f>#REF!</f>
        <v>#REF!</v>
      </c>
      <c r="J905" s="7" t="e">
        <f>#REF!</f>
        <v>#REF!</v>
      </c>
      <c r="K905" s="7">
        <f>'Прил.№5 ведомств.'!G556</f>
        <v>0</v>
      </c>
    </row>
    <row r="906" spans="1:11" ht="31.5">
      <c r="A906" s="31" t="s">
        <v>393</v>
      </c>
      <c r="B906" s="42" t="s">
        <v>285</v>
      </c>
      <c r="C906" s="42" t="s">
        <v>256</v>
      </c>
      <c r="D906" s="42" t="s">
        <v>394</v>
      </c>
      <c r="E906" s="42"/>
      <c r="F906" s="7" t="e">
        <f>F907</f>
        <v>#REF!</v>
      </c>
      <c r="G906" s="7" t="e">
        <f aca="true" t="shared" si="289" ref="G906:K908">G907</f>
        <v>#REF!</v>
      </c>
      <c r="H906" s="7" t="e">
        <f t="shared" si="289"/>
        <v>#REF!</v>
      </c>
      <c r="I906" s="7" t="e">
        <f t="shared" si="289"/>
        <v>#REF!</v>
      </c>
      <c r="J906" s="7" t="e">
        <f t="shared" si="289"/>
        <v>#REF!</v>
      </c>
      <c r="K906" s="7">
        <f t="shared" si="289"/>
        <v>434.8</v>
      </c>
    </row>
    <row r="907" spans="1:11" ht="31.5">
      <c r="A907" s="26" t="s">
        <v>1064</v>
      </c>
      <c r="B907" s="42" t="s">
        <v>285</v>
      </c>
      <c r="C907" s="42" t="s">
        <v>256</v>
      </c>
      <c r="D907" s="21" t="s">
        <v>995</v>
      </c>
      <c r="E907" s="42"/>
      <c r="F907" s="7" t="e">
        <f>F908</f>
        <v>#REF!</v>
      </c>
      <c r="G907" s="7" t="e">
        <f t="shared" si="289"/>
        <v>#REF!</v>
      </c>
      <c r="H907" s="7" t="e">
        <f t="shared" si="289"/>
        <v>#REF!</v>
      </c>
      <c r="I907" s="7" t="e">
        <f t="shared" si="289"/>
        <v>#REF!</v>
      </c>
      <c r="J907" s="7" t="e">
        <f t="shared" si="289"/>
        <v>#REF!</v>
      </c>
      <c r="K907" s="7">
        <f t="shared" si="289"/>
        <v>434.8</v>
      </c>
    </row>
    <row r="908" spans="1:11" ht="31.5">
      <c r="A908" s="31" t="s">
        <v>289</v>
      </c>
      <c r="B908" s="42" t="s">
        <v>285</v>
      </c>
      <c r="C908" s="42" t="s">
        <v>256</v>
      </c>
      <c r="D908" s="21" t="s">
        <v>995</v>
      </c>
      <c r="E908" s="42" t="s">
        <v>290</v>
      </c>
      <c r="F908" s="7" t="e">
        <f>F909</f>
        <v>#REF!</v>
      </c>
      <c r="G908" s="7" t="e">
        <f t="shared" si="289"/>
        <v>#REF!</v>
      </c>
      <c r="H908" s="7" t="e">
        <f t="shared" si="289"/>
        <v>#REF!</v>
      </c>
      <c r="I908" s="7" t="e">
        <f t="shared" si="289"/>
        <v>#REF!</v>
      </c>
      <c r="J908" s="7" t="e">
        <f t="shared" si="289"/>
        <v>#REF!</v>
      </c>
      <c r="K908" s="7">
        <f t="shared" si="289"/>
        <v>434.8</v>
      </c>
    </row>
    <row r="909" spans="1:11" ht="31.5">
      <c r="A909" s="31" t="s">
        <v>291</v>
      </c>
      <c r="B909" s="42" t="s">
        <v>285</v>
      </c>
      <c r="C909" s="42" t="s">
        <v>256</v>
      </c>
      <c r="D909" s="21" t="s">
        <v>995</v>
      </c>
      <c r="E909" s="42" t="s">
        <v>292</v>
      </c>
      <c r="F909" s="7" t="e">
        <f>#REF!</f>
        <v>#REF!</v>
      </c>
      <c r="G909" s="7" t="e">
        <f>#REF!</f>
        <v>#REF!</v>
      </c>
      <c r="H909" s="7" t="e">
        <f>#REF!</f>
        <v>#REF!</v>
      </c>
      <c r="I909" s="7" t="e">
        <f>#REF!</f>
        <v>#REF!</v>
      </c>
      <c r="J909" s="7" t="e">
        <f>#REF!</f>
        <v>#REF!</v>
      </c>
      <c r="K909" s="7">
        <f>'Прил.№5 ведомств.'!G560</f>
        <v>434.8</v>
      </c>
    </row>
    <row r="910" spans="1:11" ht="31.5">
      <c r="A910" s="31" t="s">
        <v>396</v>
      </c>
      <c r="B910" s="6">
        <v>10</v>
      </c>
      <c r="C910" s="42" t="s">
        <v>256</v>
      </c>
      <c r="D910" s="42" t="s">
        <v>397</v>
      </c>
      <c r="E910" s="42"/>
      <c r="F910" s="7" t="e">
        <f aca="true" t="shared" si="290" ref="F910:K910">F912</f>
        <v>#REF!</v>
      </c>
      <c r="G910" s="7" t="e">
        <f t="shared" si="290"/>
        <v>#REF!</v>
      </c>
      <c r="H910" s="7" t="e">
        <f t="shared" si="290"/>
        <v>#REF!</v>
      </c>
      <c r="I910" s="7" t="e">
        <f t="shared" si="290"/>
        <v>#REF!</v>
      </c>
      <c r="J910" s="7" t="e">
        <f t="shared" si="290"/>
        <v>#REF!</v>
      </c>
      <c r="K910" s="7">
        <f t="shared" si="290"/>
        <v>420</v>
      </c>
    </row>
    <row r="911" spans="1:11" ht="31.5">
      <c r="A911" s="31" t="s">
        <v>198</v>
      </c>
      <c r="B911" s="42" t="s">
        <v>285</v>
      </c>
      <c r="C911" s="42" t="s">
        <v>256</v>
      </c>
      <c r="D911" s="42" t="s">
        <v>398</v>
      </c>
      <c r="E911" s="42"/>
      <c r="F911" s="7" t="e">
        <f>F912</f>
        <v>#REF!</v>
      </c>
      <c r="G911" s="7" t="e">
        <f aca="true" t="shared" si="291" ref="G911:K912">G912</f>
        <v>#REF!</v>
      </c>
      <c r="H911" s="7" t="e">
        <f t="shared" si="291"/>
        <v>#REF!</v>
      </c>
      <c r="I911" s="7" t="e">
        <f t="shared" si="291"/>
        <v>#REF!</v>
      </c>
      <c r="J911" s="7" t="e">
        <f t="shared" si="291"/>
        <v>#REF!</v>
      </c>
      <c r="K911" s="7">
        <f t="shared" si="291"/>
        <v>420</v>
      </c>
    </row>
    <row r="912" spans="1:11" ht="31.5">
      <c r="A912" s="31" t="s">
        <v>289</v>
      </c>
      <c r="B912" s="42" t="s">
        <v>285</v>
      </c>
      <c r="C912" s="42" t="s">
        <v>256</v>
      </c>
      <c r="D912" s="42" t="s">
        <v>398</v>
      </c>
      <c r="E912" s="42" t="s">
        <v>290</v>
      </c>
      <c r="F912" s="7" t="e">
        <f>F913</f>
        <v>#REF!</v>
      </c>
      <c r="G912" s="7" t="e">
        <f t="shared" si="291"/>
        <v>#REF!</v>
      </c>
      <c r="H912" s="7" t="e">
        <f t="shared" si="291"/>
        <v>#REF!</v>
      </c>
      <c r="I912" s="7" t="e">
        <f t="shared" si="291"/>
        <v>#REF!</v>
      </c>
      <c r="J912" s="7" t="e">
        <f t="shared" si="291"/>
        <v>#REF!</v>
      </c>
      <c r="K912" s="7">
        <f t="shared" si="291"/>
        <v>420</v>
      </c>
    </row>
    <row r="913" spans="1:11" ht="31.5">
      <c r="A913" s="31" t="s">
        <v>389</v>
      </c>
      <c r="B913" s="42" t="s">
        <v>285</v>
      </c>
      <c r="C913" s="42" t="s">
        <v>256</v>
      </c>
      <c r="D913" s="42" t="s">
        <v>398</v>
      </c>
      <c r="E913" s="42" t="s">
        <v>390</v>
      </c>
      <c r="F913" s="7" t="e">
        <f>#REF!</f>
        <v>#REF!</v>
      </c>
      <c r="G913" s="7" t="e">
        <f>#REF!</f>
        <v>#REF!</v>
      </c>
      <c r="H913" s="7" t="e">
        <f>#REF!</f>
        <v>#REF!</v>
      </c>
      <c r="I913" s="7" t="e">
        <f>#REF!</f>
        <v>#REF!</v>
      </c>
      <c r="J913" s="7" t="e">
        <f>#REF!</f>
        <v>#REF!</v>
      </c>
      <c r="K913" s="7">
        <f>'Прил.№5 ведомств.'!G564</f>
        <v>420</v>
      </c>
    </row>
    <row r="914" spans="1:11" ht="15.75">
      <c r="A914" s="31" t="s">
        <v>399</v>
      </c>
      <c r="B914" s="6">
        <v>10</v>
      </c>
      <c r="C914" s="42" t="s">
        <v>256</v>
      </c>
      <c r="D914" s="42" t="s">
        <v>400</v>
      </c>
      <c r="E914" s="42"/>
      <c r="F914" s="7" t="e">
        <f aca="true" t="shared" si="292" ref="F914:K914">F915</f>
        <v>#REF!</v>
      </c>
      <c r="G914" s="7" t="e">
        <f t="shared" si="292"/>
        <v>#REF!</v>
      </c>
      <c r="H914" s="7" t="e">
        <f t="shared" si="292"/>
        <v>#REF!</v>
      </c>
      <c r="I914" s="7" t="e">
        <f t="shared" si="292"/>
        <v>#REF!</v>
      </c>
      <c r="J914" s="7" t="e">
        <f t="shared" si="292"/>
        <v>#REF!</v>
      </c>
      <c r="K914" s="7">
        <f t="shared" si="292"/>
        <v>1272.2</v>
      </c>
    </row>
    <row r="915" spans="1:11" ht="31.5">
      <c r="A915" s="31" t="s">
        <v>198</v>
      </c>
      <c r="B915" s="42" t="s">
        <v>285</v>
      </c>
      <c r="C915" s="42" t="s">
        <v>256</v>
      </c>
      <c r="D915" s="42" t="s">
        <v>401</v>
      </c>
      <c r="E915" s="42"/>
      <c r="F915" s="7" t="e">
        <f aca="true" t="shared" si="293" ref="F915:K915">F916+F918</f>
        <v>#REF!</v>
      </c>
      <c r="G915" s="7" t="e">
        <f t="shared" si="293"/>
        <v>#REF!</v>
      </c>
      <c r="H915" s="7" t="e">
        <f t="shared" si="293"/>
        <v>#REF!</v>
      </c>
      <c r="I915" s="7" t="e">
        <f t="shared" si="293"/>
        <v>#REF!</v>
      </c>
      <c r="J915" s="7" t="e">
        <f t="shared" si="293"/>
        <v>#REF!</v>
      </c>
      <c r="K915" s="7">
        <f t="shared" si="293"/>
        <v>1272.2</v>
      </c>
    </row>
    <row r="916" spans="1:11" ht="31.5">
      <c r="A916" s="31" t="s">
        <v>172</v>
      </c>
      <c r="B916" s="42" t="s">
        <v>285</v>
      </c>
      <c r="C916" s="42" t="s">
        <v>256</v>
      </c>
      <c r="D916" s="42" t="s">
        <v>401</v>
      </c>
      <c r="E916" s="42" t="s">
        <v>173</v>
      </c>
      <c r="F916" s="7" t="e">
        <f aca="true" t="shared" si="294" ref="F916:K916">F917</f>
        <v>#REF!</v>
      </c>
      <c r="G916" s="7" t="e">
        <f t="shared" si="294"/>
        <v>#REF!</v>
      </c>
      <c r="H916" s="7" t="e">
        <f t="shared" si="294"/>
        <v>#REF!</v>
      </c>
      <c r="I916" s="7" t="e">
        <f t="shared" si="294"/>
        <v>#REF!</v>
      </c>
      <c r="J916" s="7" t="e">
        <f t="shared" si="294"/>
        <v>#REF!</v>
      </c>
      <c r="K916" s="7">
        <f t="shared" si="294"/>
        <v>356.6</v>
      </c>
    </row>
    <row r="917" spans="1:11" ht="47.25">
      <c r="A917" s="31" t="s">
        <v>174</v>
      </c>
      <c r="B917" s="42" t="s">
        <v>285</v>
      </c>
      <c r="C917" s="42" t="s">
        <v>256</v>
      </c>
      <c r="D917" s="42" t="s">
        <v>401</v>
      </c>
      <c r="E917" s="42" t="s">
        <v>175</v>
      </c>
      <c r="F917" s="7" t="e">
        <f>#REF!</f>
        <v>#REF!</v>
      </c>
      <c r="G917" s="7" t="e">
        <f>#REF!</f>
        <v>#REF!</v>
      </c>
      <c r="H917" s="7" t="e">
        <f>#REF!</f>
        <v>#REF!</v>
      </c>
      <c r="I917" s="7" t="e">
        <f>#REF!</f>
        <v>#REF!</v>
      </c>
      <c r="J917" s="7" t="e">
        <f>#REF!</f>
        <v>#REF!</v>
      </c>
      <c r="K917" s="7">
        <f>'Прил.№5 ведомств.'!G568</f>
        <v>356.6</v>
      </c>
    </row>
    <row r="918" spans="1:11" ht="31.5">
      <c r="A918" s="31" t="s">
        <v>289</v>
      </c>
      <c r="B918" s="42" t="s">
        <v>285</v>
      </c>
      <c r="C918" s="42" t="s">
        <v>256</v>
      </c>
      <c r="D918" s="42" t="s">
        <v>401</v>
      </c>
      <c r="E918" s="42" t="s">
        <v>290</v>
      </c>
      <c r="F918" s="7" t="e">
        <f aca="true" t="shared" si="295" ref="F918:K918">F919</f>
        <v>#REF!</v>
      </c>
      <c r="G918" s="7" t="e">
        <f t="shared" si="295"/>
        <v>#REF!</v>
      </c>
      <c r="H918" s="7" t="e">
        <f t="shared" si="295"/>
        <v>#REF!</v>
      </c>
      <c r="I918" s="7" t="e">
        <f t="shared" si="295"/>
        <v>#REF!</v>
      </c>
      <c r="J918" s="7" t="e">
        <f t="shared" si="295"/>
        <v>#REF!</v>
      </c>
      <c r="K918" s="7">
        <f t="shared" si="295"/>
        <v>915.6</v>
      </c>
    </row>
    <row r="919" spans="1:11" ht="31.5">
      <c r="A919" s="31" t="s">
        <v>389</v>
      </c>
      <c r="B919" s="42" t="s">
        <v>285</v>
      </c>
      <c r="C919" s="42" t="s">
        <v>256</v>
      </c>
      <c r="D919" s="42" t="s">
        <v>401</v>
      </c>
      <c r="E919" s="42" t="s">
        <v>390</v>
      </c>
      <c r="F919" s="7" t="e">
        <f>#REF!</f>
        <v>#REF!</v>
      </c>
      <c r="G919" s="7" t="e">
        <f>#REF!</f>
        <v>#REF!</v>
      </c>
      <c r="H919" s="7" t="e">
        <f>#REF!</f>
        <v>#REF!</v>
      </c>
      <c r="I919" s="7" t="e">
        <f>#REF!</f>
        <v>#REF!</v>
      </c>
      <c r="J919" s="7" t="e">
        <f>#REF!</f>
        <v>#REF!</v>
      </c>
      <c r="K919" s="7">
        <f>'Прил.№5 ведомств.'!G570</f>
        <v>915.6</v>
      </c>
    </row>
    <row r="920" spans="1:11" ht="31.5">
      <c r="A920" s="31" t="s">
        <v>402</v>
      </c>
      <c r="B920" s="42" t="s">
        <v>285</v>
      </c>
      <c r="C920" s="42" t="s">
        <v>256</v>
      </c>
      <c r="D920" s="42" t="s">
        <v>403</v>
      </c>
      <c r="E920" s="42"/>
      <c r="F920" s="7" t="e">
        <f>F921</f>
        <v>#REF!</v>
      </c>
      <c r="G920" s="7" t="e">
        <f aca="true" t="shared" si="296" ref="G920:K922">G921</f>
        <v>#REF!</v>
      </c>
      <c r="H920" s="7" t="e">
        <f t="shared" si="296"/>
        <v>#REF!</v>
      </c>
      <c r="I920" s="7" t="e">
        <f t="shared" si="296"/>
        <v>#REF!</v>
      </c>
      <c r="J920" s="7" t="e">
        <f t="shared" si="296"/>
        <v>#REF!</v>
      </c>
      <c r="K920" s="7">
        <f t="shared" si="296"/>
        <v>250</v>
      </c>
    </row>
    <row r="921" spans="1:11" ht="31.5">
      <c r="A921" s="31" t="s">
        <v>198</v>
      </c>
      <c r="B921" s="42" t="s">
        <v>285</v>
      </c>
      <c r="C921" s="42" t="s">
        <v>256</v>
      </c>
      <c r="D921" s="42" t="s">
        <v>404</v>
      </c>
      <c r="E921" s="42"/>
      <c r="F921" s="7" t="e">
        <f>F922</f>
        <v>#REF!</v>
      </c>
      <c r="G921" s="7" t="e">
        <f t="shared" si="296"/>
        <v>#REF!</v>
      </c>
      <c r="H921" s="7" t="e">
        <f t="shared" si="296"/>
        <v>#REF!</v>
      </c>
      <c r="I921" s="7" t="e">
        <f t="shared" si="296"/>
        <v>#REF!</v>
      </c>
      <c r="J921" s="7" t="e">
        <f t="shared" si="296"/>
        <v>#REF!</v>
      </c>
      <c r="K921" s="7">
        <f t="shared" si="296"/>
        <v>250</v>
      </c>
    </row>
    <row r="922" spans="1:11" ht="31.5">
      <c r="A922" s="31" t="s">
        <v>289</v>
      </c>
      <c r="B922" s="42" t="s">
        <v>285</v>
      </c>
      <c r="C922" s="42" t="s">
        <v>256</v>
      </c>
      <c r="D922" s="42" t="s">
        <v>404</v>
      </c>
      <c r="E922" s="42" t="s">
        <v>290</v>
      </c>
      <c r="F922" s="7" t="e">
        <f>F923</f>
        <v>#REF!</v>
      </c>
      <c r="G922" s="7" t="e">
        <f t="shared" si="296"/>
        <v>#REF!</v>
      </c>
      <c r="H922" s="7" t="e">
        <f t="shared" si="296"/>
        <v>#REF!</v>
      </c>
      <c r="I922" s="7" t="e">
        <f t="shared" si="296"/>
        <v>#REF!</v>
      </c>
      <c r="J922" s="7" t="e">
        <f t="shared" si="296"/>
        <v>#REF!</v>
      </c>
      <c r="K922" s="7">
        <f t="shared" si="296"/>
        <v>250</v>
      </c>
    </row>
    <row r="923" spans="1:11" ht="31.5">
      <c r="A923" s="31" t="s">
        <v>389</v>
      </c>
      <c r="B923" s="42" t="s">
        <v>285</v>
      </c>
      <c r="C923" s="42" t="s">
        <v>256</v>
      </c>
      <c r="D923" s="42" t="s">
        <v>404</v>
      </c>
      <c r="E923" s="42" t="s">
        <v>390</v>
      </c>
      <c r="F923" s="7" t="e">
        <f>#REF!</f>
        <v>#REF!</v>
      </c>
      <c r="G923" s="7" t="e">
        <f>#REF!</f>
        <v>#REF!</v>
      </c>
      <c r="H923" s="7" t="e">
        <f>#REF!</f>
        <v>#REF!</v>
      </c>
      <c r="I923" s="7" t="e">
        <f>#REF!</f>
        <v>#REF!</v>
      </c>
      <c r="J923" s="7" t="e">
        <f>#REF!</f>
        <v>#REF!</v>
      </c>
      <c r="K923" s="7">
        <f>'Прил.№5 ведомств.'!G574</f>
        <v>250</v>
      </c>
    </row>
    <row r="924" spans="1:11" ht="47.25" hidden="1">
      <c r="A924" s="31" t="s">
        <v>405</v>
      </c>
      <c r="B924" s="42" t="s">
        <v>285</v>
      </c>
      <c r="C924" s="42" t="s">
        <v>256</v>
      </c>
      <c r="D924" s="42" t="s">
        <v>406</v>
      </c>
      <c r="E924" s="42"/>
      <c r="F924" s="7" t="e">
        <f>F925</f>
        <v>#REF!</v>
      </c>
      <c r="G924" s="7" t="e">
        <f aca="true" t="shared" si="297" ref="G924:K926">G925</f>
        <v>#REF!</v>
      </c>
      <c r="H924" s="7" t="e">
        <f t="shared" si="297"/>
        <v>#REF!</v>
      </c>
      <c r="I924" s="7" t="e">
        <f t="shared" si="297"/>
        <v>#REF!</v>
      </c>
      <c r="J924" s="7" t="e">
        <f t="shared" si="297"/>
        <v>#REF!</v>
      </c>
      <c r="K924" s="7">
        <f t="shared" si="297"/>
        <v>0</v>
      </c>
    </row>
    <row r="925" spans="1:11" ht="31.5" hidden="1">
      <c r="A925" s="31" t="s">
        <v>198</v>
      </c>
      <c r="B925" s="42" t="s">
        <v>285</v>
      </c>
      <c r="C925" s="42" t="s">
        <v>256</v>
      </c>
      <c r="D925" s="42" t="s">
        <v>407</v>
      </c>
      <c r="E925" s="42"/>
      <c r="F925" s="7" t="e">
        <f>F926</f>
        <v>#REF!</v>
      </c>
      <c r="G925" s="7" t="e">
        <f t="shared" si="297"/>
        <v>#REF!</v>
      </c>
      <c r="H925" s="7" t="e">
        <f t="shared" si="297"/>
        <v>#REF!</v>
      </c>
      <c r="I925" s="7" t="e">
        <f t="shared" si="297"/>
        <v>#REF!</v>
      </c>
      <c r="J925" s="7" t="e">
        <f t="shared" si="297"/>
        <v>#REF!</v>
      </c>
      <c r="K925" s="7">
        <f t="shared" si="297"/>
        <v>0</v>
      </c>
    </row>
    <row r="926" spans="1:11" ht="31.5" hidden="1">
      <c r="A926" s="31" t="s">
        <v>172</v>
      </c>
      <c r="B926" s="42" t="s">
        <v>285</v>
      </c>
      <c r="C926" s="42" t="s">
        <v>256</v>
      </c>
      <c r="D926" s="42" t="s">
        <v>407</v>
      </c>
      <c r="E926" s="42" t="s">
        <v>173</v>
      </c>
      <c r="F926" s="7" t="e">
        <f>F927</f>
        <v>#REF!</v>
      </c>
      <c r="G926" s="7" t="e">
        <f t="shared" si="297"/>
        <v>#REF!</v>
      </c>
      <c r="H926" s="7" t="e">
        <f t="shared" si="297"/>
        <v>#REF!</v>
      </c>
      <c r="I926" s="7" t="e">
        <f t="shared" si="297"/>
        <v>#REF!</v>
      </c>
      <c r="J926" s="7" t="e">
        <f t="shared" si="297"/>
        <v>#REF!</v>
      </c>
      <c r="K926" s="7">
        <f t="shared" si="297"/>
        <v>0</v>
      </c>
    </row>
    <row r="927" spans="1:11" ht="47.25" hidden="1">
      <c r="A927" s="31" t="s">
        <v>174</v>
      </c>
      <c r="B927" s="42" t="s">
        <v>285</v>
      </c>
      <c r="C927" s="42" t="s">
        <v>256</v>
      </c>
      <c r="D927" s="42" t="s">
        <v>407</v>
      </c>
      <c r="E927" s="42" t="s">
        <v>175</v>
      </c>
      <c r="F927" s="7" t="e">
        <f>#REF!</f>
        <v>#REF!</v>
      </c>
      <c r="G927" s="7" t="e">
        <f>#REF!</f>
        <v>#REF!</v>
      </c>
      <c r="H927" s="7" t="e">
        <f>#REF!</f>
        <v>#REF!</v>
      </c>
      <c r="I927" s="7" t="e">
        <f>#REF!</f>
        <v>#REF!</v>
      </c>
      <c r="J927" s="7" t="e">
        <f>#REF!</f>
        <v>#REF!</v>
      </c>
      <c r="K927" s="7">
        <f>'Прил.№5 ведомств.'!G578</f>
        <v>0</v>
      </c>
    </row>
    <row r="928" spans="1:11" ht="47.25" hidden="1">
      <c r="A928" s="31" t="s">
        <v>408</v>
      </c>
      <c r="B928" s="42" t="s">
        <v>285</v>
      </c>
      <c r="C928" s="42" t="s">
        <v>256</v>
      </c>
      <c r="D928" s="42" t="s">
        <v>409</v>
      </c>
      <c r="E928" s="42"/>
      <c r="F928" s="7" t="e">
        <f aca="true" t="shared" si="298" ref="F928:K928">F929+F934+F937+F940</f>
        <v>#REF!</v>
      </c>
      <c r="G928" s="7" t="e">
        <f t="shared" si="298"/>
        <v>#REF!</v>
      </c>
      <c r="H928" s="7" t="e">
        <f t="shared" si="298"/>
        <v>#REF!</v>
      </c>
      <c r="I928" s="7" t="e">
        <f t="shared" si="298"/>
        <v>#REF!</v>
      </c>
      <c r="J928" s="7" t="e">
        <f t="shared" si="298"/>
        <v>#REF!</v>
      </c>
      <c r="K928" s="7">
        <f t="shared" si="298"/>
        <v>0</v>
      </c>
    </row>
    <row r="929" spans="1:11" ht="31.5" hidden="1">
      <c r="A929" s="31" t="s">
        <v>198</v>
      </c>
      <c r="B929" s="42" t="s">
        <v>285</v>
      </c>
      <c r="C929" s="42" t="s">
        <v>256</v>
      </c>
      <c r="D929" s="42" t="s">
        <v>411</v>
      </c>
      <c r="E929" s="42"/>
      <c r="F929" s="7" t="e">
        <f aca="true" t="shared" si="299" ref="F929:K929">F932+F930</f>
        <v>#REF!</v>
      </c>
      <c r="G929" s="7" t="e">
        <f t="shared" si="299"/>
        <v>#REF!</v>
      </c>
      <c r="H929" s="7" t="e">
        <f t="shared" si="299"/>
        <v>#REF!</v>
      </c>
      <c r="I929" s="7" t="e">
        <f t="shared" si="299"/>
        <v>#REF!</v>
      </c>
      <c r="J929" s="7" t="e">
        <f t="shared" si="299"/>
        <v>#REF!</v>
      </c>
      <c r="K929" s="7">
        <f t="shared" si="299"/>
        <v>0</v>
      </c>
    </row>
    <row r="930" spans="1:11" ht="31.5" customHeight="1" hidden="1">
      <c r="A930" s="31" t="s">
        <v>172</v>
      </c>
      <c r="B930" s="42" t="s">
        <v>285</v>
      </c>
      <c r="C930" s="42" t="s">
        <v>256</v>
      </c>
      <c r="D930" s="42" t="s">
        <v>411</v>
      </c>
      <c r="E930" s="42" t="s">
        <v>173</v>
      </c>
      <c r="F930" s="7">
        <f aca="true" t="shared" si="300" ref="F930:K930">F931</f>
        <v>0</v>
      </c>
      <c r="G930" s="7">
        <f t="shared" si="300"/>
        <v>0</v>
      </c>
      <c r="H930" s="7">
        <f t="shared" si="300"/>
        <v>0</v>
      </c>
      <c r="I930" s="7">
        <f t="shared" si="300"/>
        <v>0</v>
      </c>
      <c r="J930" s="7">
        <f t="shared" si="300"/>
        <v>0</v>
      </c>
      <c r="K930" s="7">
        <f t="shared" si="300"/>
        <v>0</v>
      </c>
    </row>
    <row r="931" spans="1:11" ht="47.25" customHeight="1" hidden="1">
      <c r="A931" s="31" t="s">
        <v>174</v>
      </c>
      <c r="B931" s="42" t="s">
        <v>285</v>
      </c>
      <c r="C931" s="42" t="s">
        <v>256</v>
      </c>
      <c r="D931" s="42" t="s">
        <v>411</v>
      </c>
      <c r="E931" s="42" t="s">
        <v>175</v>
      </c>
      <c r="F931" s="7"/>
      <c r="G931" s="7"/>
      <c r="H931" s="7"/>
      <c r="I931" s="7"/>
      <c r="J931" s="7"/>
      <c r="K931" s="7"/>
    </row>
    <row r="932" spans="1:11" ht="47.25" hidden="1">
      <c r="A932" s="26" t="s">
        <v>313</v>
      </c>
      <c r="B932" s="42" t="s">
        <v>285</v>
      </c>
      <c r="C932" s="42" t="s">
        <v>256</v>
      </c>
      <c r="D932" s="42" t="s">
        <v>411</v>
      </c>
      <c r="E932" s="42" t="s">
        <v>314</v>
      </c>
      <c r="F932" s="7" t="e">
        <f aca="true" t="shared" si="301" ref="F932:K932">F933</f>
        <v>#REF!</v>
      </c>
      <c r="G932" s="7" t="e">
        <f t="shared" si="301"/>
        <v>#REF!</v>
      </c>
      <c r="H932" s="7" t="e">
        <f t="shared" si="301"/>
        <v>#REF!</v>
      </c>
      <c r="I932" s="7" t="e">
        <f t="shared" si="301"/>
        <v>#REF!</v>
      </c>
      <c r="J932" s="7" t="e">
        <f t="shared" si="301"/>
        <v>#REF!</v>
      </c>
      <c r="K932" s="7">
        <f t="shared" si="301"/>
        <v>0</v>
      </c>
    </row>
    <row r="933" spans="1:11" ht="49.5" customHeight="1" hidden="1">
      <c r="A933" s="41" t="s">
        <v>412</v>
      </c>
      <c r="B933" s="42" t="s">
        <v>285</v>
      </c>
      <c r="C933" s="42" t="s">
        <v>256</v>
      </c>
      <c r="D933" s="42" t="s">
        <v>411</v>
      </c>
      <c r="E933" s="42" t="s">
        <v>413</v>
      </c>
      <c r="F933" s="7" t="e">
        <f>#REF!</f>
        <v>#REF!</v>
      </c>
      <c r="G933" s="7" t="e">
        <f>#REF!</f>
        <v>#REF!</v>
      </c>
      <c r="H933" s="7" t="e">
        <f>#REF!</f>
        <v>#REF!</v>
      </c>
      <c r="I933" s="7" t="e">
        <f>#REF!</f>
        <v>#REF!</v>
      </c>
      <c r="J933" s="7" t="e">
        <f>#REF!</f>
        <v>#REF!</v>
      </c>
      <c r="K933" s="7">
        <f>'Прил.№5 ведомств.'!G582</f>
        <v>0</v>
      </c>
    </row>
    <row r="934" spans="1:11" ht="110.25" customHeight="1" hidden="1">
      <c r="A934" s="26" t="s">
        <v>414</v>
      </c>
      <c r="B934" s="21" t="s">
        <v>285</v>
      </c>
      <c r="C934" s="21" t="s">
        <v>256</v>
      </c>
      <c r="D934" s="21" t="s">
        <v>415</v>
      </c>
      <c r="E934" s="42"/>
      <c r="F934" s="7">
        <f>F935</f>
        <v>0</v>
      </c>
      <c r="G934" s="7">
        <f aca="true" t="shared" si="302" ref="G934:K935">G935</f>
        <v>0</v>
      </c>
      <c r="H934" s="7">
        <f t="shared" si="302"/>
        <v>0</v>
      </c>
      <c r="I934" s="7">
        <f t="shared" si="302"/>
        <v>0</v>
      </c>
      <c r="J934" s="7">
        <f t="shared" si="302"/>
        <v>0</v>
      </c>
      <c r="K934" s="7">
        <f t="shared" si="302"/>
        <v>0</v>
      </c>
    </row>
    <row r="935" spans="1:11" ht="15.75" customHeight="1" hidden="1">
      <c r="A935" s="26" t="s">
        <v>176</v>
      </c>
      <c r="B935" s="21" t="s">
        <v>285</v>
      </c>
      <c r="C935" s="21" t="s">
        <v>256</v>
      </c>
      <c r="D935" s="21" t="s">
        <v>415</v>
      </c>
      <c r="E935" s="42" t="s">
        <v>186</v>
      </c>
      <c r="F935" s="7">
        <f>F936</f>
        <v>0</v>
      </c>
      <c r="G935" s="7">
        <f t="shared" si="302"/>
        <v>0</v>
      </c>
      <c r="H935" s="7">
        <f t="shared" si="302"/>
        <v>0</v>
      </c>
      <c r="I935" s="7">
        <f t="shared" si="302"/>
        <v>0</v>
      </c>
      <c r="J935" s="7">
        <f t="shared" si="302"/>
        <v>0</v>
      </c>
      <c r="K935" s="7">
        <f t="shared" si="302"/>
        <v>0</v>
      </c>
    </row>
    <row r="936" spans="1:11" ht="47.25" customHeight="1" hidden="1">
      <c r="A936" s="26" t="s">
        <v>225</v>
      </c>
      <c r="B936" s="21" t="s">
        <v>285</v>
      </c>
      <c r="C936" s="21" t="s">
        <v>256</v>
      </c>
      <c r="D936" s="21" t="s">
        <v>415</v>
      </c>
      <c r="E936" s="42" t="s">
        <v>201</v>
      </c>
      <c r="F936" s="7"/>
      <c r="G936" s="7"/>
      <c r="H936" s="7"/>
      <c r="I936" s="7"/>
      <c r="J936" s="7"/>
      <c r="K936" s="7"/>
    </row>
    <row r="937" spans="1:11" ht="47.25" hidden="1">
      <c r="A937" s="26" t="s">
        <v>416</v>
      </c>
      <c r="B937" s="21" t="s">
        <v>285</v>
      </c>
      <c r="C937" s="21" t="s">
        <v>256</v>
      </c>
      <c r="D937" s="21" t="s">
        <v>417</v>
      </c>
      <c r="E937" s="42"/>
      <c r="F937" s="7">
        <f>F938</f>
        <v>10</v>
      </c>
      <c r="G937" s="7">
        <f aca="true" t="shared" si="303" ref="G937:K938">G938</f>
        <v>10</v>
      </c>
      <c r="H937" s="7">
        <f t="shared" si="303"/>
        <v>10</v>
      </c>
      <c r="I937" s="7">
        <f t="shared" si="303"/>
        <v>10</v>
      </c>
      <c r="J937" s="7">
        <f t="shared" si="303"/>
        <v>10</v>
      </c>
      <c r="K937" s="7">
        <f t="shared" si="303"/>
        <v>0</v>
      </c>
    </row>
    <row r="938" spans="1:11" ht="31.5" hidden="1">
      <c r="A938" s="26" t="s">
        <v>289</v>
      </c>
      <c r="B938" s="21" t="s">
        <v>285</v>
      </c>
      <c r="C938" s="21" t="s">
        <v>256</v>
      </c>
      <c r="D938" s="21" t="s">
        <v>417</v>
      </c>
      <c r="E938" s="42" t="s">
        <v>290</v>
      </c>
      <c r="F938" s="7">
        <f>F939</f>
        <v>10</v>
      </c>
      <c r="G938" s="7">
        <f t="shared" si="303"/>
        <v>10</v>
      </c>
      <c r="H938" s="7">
        <f t="shared" si="303"/>
        <v>10</v>
      </c>
      <c r="I938" s="7">
        <f t="shared" si="303"/>
        <v>10</v>
      </c>
      <c r="J938" s="7">
        <f t="shared" si="303"/>
        <v>10</v>
      </c>
      <c r="K938" s="7">
        <f t="shared" si="303"/>
        <v>0</v>
      </c>
    </row>
    <row r="939" spans="1:11" ht="31.5" hidden="1">
      <c r="A939" s="26" t="s">
        <v>291</v>
      </c>
      <c r="B939" s="21" t="s">
        <v>285</v>
      </c>
      <c r="C939" s="21" t="s">
        <v>256</v>
      </c>
      <c r="D939" s="21" t="s">
        <v>417</v>
      </c>
      <c r="E939" s="42" t="s">
        <v>292</v>
      </c>
      <c r="F939" s="7">
        <v>10</v>
      </c>
      <c r="G939" s="7">
        <v>10</v>
      </c>
      <c r="H939" s="7">
        <v>10</v>
      </c>
      <c r="I939" s="7">
        <v>10</v>
      </c>
      <c r="J939" s="7">
        <v>10</v>
      </c>
      <c r="K939" s="7"/>
    </row>
    <row r="940" spans="1:11" ht="31.5" customHeight="1" hidden="1">
      <c r="A940" s="31" t="s">
        <v>418</v>
      </c>
      <c r="B940" s="42" t="s">
        <v>285</v>
      </c>
      <c r="C940" s="42" t="s">
        <v>256</v>
      </c>
      <c r="D940" s="21" t="s">
        <v>419</v>
      </c>
      <c r="E940" s="42"/>
      <c r="F940" s="7">
        <f>F941</f>
        <v>0</v>
      </c>
      <c r="G940" s="7">
        <f aca="true" t="shared" si="304" ref="G940:K941">G941</f>
        <v>0</v>
      </c>
      <c r="H940" s="7">
        <f t="shared" si="304"/>
        <v>0</v>
      </c>
      <c r="I940" s="7">
        <f t="shared" si="304"/>
        <v>0</v>
      </c>
      <c r="J940" s="7">
        <f t="shared" si="304"/>
        <v>0</v>
      </c>
      <c r="K940" s="7">
        <f t="shared" si="304"/>
        <v>0</v>
      </c>
    </row>
    <row r="941" spans="1:11" ht="31.5" customHeight="1" hidden="1">
      <c r="A941" s="31" t="s">
        <v>172</v>
      </c>
      <c r="B941" s="42" t="s">
        <v>285</v>
      </c>
      <c r="C941" s="42" t="s">
        <v>256</v>
      </c>
      <c r="D941" s="21" t="s">
        <v>419</v>
      </c>
      <c r="E941" s="42" t="s">
        <v>173</v>
      </c>
      <c r="F941" s="7">
        <f>F942</f>
        <v>0</v>
      </c>
      <c r="G941" s="7">
        <f t="shared" si="304"/>
        <v>0</v>
      </c>
      <c r="H941" s="7">
        <f t="shared" si="304"/>
        <v>0</v>
      </c>
      <c r="I941" s="7">
        <f t="shared" si="304"/>
        <v>0</v>
      </c>
      <c r="J941" s="7">
        <f t="shared" si="304"/>
        <v>0</v>
      </c>
      <c r="K941" s="7">
        <f t="shared" si="304"/>
        <v>0</v>
      </c>
    </row>
    <row r="942" spans="1:11" ht="47.25" customHeight="1" hidden="1">
      <c r="A942" s="31" t="s">
        <v>174</v>
      </c>
      <c r="B942" s="42" t="s">
        <v>285</v>
      </c>
      <c r="C942" s="42" t="s">
        <v>256</v>
      </c>
      <c r="D942" s="21" t="s">
        <v>419</v>
      </c>
      <c r="E942" s="42" t="s">
        <v>175</v>
      </c>
      <c r="F942" s="7">
        <f aca="true" t="shared" si="305" ref="F942:K942">4.5-4.5</f>
        <v>0</v>
      </c>
      <c r="G942" s="7">
        <f t="shared" si="305"/>
        <v>0</v>
      </c>
      <c r="H942" s="7">
        <f t="shared" si="305"/>
        <v>0</v>
      </c>
      <c r="I942" s="7">
        <f t="shared" si="305"/>
        <v>0</v>
      </c>
      <c r="J942" s="7">
        <f t="shared" si="305"/>
        <v>0</v>
      </c>
      <c r="K942" s="7">
        <f t="shared" si="305"/>
        <v>0</v>
      </c>
    </row>
    <row r="943" spans="1:11" ht="94.5" hidden="1">
      <c r="A943" s="31" t="s">
        <v>421</v>
      </c>
      <c r="B943" s="42" t="s">
        <v>285</v>
      </c>
      <c r="C943" s="42" t="s">
        <v>256</v>
      </c>
      <c r="D943" s="42" t="s">
        <v>422</v>
      </c>
      <c r="E943" s="42"/>
      <c r="F943" s="7" t="e">
        <f>F944</f>
        <v>#REF!</v>
      </c>
      <c r="G943" s="7" t="e">
        <f aca="true" t="shared" si="306" ref="G943:K945">G944</f>
        <v>#REF!</v>
      </c>
      <c r="H943" s="7" t="e">
        <f t="shared" si="306"/>
        <v>#REF!</v>
      </c>
      <c r="I943" s="7" t="e">
        <f t="shared" si="306"/>
        <v>#REF!</v>
      </c>
      <c r="J943" s="7" t="e">
        <f t="shared" si="306"/>
        <v>#REF!</v>
      </c>
      <c r="K943" s="7">
        <f t="shared" si="306"/>
        <v>0</v>
      </c>
    </row>
    <row r="944" spans="1:11" ht="31.5" hidden="1">
      <c r="A944" s="31" t="s">
        <v>198</v>
      </c>
      <c r="B944" s="42" t="s">
        <v>285</v>
      </c>
      <c r="C944" s="42" t="s">
        <v>256</v>
      </c>
      <c r="D944" s="42" t="s">
        <v>423</v>
      </c>
      <c r="E944" s="42"/>
      <c r="F944" s="7" t="e">
        <f>F945</f>
        <v>#REF!</v>
      </c>
      <c r="G944" s="7" t="e">
        <f t="shared" si="306"/>
        <v>#REF!</v>
      </c>
      <c r="H944" s="7" t="e">
        <f t="shared" si="306"/>
        <v>#REF!</v>
      </c>
      <c r="I944" s="7" t="e">
        <f t="shared" si="306"/>
        <v>#REF!</v>
      </c>
      <c r="J944" s="7" t="e">
        <f t="shared" si="306"/>
        <v>#REF!</v>
      </c>
      <c r="K944" s="7">
        <f t="shared" si="306"/>
        <v>0</v>
      </c>
    </row>
    <row r="945" spans="1:11" ht="31.5" hidden="1">
      <c r="A945" s="31" t="s">
        <v>172</v>
      </c>
      <c r="B945" s="42" t="s">
        <v>285</v>
      </c>
      <c r="C945" s="42" t="s">
        <v>256</v>
      </c>
      <c r="D945" s="42" t="s">
        <v>423</v>
      </c>
      <c r="E945" s="42" t="s">
        <v>173</v>
      </c>
      <c r="F945" s="7" t="e">
        <f>F946</f>
        <v>#REF!</v>
      </c>
      <c r="G945" s="7" t="e">
        <f t="shared" si="306"/>
        <v>#REF!</v>
      </c>
      <c r="H945" s="7" t="e">
        <f t="shared" si="306"/>
        <v>#REF!</v>
      </c>
      <c r="I945" s="7" t="e">
        <f t="shared" si="306"/>
        <v>#REF!</v>
      </c>
      <c r="J945" s="7" t="e">
        <f t="shared" si="306"/>
        <v>#REF!</v>
      </c>
      <c r="K945" s="7">
        <f t="shared" si="306"/>
        <v>0</v>
      </c>
    </row>
    <row r="946" spans="1:11" ht="47.25" hidden="1">
      <c r="A946" s="31" t="s">
        <v>174</v>
      </c>
      <c r="B946" s="42" t="s">
        <v>285</v>
      </c>
      <c r="C946" s="42" t="s">
        <v>256</v>
      </c>
      <c r="D946" s="42" t="s">
        <v>423</v>
      </c>
      <c r="E946" s="42" t="s">
        <v>175</v>
      </c>
      <c r="F946" s="7" t="e">
        <f>#REF!</f>
        <v>#REF!</v>
      </c>
      <c r="G946" s="7" t="e">
        <f>#REF!</f>
        <v>#REF!</v>
      </c>
      <c r="H946" s="7" t="e">
        <f>#REF!</f>
        <v>#REF!</v>
      </c>
      <c r="I946" s="7" t="e">
        <f>#REF!</f>
        <v>#REF!</v>
      </c>
      <c r="J946" s="7" t="e">
        <f>#REF!</f>
        <v>#REF!</v>
      </c>
      <c r="K946" s="7">
        <f>'Прил.№5 ведомств.'!G600</f>
        <v>0</v>
      </c>
    </row>
    <row r="947" spans="1:11" ht="78.75">
      <c r="A947" s="26" t="s">
        <v>294</v>
      </c>
      <c r="B947" s="42" t="s">
        <v>285</v>
      </c>
      <c r="C947" s="42" t="s">
        <v>256</v>
      </c>
      <c r="D947" s="21" t="s">
        <v>295</v>
      </c>
      <c r="E947" s="21"/>
      <c r="F947" s="7" t="e">
        <f>F948</f>
        <v>#REF!</v>
      </c>
      <c r="G947" s="7" t="e">
        <f aca="true" t="shared" si="307" ref="G947:K949">G948</f>
        <v>#REF!</v>
      </c>
      <c r="H947" s="7">
        <f t="shared" si="307"/>
        <v>10</v>
      </c>
      <c r="I947" s="7">
        <f t="shared" si="307"/>
        <v>10</v>
      </c>
      <c r="J947" s="7">
        <f t="shared" si="307"/>
        <v>10</v>
      </c>
      <c r="K947" s="7">
        <f t="shared" si="307"/>
        <v>10</v>
      </c>
    </row>
    <row r="948" spans="1:11" ht="31.5">
      <c r="A948" s="26" t="s">
        <v>198</v>
      </c>
      <c r="B948" s="42" t="s">
        <v>285</v>
      </c>
      <c r="C948" s="42" t="s">
        <v>256</v>
      </c>
      <c r="D948" s="21" t="s">
        <v>296</v>
      </c>
      <c r="E948" s="21"/>
      <c r="F948" s="7" t="e">
        <f>F949</f>
        <v>#REF!</v>
      </c>
      <c r="G948" s="7" t="e">
        <f t="shared" si="307"/>
        <v>#REF!</v>
      </c>
      <c r="H948" s="7">
        <f t="shared" si="307"/>
        <v>10</v>
      </c>
      <c r="I948" s="7">
        <f t="shared" si="307"/>
        <v>10</v>
      </c>
      <c r="J948" s="7">
        <f t="shared" si="307"/>
        <v>10</v>
      </c>
      <c r="K948" s="7">
        <f t="shared" si="307"/>
        <v>10</v>
      </c>
    </row>
    <row r="949" spans="1:11" ht="31.5">
      <c r="A949" s="26" t="s">
        <v>289</v>
      </c>
      <c r="B949" s="42" t="s">
        <v>285</v>
      </c>
      <c r="C949" s="42" t="s">
        <v>256</v>
      </c>
      <c r="D949" s="21" t="s">
        <v>296</v>
      </c>
      <c r="E949" s="21" t="s">
        <v>290</v>
      </c>
      <c r="F949" s="7" t="e">
        <f>F950</f>
        <v>#REF!</v>
      </c>
      <c r="G949" s="7" t="e">
        <f t="shared" si="307"/>
        <v>#REF!</v>
      </c>
      <c r="H949" s="7">
        <f t="shared" si="307"/>
        <v>10</v>
      </c>
      <c r="I949" s="7">
        <f t="shared" si="307"/>
        <v>10</v>
      </c>
      <c r="J949" s="7">
        <f t="shared" si="307"/>
        <v>10</v>
      </c>
      <c r="K949" s="7">
        <f t="shared" si="307"/>
        <v>10</v>
      </c>
    </row>
    <row r="950" spans="1:11" ht="31.5">
      <c r="A950" s="26" t="s">
        <v>291</v>
      </c>
      <c r="B950" s="42" t="s">
        <v>285</v>
      </c>
      <c r="C950" s="42" t="s">
        <v>256</v>
      </c>
      <c r="D950" s="21" t="s">
        <v>296</v>
      </c>
      <c r="E950" s="21" t="s">
        <v>292</v>
      </c>
      <c r="F950" s="7" t="e">
        <f>#REF!</f>
        <v>#REF!</v>
      </c>
      <c r="G950" s="7" t="e">
        <f>#REF!</f>
        <v>#REF!</v>
      </c>
      <c r="H950" s="7">
        <v>10</v>
      </c>
      <c r="I950" s="7">
        <v>10</v>
      </c>
      <c r="J950" s="7">
        <v>10</v>
      </c>
      <c r="K950" s="7">
        <v>10</v>
      </c>
    </row>
    <row r="951" spans="1:11" ht="15.75" hidden="1">
      <c r="A951" s="31" t="s">
        <v>162</v>
      </c>
      <c r="B951" s="42" t="s">
        <v>285</v>
      </c>
      <c r="C951" s="42" t="s">
        <v>256</v>
      </c>
      <c r="D951" s="42" t="s">
        <v>163</v>
      </c>
      <c r="E951" s="42"/>
      <c r="F951" s="7" t="e">
        <f aca="true" t="shared" si="308" ref="F951:K951">F967+F952</f>
        <v>#REF!</v>
      </c>
      <c r="G951" s="7" t="e">
        <f t="shared" si="308"/>
        <v>#REF!</v>
      </c>
      <c r="H951" s="7" t="e">
        <f t="shared" si="308"/>
        <v>#REF!</v>
      </c>
      <c r="I951" s="7" t="e">
        <f t="shared" si="308"/>
        <v>#REF!</v>
      </c>
      <c r="J951" s="7" t="e">
        <f t="shared" si="308"/>
        <v>#REF!</v>
      </c>
      <c r="K951" s="7">
        <f t="shared" si="308"/>
        <v>0</v>
      </c>
    </row>
    <row r="952" spans="1:11" ht="31.5" hidden="1">
      <c r="A952" s="31" t="s">
        <v>226</v>
      </c>
      <c r="B952" s="42" t="s">
        <v>285</v>
      </c>
      <c r="C952" s="42" t="s">
        <v>256</v>
      </c>
      <c r="D952" s="42" t="s">
        <v>227</v>
      </c>
      <c r="E952" s="42"/>
      <c r="F952" s="7" t="e">
        <f aca="true" t="shared" si="309" ref="F952:K952">F956+F959+F953+F976</f>
        <v>#REF!</v>
      </c>
      <c r="G952" s="7" t="e">
        <f t="shared" si="309"/>
        <v>#REF!</v>
      </c>
      <c r="H952" s="7" t="e">
        <f t="shared" si="309"/>
        <v>#REF!</v>
      </c>
      <c r="I952" s="7" t="e">
        <f t="shared" si="309"/>
        <v>#REF!</v>
      </c>
      <c r="J952" s="7" t="e">
        <f t="shared" si="309"/>
        <v>#REF!</v>
      </c>
      <c r="K952" s="7">
        <f t="shared" si="309"/>
        <v>0</v>
      </c>
    </row>
    <row r="953" spans="1:11" ht="34.5" customHeight="1" hidden="1">
      <c r="A953" s="26" t="s">
        <v>953</v>
      </c>
      <c r="B953" s="42" t="s">
        <v>285</v>
      </c>
      <c r="C953" s="42" t="s">
        <v>256</v>
      </c>
      <c r="D953" s="42" t="s">
        <v>952</v>
      </c>
      <c r="E953" s="42"/>
      <c r="F953" s="7" t="e">
        <f>F954</f>
        <v>#REF!</v>
      </c>
      <c r="G953" s="7" t="e">
        <f aca="true" t="shared" si="310" ref="G953:K954">G954</f>
        <v>#REF!</v>
      </c>
      <c r="H953" s="7" t="e">
        <f t="shared" si="310"/>
        <v>#REF!</v>
      </c>
      <c r="I953" s="7" t="e">
        <f t="shared" si="310"/>
        <v>#REF!</v>
      </c>
      <c r="J953" s="7" t="e">
        <f t="shared" si="310"/>
        <v>#REF!</v>
      </c>
      <c r="K953" s="7">
        <f t="shared" si="310"/>
        <v>0</v>
      </c>
    </row>
    <row r="954" spans="1:11" ht="31.5" hidden="1">
      <c r="A954" s="31" t="s">
        <v>289</v>
      </c>
      <c r="B954" s="42" t="s">
        <v>285</v>
      </c>
      <c r="C954" s="42" t="s">
        <v>256</v>
      </c>
      <c r="D954" s="42" t="s">
        <v>952</v>
      </c>
      <c r="E954" s="42" t="s">
        <v>290</v>
      </c>
      <c r="F954" s="7" t="e">
        <f>F955</f>
        <v>#REF!</v>
      </c>
      <c r="G954" s="7" t="e">
        <f t="shared" si="310"/>
        <v>#REF!</v>
      </c>
      <c r="H954" s="7" t="e">
        <f t="shared" si="310"/>
        <v>#REF!</v>
      </c>
      <c r="I954" s="7" t="e">
        <f t="shared" si="310"/>
        <v>#REF!</v>
      </c>
      <c r="J954" s="7" t="e">
        <f t="shared" si="310"/>
        <v>#REF!</v>
      </c>
      <c r="K954" s="7">
        <f t="shared" si="310"/>
        <v>0</v>
      </c>
    </row>
    <row r="955" spans="1:11" ht="31.5" hidden="1">
      <c r="A955" s="31" t="s">
        <v>291</v>
      </c>
      <c r="B955" s="42" t="s">
        <v>285</v>
      </c>
      <c r="C955" s="42" t="s">
        <v>256</v>
      </c>
      <c r="D955" s="42" t="s">
        <v>952</v>
      </c>
      <c r="E955" s="42" t="s">
        <v>292</v>
      </c>
      <c r="F955" s="7" t="e">
        <f>#REF!</f>
        <v>#REF!</v>
      </c>
      <c r="G955" s="7" t="e">
        <f>#REF!</f>
        <v>#REF!</v>
      </c>
      <c r="H955" s="7" t="e">
        <f>#REF!</f>
        <v>#REF!</v>
      </c>
      <c r="I955" s="7" t="e">
        <f>#REF!</f>
        <v>#REF!</v>
      </c>
      <c r="J955" s="7" t="e">
        <f>#REF!</f>
        <v>#REF!</v>
      </c>
      <c r="K955" s="7">
        <f>'Прил.№5 ведомств.'!G605</f>
        <v>0</v>
      </c>
    </row>
    <row r="956" spans="1:11" ht="47.25" customHeight="1" hidden="1">
      <c r="A956" s="26" t="s">
        <v>297</v>
      </c>
      <c r="B956" s="42" t="s">
        <v>285</v>
      </c>
      <c r="C956" s="42" t="s">
        <v>256</v>
      </c>
      <c r="D956" s="42" t="s">
        <v>298</v>
      </c>
      <c r="E956" s="42"/>
      <c r="F956" s="7" t="e">
        <f>F957</f>
        <v>#REF!</v>
      </c>
      <c r="G956" s="7" t="e">
        <f aca="true" t="shared" si="311" ref="G956:K957">G957</f>
        <v>#REF!</v>
      </c>
      <c r="H956" s="7" t="e">
        <f t="shared" si="311"/>
        <v>#REF!</v>
      </c>
      <c r="I956" s="7" t="e">
        <f t="shared" si="311"/>
        <v>#REF!</v>
      </c>
      <c r="J956" s="7" t="e">
        <f t="shared" si="311"/>
        <v>#REF!</v>
      </c>
      <c r="K956" s="7">
        <f t="shared" si="311"/>
        <v>0</v>
      </c>
    </row>
    <row r="957" spans="1:11" ht="31.5" customHeight="1" hidden="1">
      <c r="A957" s="31" t="s">
        <v>289</v>
      </c>
      <c r="B957" s="42" t="s">
        <v>285</v>
      </c>
      <c r="C957" s="42" t="s">
        <v>256</v>
      </c>
      <c r="D957" s="42" t="s">
        <v>298</v>
      </c>
      <c r="E957" s="42" t="s">
        <v>290</v>
      </c>
      <c r="F957" s="7" t="e">
        <f>F958</f>
        <v>#REF!</v>
      </c>
      <c r="G957" s="7" t="e">
        <f t="shared" si="311"/>
        <v>#REF!</v>
      </c>
      <c r="H957" s="7" t="e">
        <f t="shared" si="311"/>
        <v>#REF!</v>
      </c>
      <c r="I957" s="7" t="e">
        <f t="shared" si="311"/>
        <v>#REF!</v>
      </c>
      <c r="J957" s="7" t="e">
        <f t="shared" si="311"/>
        <v>#REF!</v>
      </c>
      <c r="K957" s="7">
        <f t="shared" si="311"/>
        <v>0</v>
      </c>
    </row>
    <row r="958" spans="1:11" ht="31.5" customHeight="1" hidden="1">
      <c r="A958" s="31" t="s">
        <v>291</v>
      </c>
      <c r="B958" s="42" t="s">
        <v>285</v>
      </c>
      <c r="C958" s="42" t="s">
        <v>256</v>
      </c>
      <c r="D958" s="42" t="s">
        <v>298</v>
      </c>
      <c r="E958" s="42" t="s">
        <v>292</v>
      </c>
      <c r="F958" s="7" t="e">
        <f>#REF!</f>
        <v>#REF!</v>
      </c>
      <c r="G958" s="7" t="e">
        <f>#REF!</f>
        <v>#REF!</v>
      </c>
      <c r="H958" s="7" t="e">
        <f>#REF!</f>
        <v>#REF!</v>
      </c>
      <c r="I958" s="7" t="e">
        <f>#REF!</f>
        <v>#REF!</v>
      </c>
      <c r="J958" s="7" t="e">
        <f>#REF!</f>
        <v>#REF!</v>
      </c>
      <c r="K958" s="7">
        <f>'Прил.№5 ведомств.'!G236</f>
        <v>0</v>
      </c>
    </row>
    <row r="959" spans="1:11" ht="47.25" hidden="1">
      <c r="A959" s="26" t="s">
        <v>416</v>
      </c>
      <c r="B959" s="42" t="s">
        <v>285</v>
      </c>
      <c r="C959" s="42" t="s">
        <v>256</v>
      </c>
      <c r="D959" s="21" t="s">
        <v>426</v>
      </c>
      <c r="E959" s="42"/>
      <c r="F959" s="7" t="e">
        <f>F960</f>
        <v>#REF!</v>
      </c>
      <c r="G959" s="7" t="e">
        <f aca="true" t="shared" si="312" ref="G959:K960">G960</f>
        <v>#REF!</v>
      </c>
      <c r="H959" s="7" t="e">
        <f t="shared" si="312"/>
        <v>#REF!</v>
      </c>
      <c r="I959" s="7" t="e">
        <f t="shared" si="312"/>
        <v>#REF!</v>
      </c>
      <c r="J959" s="7" t="e">
        <f t="shared" si="312"/>
        <v>#REF!</v>
      </c>
      <c r="K959" s="7">
        <f t="shared" si="312"/>
        <v>0</v>
      </c>
    </row>
    <row r="960" spans="1:11" ht="31.5" hidden="1">
      <c r="A960" s="26" t="s">
        <v>289</v>
      </c>
      <c r="B960" s="42" t="s">
        <v>285</v>
      </c>
      <c r="C960" s="42" t="s">
        <v>256</v>
      </c>
      <c r="D960" s="21" t="s">
        <v>426</v>
      </c>
      <c r="E960" s="42" t="s">
        <v>290</v>
      </c>
      <c r="F960" s="7" t="e">
        <f>F961</f>
        <v>#REF!</v>
      </c>
      <c r="G960" s="7" t="e">
        <f t="shared" si="312"/>
        <v>#REF!</v>
      </c>
      <c r="H960" s="7" t="e">
        <f t="shared" si="312"/>
        <v>#REF!</v>
      </c>
      <c r="I960" s="7" t="e">
        <f t="shared" si="312"/>
        <v>#REF!</v>
      </c>
      <c r="J960" s="7" t="e">
        <f t="shared" si="312"/>
        <v>#REF!</v>
      </c>
      <c r="K960" s="7">
        <f t="shared" si="312"/>
        <v>0</v>
      </c>
    </row>
    <row r="961" spans="1:11" ht="31.5" hidden="1">
      <c r="A961" s="26" t="s">
        <v>291</v>
      </c>
      <c r="B961" s="42" t="s">
        <v>285</v>
      </c>
      <c r="C961" s="42" t="s">
        <v>256</v>
      </c>
      <c r="D961" s="21" t="s">
        <v>426</v>
      </c>
      <c r="E961" s="42" t="s">
        <v>292</v>
      </c>
      <c r="F961" s="7" t="e">
        <f>#REF!</f>
        <v>#REF!</v>
      </c>
      <c r="G961" s="7" t="e">
        <f>#REF!</f>
        <v>#REF!</v>
      </c>
      <c r="H961" s="7" t="e">
        <f>#REF!</f>
        <v>#REF!</v>
      </c>
      <c r="I961" s="7" t="e">
        <f>#REF!</f>
        <v>#REF!</v>
      </c>
      <c r="J961" s="7" t="e">
        <f>#REF!</f>
        <v>#REF!</v>
      </c>
      <c r="K961" s="7">
        <f>'Прил.№5 ведомств.'!G608</f>
        <v>0</v>
      </c>
    </row>
    <row r="962" spans="1:11" ht="15.75" customHeight="1" hidden="1">
      <c r="A962" s="26" t="s">
        <v>424</v>
      </c>
      <c r="B962" s="42" t="s">
        <v>285</v>
      </c>
      <c r="C962" s="42" t="s">
        <v>256</v>
      </c>
      <c r="D962" s="42" t="s">
        <v>425</v>
      </c>
      <c r="E962" s="42"/>
      <c r="F962" s="7">
        <f aca="true" t="shared" si="313" ref="F962:K962">F963</f>
        <v>0</v>
      </c>
      <c r="G962" s="7">
        <f t="shared" si="313"/>
        <v>0</v>
      </c>
      <c r="H962" s="7">
        <f t="shared" si="313"/>
        <v>0</v>
      </c>
      <c r="I962" s="7">
        <f t="shared" si="313"/>
        <v>0</v>
      </c>
      <c r="J962" s="7">
        <f t="shared" si="313"/>
        <v>0</v>
      </c>
      <c r="K962" s="7">
        <f t="shared" si="313"/>
        <v>0</v>
      </c>
    </row>
    <row r="963" spans="1:11" ht="31.5" customHeight="1" hidden="1">
      <c r="A963" s="31" t="s">
        <v>289</v>
      </c>
      <c r="B963" s="42" t="s">
        <v>285</v>
      </c>
      <c r="C963" s="42" t="s">
        <v>256</v>
      </c>
      <c r="D963" s="42" t="s">
        <v>425</v>
      </c>
      <c r="E963" s="42" t="s">
        <v>290</v>
      </c>
      <c r="F963" s="7">
        <f aca="true" t="shared" si="314" ref="F963:K963">F964+F966</f>
        <v>0</v>
      </c>
      <c r="G963" s="7">
        <f t="shared" si="314"/>
        <v>0</v>
      </c>
      <c r="H963" s="7">
        <f t="shared" si="314"/>
        <v>0</v>
      </c>
      <c r="I963" s="7">
        <f t="shared" si="314"/>
        <v>0</v>
      </c>
      <c r="J963" s="7">
        <f t="shared" si="314"/>
        <v>0</v>
      </c>
      <c r="K963" s="7">
        <f t="shared" si="314"/>
        <v>0</v>
      </c>
    </row>
    <row r="964" spans="1:11" ht="31.5" customHeight="1" hidden="1">
      <c r="A964" s="31" t="s">
        <v>389</v>
      </c>
      <c r="B964" s="42" t="s">
        <v>285</v>
      </c>
      <c r="C964" s="42" t="s">
        <v>256</v>
      </c>
      <c r="D964" s="42" t="s">
        <v>425</v>
      </c>
      <c r="E964" s="42" t="s">
        <v>390</v>
      </c>
      <c r="F964" s="7"/>
      <c r="G964" s="7"/>
      <c r="H964" s="7"/>
      <c r="I964" s="7"/>
      <c r="J964" s="7"/>
      <c r="K964" s="7"/>
    </row>
    <row r="965" spans="1:11" ht="47.25" customHeight="1" hidden="1">
      <c r="A965" s="31" t="s">
        <v>672</v>
      </c>
      <c r="B965" s="42" t="s">
        <v>285</v>
      </c>
      <c r="C965" s="42" t="s">
        <v>256</v>
      </c>
      <c r="D965" s="42" t="s">
        <v>425</v>
      </c>
      <c r="E965" s="42" t="s">
        <v>673</v>
      </c>
      <c r="F965" s="7"/>
      <c r="G965" s="7"/>
      <c r="H965" s="7"/>
      <c r="I965" s="7"/>
      <c r="J965" s="7"/>
      <c r="K965" s="7"/>
    </row>
    <row r="966" spans="1:11" ht="31.5" customHeight="1" hidden="1">
      <c r="A966" s="31" t="s">
        <v>291</v>
      </c>
      <c r="B966" s="42" t="s">
        <v>285</v>
      </c>
      <c r="C966" s="42" t="s">
        <v>256</v>
      </c>
      <c r="D966" s="42" t="s">
        <v>425</v>
      </c>
      <c r="E966" s="42" t="s">
        <v>292</v>
      </c>
      <c r="F966" s="7"/>
      <c r="G966" s="7"/>
      <c r="H966" s="7"/>
      <c r="I966" s="7"/>
      <c r="J966" s="7"/>
      <c r="K966" s="7"/>
    </row>
    <row r="967" spans="1:11" ht="15.75" customHeight="1" hidden="1">
      <c r="A967" s="31" t="s">
        <v>182</v>
      </c>
      <c r="B967" s="42" t="s">
        <v>285</v>
      </c>
      <c r="C967" s="42" t="s">
        <v>256</v>
      </c>
      <c r="D967" s="42" t="s">
        <v>183</v>
      </c>
      <c r="E967" s="42"/>
      <c r="F967" s="7">
        <f>F968</f>
        <v>0</v>
      </c>
      <c r="G967" s="7">
        <f aca="true" t="shared" si="315" ref="G967:K969">G968</f>
        <v>0</v>
      </c>
      <c r="H967" s="7">
        <f t="shared" si="315"/>
        <v>0</v>
      </c>
      <c r="I967" s="7">
        <f t="shared" si="315"/>
        <v>0</v>
      </c>
      <c r="J967" s="7">
        <f t="shared" si="315"/>
        <v>0</v>
      </c>
      <c r="K967" s="7">
        <f t="shared" si="315"/>
        <v>0</v>
      </c>
    </row>
    <row r="968" spans="1:11" ht="15.75" customHeight="1" hidden="1">
      <c r="A968" s="31" t="s">
        <v>242</v>
      </c>
      <c r="B968" s="42" t="s">
        <v>285</v>
      </c>
      <c r="C968" s="42" t="s">
        <v>256</v>
      </c>
      <c r="D968" s="42" t="s">
        <v>243</v>
      </c>
      <c r="E968" s="42"/>
      <c r="F968" s="7">
        <f>F969</f>
        <v>0</v>
      </c>
      <c r="G968" s="7">
        <f t="shared" si="315"/>
        <v>0</v>
      </c>
      <c r="H968" s="7">
        <f t="shared" si="315"/>
        <v>0</v>
      </c>
      <c r="I968" s="7">
        <f t="shared" si="315"/>
        <v>0</v>
      </c>
      <c r="J968" s="7">
        <f t="shared" si="315"/>
        <v>0</v>
      </c>
      <c r="K968" s="7">
        <f t="shared" si="315"/>
        <v>0</v>
      </c>
    </row>
    <row r="969" spans="1:11" ht="31.5" customHeight="1" hidden="1">
      <c r="A969" s="31" t="s">
        <v>289</v>
      </c>
      <c r="B969" s="42" t="s">
        <v>285</v>
      </c>
      <c r="C969" s="42" t="s">
        <v>256</v>
      </c>
      <c r="D969" s="42" t="s">
        <v>243</v>
      </c>
      <c r="E969" s="42" t="s">
        <v>290</v>
      </c>
      <c r="F969" s="7">
        <f>F970</f>
        <v>0</v>
      </c>
      <c r="G969" s="7">
        <f t="shared" si="315"/>
        <v>0</v>
      </c>
      <c r="H969" s="7">
        <f t="shared" si="315"/>
        <v>0</v>
      </c>
      <c r="I969" s="7">
        <f t="shared" si="315"/>
        <v>0</v>
      </c>
      <c r="J969" s="7">
        <f t="shared" si="315"/>
        <v>0</v>
      </c>
      <c r="K969" s="7">
        <f t="shared" si="315"/>
        <v>0</v>
      </c>
    </row>
    <row r="970" spans="1:11" ht="31.5" customHeight="1" hidden="1">
      <c r="A970" s="31" t="s">
        <v>389</v>
      </c>
      <c r="B970" s="42" t="s">
        <v>285</v>
      </c>
      <c r="C970" s="42" t="s">
        <v>256</v>
      </c>
      <c r="D970" s="42" t="s">
        <v>243</v>
      </c>
      <c r="E970" s="42" t="s">
        <v>390</v>
      </c>
      <c r="F970" s="7"/>
      <c r="G970" s="7"/>
      <c r="H970" s="7"/>
      <c r="I970" s="7"/>
      <c r="J970" s="7"/>
      <c r="K970" s="7"/>
    </row>
    <row r="971" spans="1:11" ht="15.75" customHeight="1" hidden="1">
      <c r="A971" s="43" t="s">
        <v>442</v>
      </c>
      <c r="B971" s="8" t="s">
        <v>285</v>
      </c>
      <c r="C971" s="8" t="s">
        <v>191</v>
      </c>
      <c r="D971" s="8"/>
      <c r="E971" s="8"/>
      <c r="F971" s="4">
        <f>F972</f>
        <v>0</v>
      </c>
      <c r="G971" s="4">
        <f aca="true" t="shared" si="316" ref="G971:K974">G972</f>
        <v>0</v>
      </c>
      <c r="H971" s="4">
        <f t="shared" si="316"/>
        <v>0</v>
      </c>
      <c r="I971" s="4">
        <f t="shared" si="316"/>
        <v>0</v>
      </c>
      <c r="J971" s="4">
        <f t="shared" si="316"/>
        <v>0</v>
      </c>
      <c r="K971" s="4">
        <f t="shared" si="316"/>
        <v>0</v>
      </c>
    </row>
    <row r="972" spans="1:11" ht="31.5" customHeight="1" hidden="1">
      <c r="A972" s="31" t="s">
        <v>226</v>
      </c>
      <c r="B972" s="42" t="s">
        <v>285</v>
      </c>
      <c r="C972" s="42" t="s">
        <v>191</v>
      </c>
      <c r="D972" s="42" t="s">
        <v>227</v>
      </c>
      <c r="E972" s="42"/>
      <c r="F972" s="7">
        <f>F973</f>
        <v>0</v>
      </c>
      <c r="G972" s="7">
        <f t="shared" si="316"/>
        <v>0</v>
      </c>
      <c r="H972" s="7">
        <f t="shared" si="316"/>
        <v>0</v>
      </c>
      <c r="I972" s="7">
        <f t="shared" si="316"/>
        <v>0</v>
      </c>
      <c r="J972" s="7">
        <f t="shared" si="316"/>
        <v>0</v>
      </c>
      <c r="K972" s="7">
        <f t="shared" si="316"/>
        <v>0</v>
      </c>
    </row>
    <row r="973" spans="1:11" ht="31.5" customHeight="1" hidden="1">
      <c r="A973" s="47" t="s">
        <v>443</v>
      </c>
      <c r="B973" s="42" t="s">
        <v>285</v>
      </c>
      <c r="C973" s="42" t="s">
        <v>191</v>
      </c>
      <c r="D973" s="21" t="s">
        <v>444</v>
      </c>
      <c r="E973" s="42"/>
      <c r="F973" s="7">
        <f>F974</f>
        <v>0</v>
      </c>
      <c r="G973" s="7">
        <f t="shared" si="316"/>
        <v>0</v>
      </c>
      <c r="H973" s="7">
        <f t="shared" si="316"/>
        <v>0</v>
      </c>
      <c r="I973" s="7">
        <f t="shared" si="316"/>
        <v>0</v>
      </c>
      <c r="J973" s="7">
        <f t="shared" si="316"/>
        <v>0</v>
      </c>
      <c r="K973" s="7">
        <f t="shared" si="316"/>
        <v>0</v>
      </c>
    </row>
    <row r="974" spans="1:11" ht="31.5" customHeight="1" hidden="1">
      <c r="A974" s="31" t="s">
        <v>172</v>
      </c>
      <c r="B974" s="42" t="s">
        <v>285</v>
      </c>
      <c r="C974" s="42" t="s">
        <v>191</v>
      </c>
      <c r="D974" s="21" t="s">
        <v>444</v>
      </c>
      <c r="E974" s="42" t="s">
        <v>173</v>
      </c>
      <c r="F974" s="7">
        <f>F975</f>
        <v>0</v>
      </c>
      <c r="G974" s="7">
        <f t="shared" si="316"/>
        <v>0</v>
      </c>
      <c r="H974" s="7">
        <f t="shared" si="316"/>
        <v>0</v>
      </c>
      <c r="I974" s="7">
        <f t="shared" si="316"/>
        <v>0</v>
      </c>
      <c r="J974" s="7">
        <f t="shared" si="316"/>
        <v>0</v>
      </c>
      <c r="K974" s="7">
        <f t="shared" si="316"/>
        <v>0</v>
      </c>
    </row>
    <row r="975" spans="1:11" ht="47.25" customHeight="1" hidden="1">
      <c r="A975" s="31" t="s">
        <v>174</v>
      </c>
      <c r="B975" s="42" t="s">
        <v>285</v>
      </c>
      <c r="C975" s="42" t="s">
        <v>191</v>
      </c>
      <c r="D975" s="21" t="s">
        <v>444</v>
      </c>
      <c r="E975" s="42" t="s">
        <v>175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f>'Прил.№5 ведомств.'!G669</f>
        <v>0</v>
      </c>
    </row>
    <row r="976" spans="1:11" ht="63" hidden="1">
      <c r="A976" s="26" t="s">
        <v>427</v>
      </c>
      <c r="B976" s="21" t="s">
        <v>285</v>
      </c>
      <c r="C976" s="21" t="s">
        <v>256</v>
      </c>
      <c r="D976" s="21" t="s">
        <v>428</v>
      </c>
      <c r="E976" s="21"/>
      <c r="F976" s="7" t="e">
        <f>F977</f>
        <v>#REF!</v>
      </c>
      <c r="G976" s="7" t="e">
        <f aca="true" t="shared" si="317" ref="G976:K977">G977</f>
        <v>#REF!</v>
      </c>
      <c r="H976" s="7" t="e">
        <f t="shared" si="317"/>
        <v>#REF!</v>
      </c>
      <c r="I976" s="7" t="e">
        <f t="shared" si="317"/>
        <v>#REF!</v>
      </c>
      <c r="J976" s="7" t="e">
        <f t="shared" si="317"/>
        <v>#REF!</v>
      </c>
      <c r="K976" s="7">
        <f t="shared" si="317"/>
        <v>0</v>
      </c>
    </row>
    <row r="977" spans="1:11" ht="31.5" hidden="1">
      <c r="A977" s="26" t="s">
        <v>289</v>
      </c>
      <c r="B977" s="21" t="s">
        <v>285</v>
      </c>
      <c r="C977" s="21" t="s">
        <v>256</v>
      </c>
      <c r="D977" s="21" t="s">
        <v>428</v>
      </c>
      <c r="E977" s="21" t="s">
        <v>290</v>
      </c>
      <c r="F977" s="7" t="e">
        <f>F978</f>
        <v>#REF!</v>
      </c>
      <c r="G977" s="7" t="e">
        <f t="shared" si="317"/>
        <v>#REF!</v>
      </c>
      <c r="H977" s="7" t="e">
        <f t="shared" si="317"/>
        <v>#REF!</v>
      </c>
      <c r="I977" s="7" t="e">
        <f t="shared" si="317"/>
        <v>#REF!</v>
      </c>
      <c r="J977" s="7" t="e">
        <f t="shared" si="317"/>
        <v>#REF!</v>
      </c>
      <c r="K977" s="7">
        <f t="shared" si="317"/>
        <v>0</v>
      </c>
    </row>
    <row r="978" spans="1:11" ht="31.5" hidden="1">
      <c r="A978" s="26" t="s">
        <v>389</v>
      </c>
      <c r="B978" s="21" t="s">
        <v>285</v>
      </c>
      <c r="C978" s="21" t="s">
        <v>256</v>
      </c>
      <c r="D978" s="21" t="s">
        <v>428</v>
      </c>
      <c r="E978" s="21" t="s">
        <v>390</v>
      </c>
      <c r="F978" s="7" t="e">
        <f>#REF!</f>
        <v>#REF!</v>
      </c>
      <c r="G978" s="7" t="e">
        <f>#REF!</f>
        <v>#REF!</v>
      </c>
      <c r="H978" s="7" t="e">
        <f>#REF!</f>
        <v>#REF!</v>
      </c>
      <c r="I978" s="7" t="e">
        <f>#REF!</f>
        <v>#REF!</v>
      </c>
      <c r="J978" s="7" t="e">
        <f>#REF!</f>
        <v>#REF!</v>
      </c>
      <c r="K978" s="7">
        <f>'Прил.№5 ведомств.'!G611</f>
        <v>0</v>
      </c>
    </row>
    <row r="979" spans="1:11" ht="20.25" customHeight="1">
      <c r="A979" s="43" t="s">
        <v>299</v>
      </c>
      <c r="B979" s="8" t="s">
        <v>285</v>
      </c>
      <c r="C979" s="8" t="s">
        <v>161</v>
      </c>
      <c r="D979" s="8"/>
      <c r="E979" s="8"/>
      <c r="F979" s="4" t="e">
        <f aca="true" t="shared" si="318" ref="F979:K979">F980</f>
        <v>#REF!</v>
      </c>
      <c r="G979" s="4" t="e">
        <f t="shared" si="318"/>
        <v>#REF!</v>
      </c>
      <c r="H979" s="4" t="e">
        <f t="shared" si="318"/>
        <v>#REF!</v>
      </c>
      <c r="I979" s="4" t="e">
        <f t="shared" si="318"/>
        <v>#REF!</v>
      </c>
      <c r="J979" s="4" t="e">
        <f t="shared" si="318"/>
        <v>#REF!</v>
      </c>
      <c r="K979" s="4">
        <f t="shared" si="318"/>
        <v>3351</v>
      </c>
    </row>
    <row r="980" spans="1:11" ht="15.75">
      <c r="A980" s="31" t="s">
        <v>162</v>
      </c>
      <c r="B980" s="42" t="s">
        <v>285</v>
      </c>
      <c r="C980" s="42" t="s">
        <v>161</v>
      </c>
      <c r="D980" s="42" t="s">
        <v>163</v>
      </c>
      <c r="E980" s="42"/>
      <c r="F980" s="7" t="e">
        <f>F981+F987</f>
        <v>#REF!</v>
      </c>
      <c r="G980" s="7" t="e">
        <f>G981+G987</f>
        <v>#REF!</v>
      </c>
      <c r="H980" s="7" t="e">
        <f>H981+H987</f>
        <v>#REF!</v>
      </c>
      <c r="I980" s="7" t="e">
        <f>I981+I987</f>
        <v>#REF!</v>
      </c>
      <c r="J980" s="7" t="e">
        <f>J981+J987</f>
        <v>#REF!</v>
      </c>
      <c r="K980" s="7">
        <f>K981+K987+K991</f>
        <v>3351</v>
      </c>
    </row>
    <row r="981" spans="1:13" ht="31.5">
      <c r="A981" s="31" t="s">
        <v>226</v>
      </c>
      <c r="B981" s="42" t="s">
        <v>285</v>
      </c>
      <c r="C981" s="42" t="s">
        <v>161</v>
      </c>
      <c r="D981" s="42" t="s">
        <v>227</v>
      </c>
      <c r="E981" s="42"/>
      <c r="F981" s="7" t="e">
        <f aca="true" t="shared" si="319" ref="F981:K981">F982</f>
        <v>#REF!</v>
      </c>
      <c r="G981" s="7" t="e">
        <f t="shared" si="319"/>
        <v>#REF!</v>
      </c>
      <c r="H981" s="7" t="e">
        <f t="shared" si="319"/>
        <v>#REF!</v>
      </c>
      <c r="I981" s="7" t="e">
        <f t="shared" si="319"/>
        <v>#REF!</v>
      </c>
      <c r="J981" s="7" t="e">
        <f t="shared" si="319"/>
        <v>#REF!</v>
      </c>
      <c r="K981" s="7">
        <f t="shared" si="319"/>
        <v>3263.9</v>
      </c>
      <c r="L981" s="23"/>
      <c r="M981" s="23"/>
    </row>
    <row r="982" spans="1:11" ht="47.25">
      <c r="A982" s="47" t="s">
        <v>300</v>
      </c>
      <c r="B982" s="42" t="s">
        <v>285</v>
      </c>
      <c r="C982" s="42" t="s">
        <v>161</v>
      </c>
      <c r="D982" s="42" t="s">
        <v>301</v>
      </c>
      <c r="E982" s="42"/>
      <c r="F982" s="7" t="e">
        <f aca="true" t="shared" si="320" ref="F982:K982">F983+F985</f>
        <v>#REF!</v>
      </c>
      <c r="G982" s="7" t="e">
        <f t="shared" si="320"/>
        <v>#REF!</v>
      </c>
      <c r="H982" s="7" t="e">
        <f t="shared" si="320"/>
        <v>#REF!</v>
      </c>
      <c r="I982" s="7" t="e">
        <f t="shared" si="320"/>
        <v>#REF!</v>
      </c>
      <c r="J982" s="7" t="e">
        <f t="shared" si="320"/>
        <v>#REF!</v>
      </c>
      <c r="K982" s="7">
        <f t="shared" si="320"/>
        <v>3263.9</v>
      </c>
    </row>
    <row r="983" spans="1:11" ht="78.75">
      <c r="A983" s="31" t="s">
        <v>168</v>
      </c>
      <c r="B983" s="42" t="s">
        <v>285</v>
      </c>
      <c r="C983" s="42" t="s">
        <v>161</v>
      </c>
      <c r="D983" s="42" t="s">
        <v>301</v>
      </c>
      <c r="E983" s="42" t="s">
        <v>169</v>
      </c>
      <c r="F983" s="7" t="e">
        <f aca="true" t="shared" si="321" ref="F983:K983">F984</f>
        <v>#REF!</v>
      </c>
      <c r="G983" s="7" t="e">
        <f t="shared" si="321"/>
        <v>#REF!</v>
      </c>
      <c r="H983" s="7" t="e">
        <f t="shared" si="321"/>
        <v>#REF!</v>
      </c>
      <c r="I983" s="7" t="e">
        <f t="shared" si="321"/>
        <v>#REF!</v>
      </c>
      <c r="J983" s="7" t="e">
        <f t="shared" si="321"/>
        <v>#REF!</v>
      </c>
      <c r="K983" s="7">
        <f t="shared" si="321"/>
        <v>2995.8</v>
      </c>
    </row>
    <row r="984" spans="1:11" ht="31.5">
      <c r="A984" s="31" t="s">
        <v>170</v>
      </c>
      <c r="B984" s="42" t="s">
        <v>285</v>
      </c>
      <c r="C984" s="42" t="s">
        <v>161</v>
      </c>
      <c r="D984" s="42" t="s">
        <v>301</v>
      </c>
      <c r="E984" s="42" t="s">
        <v>171</v>
      </c>
      <c r="F984" s="7" t="e">
        <f>#REF!</f>
        <v>#REF!</v>
      </c>
      <c r="G984" s="7" t="e">
        <f>#REF!</f>
        <v>#REF!</v>
      </c>
      <c r="H984" s="7" t="e">
        <f>#REF!</f>
        <v>#REF!</v>
      </c>
      <c r="I984" s="7" t="e">
        <f>#REF!</f>
        <v>#REF!</v>
      </c>
      <c r="J984" s="7" t="e">
        <f>#REF!</f>
        <v>#REF!</v>
      </c>
      <c r="K984" s="7">
        <f>'Прил.№5 ведомств.'!G242</f>
        <v>2995.8</v>
      </c>
    </row>
    <row r="985" spans="1:11" ht="31.5">
      <c r="A985" s="31" t="s">
        <v>172</v>
      </c>
      <c r="B985" s="42" t="s">
        <v>285</v>
      </c>
      <c r="C985" s="42" t="s">
        <v>161</v>
      </c>
      <c r="D985" s="42" t="s">
        <v>301</v>
      </c>
      <c r="E985" s="42" t="s">
        <v>173</v>
      </c>
      <c r="F985" s="7" t="e">
        <f aca="true" t="shared" si="322" ref="F985:K985">F986</f>
        <v>#REF!</v>
      </c>
      <c r="G985" s="7" t="e">
        <f t="shared" si="322"/>
        <v>#REF!</v>
      </c>
      <c r="H985" s="7" t="e">
        <f t="shared" si="322"/>
        <v>#REF!</v>
      </c>
      <c r="I985" s="7" t="e">
        <f t="shared" si="322"/>
        <v>#REF!</v>
      </c>
      <c r="J985" s="7" t="e">
        <f t="shared" si="322"/>
        <v>#REF!</v>
      </c>
      <c r="K985" s="7">
        <f t="shared" si="322"/>
        <v>268.09999999999997</v>
      </c>
    </row>
    <row r="986" spans="1:11" ht="47.25">
      <c r="A986" s="31" t="s">
        <v>174</v>
      </c>
      <c r="B986" s="42" t="s">
        <v>285</v>
      </c>
      <c r="C986" s="42" t="s">
        <v>161</v>
      </c>
      <c r="D986" s="42" t="s">
        <v>301</v>
      </c>
      <c r="E986" s="42" t="s">
        <v>175</v>
      </c>
      <c r="F986" s="7" t="e">
        <f>#REF!</f>
        <v>#REF!</v>
      </c>
      <c r="G986" s="7" t="e">
        <f>#REF!</f>
        <v>#REF!</v>
      </c>
      <c r="H986" s="7" t="e">
        <f>#REF!</f>
        <v>#REF!</v>
      </c>
      <c r="I986" s="7" t="e">
        <f>#REF!</f>
        <v>#REF!</v>
      </c>
      <c r="J986" s="7" t="e">
        <f>#REF!</f>
        <v>#REF!</v>
      </c>
      <c r="K986" s="7">
        <f>'Прил.№5 ведомств.'!G244</f>
        <v>268.09999999999997</v>
      </c>
    </row>
    <row r="987" spans="1:11" ht="15.75" hidden="1">
      <c r="A987" s="31" t="s">
        <v>182</v>
      </c>
      <c r="B987" s="42" t="s">
        <v>285</v>
      </c>
      <c r="C987" s="42" t="s">
        <v>161</v>
      </c>
      <c r="D987" s="42" t="s">
        <v>183</v>
      </c>
      <c r="E987" s="42"/>
      <c r="F987" s="7" t="e">
        <f>F988</f>
        <v>#REF!</v>
      </c>
      <c r="G987" s="7" t="e">
        <f aca="true" t="shared" si="323" ref="G987:K989">G988</f>
        <v>#REF!</v>
      </c>
      <c r="H987" s="7" t="e">
        <f t="shared" si="323"/>
        <v>#REF!</v>
      </c>
      <c r="I987" s="7" t="e">
        <f t="shared" si="323"/>
        <v>#REF!</v>
      </c>
      <c r="J987" s="7" t="e">
        <f t="shared" si="323"/>
        <v>#REF!</v>
      </c>
      <c r="K987" s="7">
        <f t="shared" si="323"/>
        <v>0</v>
      </c>
    </row>
    <row r="988" spans="1:11" ht="15.75" hidden="1">
      <c r="A988" s="31" t="s">
        <v>614</v>
      </c>
      <c r="B988" s="42" t="s">
        <v>285</v>
      </c>
      <c r="C988" s="42" t="s">
        <v>161</v>
      </c>
      <c r="D988" s="42" t="s">
        <v>674</v>
      </c>
      <c r="E988" s="42"/>
      <c r="F988" s="7" t="e">
        <f>F989</f>
        <v>#REF!</v>
      </c>
      <c r="G988" s="7" t="e">
        <f t="shared" si="323"/>
        <v>#REF!</v>
      </c>
      <c r="H988" s="7" t="e">
        <f t="shared" si="323"/>
        <v>#REF!</v>
      </c>
      <c r="I988" s="7" t="e">
        <f t="shared" si="323"/>
        <v>#REF!</v>
      </c>
      <c r="J988" s="7" t="e">
        <f t="shared" si="323"/>
        <v>#REF!</v>
      </c>
      <c r="K988" s="7">
        <f t="shared" si="323"/>
        <v>0</v>
      </c>
    </row>
    <row r="989" spans="1:11" ht="15.75" hidden="1">
      <c r="A989" s="31" t="s">
        <v>176</v>
      </c>
      <c r="B989" s="42" t="s">
        <v>285</v>
      </c>
      <c r="C989" s="42" t="s">
        <v>161</v>
      </c>
      <c r="D989" s="42" t="s">
        <v>674</v>
      </c>
      <c r="E989" s="42" t="s">
        <v>186</v>
      </c>
      <c r="F989" s="7" t="e">
        <f>F990</f>
        <v>#REF!</v>
      </c>
      <c r="G989" s="7" t="e">
        <f t="shared" si="323"/>
        <v>#REF!</v>
      </c>
      <c r="H989" s="7" t="e">
        <f t="shared" si="323"/>
        <v>#REF!</v>
      </c>
      <c r="I989" s="7" t="e">
        <f t="shared" si="323"/>
        <v>#REF!</v>
      </c>
      <c r="J989" s="7" t="e">
        <f t="shared" si="323"/>
        <v>#REF!</v>
      </c>
      <c r="K989" s="7">
        <f t="shared" si="323"/>
        <v>0</v>
      </c>
    </row>
    <row r="990" spans="1:11" ht="47.25" hidden="1">
      <c r="A990" s="31" t="s">
        <v>225</v>
      </c>
      <c r="B990" s="42" t="s">
        <v>285</v>
      </c>
      <c r="C990" s="42" t="s">
        <v>161</v>
      </c>
      <c r="D990" s="42" t="s">
        <v>674</v>
      </c>
      <c r="E990" s="42" t="s">
        <v>201</v>
      </c>
      <c r="F990" s="7" t="e">
        <f>#REF!</f>
        <v>#REF!</v>
      </c>
      <c r="G990" s="7" t="e">
        <f>#REF!</f>
        <v>#REF!</v>
      </c>
      <c r="H990" s="7" t="e">
        <f>#REF!</f>
        <v>#REF!</v>
      </c>
      <c r="I990" s="7" t="e">
        <f>#REF!</f>
        <v>#REF!</v>
      </c>
      <c r="J990" s="7" t="e">
        <f>#REF!</f>
        <v>#REF!</v>
      </c>
      <c r="K990" s="7">
        <f>'Прил.№5 ведомств.'!G1257</f>
        <v>0</v>
      </c>
    </row>
    <row r="991" spans="1:11" ht="31.5">
      <c r="A991" s="26" t="s">
        <v>626</v>
      </c>
      <c r="B991" s="42" t="s">
        <v>285</v>
      </c>
      <c r="C991" s="42" t="s">
        <v>161</v>
      </c>
      <c r="D991" s="21" t="s">
        <v>627</v>
      </c>
      <c r="E991" s="42"/>
      <c r="F991" s="7"/>
      <c r="G991" s="7"/>
      <c r="H991" s="7"/>
      <c r="I991" s="7"/>
      <c r="J991" s="7"/>
      <c r="K991" s="7">
        <f>K992</f>
        <v>87.1</v>
      </c>
    </row>
    <row r="992" spans="1:11" ht="15.75">
      <c r="A992" s="31" t="s">
        <v>614</v>
      </c>
      <c r="B992" s="42" t="s">
        <v>285</v>
      </c>
      <c r="C992" s="42" t="s">
        <v>161</v>
      </c>
      <c r="D992" s="21" t="s">
        <v>983</v>
      </c>
      <c r="E992" s="42"/>
      <c r="F992" s="7"/>
      <c r="G992" s="7"/>
      <c r="H992" s="7"/>
      <c r="I992" s="7"/>
      <c r="J992" s="7"/>
      <c r="K992" s="7">
        <f>K993</f>
        <v>87.1</v>
      </c>
    </row>
    <row r="993" spans="1:11" ht="31.5">
      <c r="A993" s="31" t="s">
        <v>172</v>
      </c>
      <c r="B993" s="42" t="s">
        <v>285</v>
      </c>
      <c r="C993" s="42" t="s">
        <v>161</v>
      </c>
      <c r="D993" s="21" t="s">
        <v>983</v>
      </c>
      <c r="E993" s="42" t="s">
        <v>173</v>
      </c>
      <c r="F993" s="7"/>
      <c r="G993" s="7"/>
      <c r="H993" s="7"/>
      <c r="I993" s="7"/>
      <c r="J993" s="7"/>
      <c r="K993" s="7">
        <f>K994</f>
        <v>87.1</v>
      </c>
    </row>
    <row r="994" spans="1:11" ht="47.25">
      <c r="A994" s="31" t="s">
        <v>174</v>
      </c>
      <c r="B994" s="42" t="s">
        <v>285</v>
      </c>
      <c r="C994" s="42" t="s">
        <v>161</v>
      </c>
      <c r="D994" s="21" t="s">
        <v>983</v>
      </c>
      <c r="E994" s="42" t="s">
        <v>175</v>
      </c>
      <c r="F994" s="7"/>
      <c r="G994" s="7"/>
      <c r="H994" s="7"/>
      <c r="I994" s="7"/>
      <c r="J994" s="7"/>
      <c r="K994" s="7">
        <f>'Прил.№5 ведомств.'!G1261</f>
        <v>87.1</v>
      </c>
    </row>
    <row r="995" spans="1:13" ht="15.75">
      <c r="A995" s="43" t="s">
        <v>532</v>
      </c>
      <c r="B995" s="8" t="s">
        <v>533</v>
      </c>
      <c r="C995" s="42"/>
      <c r="D995" s="42"/>
      <c r="E995" s="42"/>
      <c r="F995" s="4" t="e">
        <f aca="true" t="shared" si="324" ref="F995:K995">F996+F1048</f>
        <v>#REF!</v>
      </c>
      <c r="G995" s="4" t="e">
        <f t="shared" si="324"/>
        <v>#REF!</v>
      </c>
      <c r="H995" s="4" t="e">
        <f t="shared" si="324"/>
        <v>#REF!</v>
      </c>
      <c r="I995" s="4" t="e">
        <f t="shared" si="324"/>
        <v>#REF!</v>
      </c>
      <c r="J995" s="4" t="e">
        <f t="shared" si="324"/>
        <v>#REF!</v>
      </c>
      <c r="K995" s="4">
        <f t="shared" si="324"/>
        <v>59348.2</v>
      </c>
      <c r="M995" s="23"/>
    </row>
    <row r="996" spans="1:15" ht="15.75">
      <c r="A996" s="43" t="s">
        <v>534</v>
      </c>
      <c r="B996" s="8" t="s">
        <v>533</v>
      </c>
      <c r="C996" s="8" t="s">
        <v>159</v>
      </c>
      <c r="D996" s="42"/>
      <c r="E996" s="42"/>
      <c r="F996" s="4" t="e">
        <f>F997+F1028</f>
        <v>#REF!</v>
      </c>
      <c r="G996" s="4" t="e">
        <f>G997+G1028</f>
        <v>#REF!</v>
      </c>
      <c r="H996" s="4" t="e">
        <f>H997+H1028</f>
        <v>#REF!</v>
      </c>
      <c r="I996" s="4" t="e">
        <f>I997+I1028</f>
        <v>#REF!</v>
      </c>
      <c r="J996" s="4" t="e">
        <f>J997+J1028</f>
        <v>#REF!</v>
      </c>
      <c r="K996" s="4">
        <f>K997+K1028+K1024+K1033+K1037</f>
        <v>47122.59999999999</v>
      </c>
      <c r="L996" s="23"/>
      <c r="M996" s="23"/>
      <c r="N996" s="23"/>
      <c r="O996" s="23"/>
    </row>
    <row r="997" spans="1:13" ht="47.25">
      <c r="A997" s="31" t="s">
        <v>523</v>
      </c>
      <c r="B997" s="42" t="s">
        <v>533</v>
      </c>
      <c r="C997" s="42" t="s">
        <v>159</v>
      </c>
      <c r="D997" s="42" t="s">
        <v>524</v>
      </c>
      <c r="E997" s="42"/>
      <c r="F997" s="7" t="e">
        <f aca="true" t="shared" si="325" ref="F997:K997">F998</f>
        <v>#REF!</v>
      </c>
      <c r="G997" s="7" t="e">
        <f t="shared" si="325"/>
        <v>#REF!</v>
      </c>
      <c r="H997" s="7" t="e">
        <f t="shared" si="325"/>
        <v>#REF!</v>
      </c>
      <c r="I997" s="7" t="e">
        <f t="shared" si="325"/>
        <v>#REF!</v>
      </c>
      <c r="J997" s="7" t="e">
        <f t="shared" si="325"/>
        <v>#REF!</v>
      </c>
      <c r="K997" s="7">
        <f t="shared" si="325"/>
        <v>45712.299999999996</v>
      </c>
      <c r="M997" s="23"/>
    </row>
    <row r="998" spans="1:13" ht="47.25">
      <c r="A998" s="47" t="s">
        <v>535</v>
      </c>
      <c r="B998" s="42" t="s">
        <v>533</v>
      </c>
      <c r="C998" s="42" t="s">
        <v>675</v>
      </c>
      <c r="D998" s="42" t="s">
        <v>536</v>
      </c>
      <c r="E998" s="42"/>
      <c r="F998" s="7" t="e">
        <f>F1001+F1010+F1013+F1019+F1021</f>
        <v>#REF!</v>
      </c>
      <c r="G998" s="7" t="e">
        <f>G1001+G1010+G1013+G1019+G1021</f>
        <v>#REF!</v>
      </c>
      <c r="H998" s="7" t="e">
        <f>H1001+H1010+H1013+H1019+H1021</f>
        <v>#REF!</v>
      </c>
      <c r="I998" s="7" t="e">
        <f>I1001+I1010+I1013+I1019+I1021</f>
        <v>#REF!</v>
      </c>
      <c r="J998" s="7" t="e">
        <f>J1001+J1010+J1013+J1019+J1021</f>
        <v>#REF!</v>
      </c>
      <c r="K998" s="7">
        <f>K999+K1009+K1012+K1018+K1021+K1015</f>
        <v>45712.299999999996</v>
      </c>
      <c r="M998" s="23"/>
    </row>
    <row r="999" spans="1:11" ht="31.5">
      <c r="A999" s="31" t="s">
        <v>537</v>
      </c>
      <c r="B999" s="42" t="s">
        <v>533</v>
      </c>
      <c r="C999" s="42" t="s">
        <v>159</v>
      </c>
      <c r="D999" s="42" t="s">
        <v>538</v>
      </c>
      <c r="E999" s="42"/>
      <c r="F999" s="7" t="e">
        <f>F1001</f>
        <v>#REF!</v>
      </c>
      <c r="G999" s="7" t="e">
        <f>G1001</f>
        <v>#REF!</v>
      </c>
      <c r="H999" s="7" t="e">
        <f>H1001</f>
        <v>#REF!</v>
      </c>
      <c r="I999" s="7" t="e">
        <f>I1001</f>
        <v>#REF!</v>
      </c>
      <c r="J999" s="7" t="e">
        <f>J1001</f>
        <v>#REF!</v>
      </c>
      <c r="K999" s="7">
        <f>K1000+K1003+K1006</f>
        <v>43327.2</v>
      </c>
    </row>
    <row r="1000" spans="1:11" ht="47.25">
      <c r="A1000" s="26" t="s">
        <v>1015</v>
      </c>
      <c r="B1000" s="42" t="s">
        <v>533</v>
      </c>
      <c r="C1000" s="42" t="s">
        <v>159</v>
      </c>
      <c r="D1000" s="42" t="s">
        <v>1010</v>
      </c>
      <c r="E1000" s="42"/>
      <c r="F1000" s="7"/>
      <c r="G1000" s="7"/>
      <c r="H1000" s="7"/>
      <c r="I1000" s="7"/>
      <c r="J1000" s="7"/>
      <c r="K1000" s="7">
        <f>K1001</f>
        <v>12832.4</v>
      </c>
    </row>
    <row r="1001" spans="1:11" ht="47.25">
      <c r="A1001" s="31" t="s">
        <v>313</v>
      </c>
      <c r="B1001" s="42" t="s">
        <v>533</v>
      </c>
      <c r="C1001" s="42" t="s">
        <v>159</v>
      </c>
      <c r="D1001" s="42" t="s">
        <v>1010</v>
      </c>
      <c r="E1001" s="42" t="s">
        <v>314</v>
      </c>
      <c r="F1001" s="7" t="e">
        <f>F1002</f>
        <v>#REF!</v>
      </c>
      <c r="G1001" s="7" t="e">
        <f>G1002</f>
        <v>#REF!</v>
      </c>
      <c r="H1001" s="7" t="e">
        <f>H1002</f>
        <v>#REF!</v>
      </c>
      <c r="I1001" s="7" t="e">
        <f>I1002</f>
        <v>#REF!</v>
      </c>
      <c r="J1001" s="7" t="e">
        <f>J1002</f>
        <v>#REF!</v>
      </c>
      <c r="K1001" s="7">
        <f>K1002</f>
        <v>12832.4</v>
      </c>
    </row>
    <row r="1002" spans="1:13" ht="15.75">
      <c r="A1002" s="31" t="s">
        <v>315</v>
      </c>
      <c r="B1002" s="42" t="s">
        <v>533</v>
      </c>
      <c r="C1002" s="42" t="s">
        <v>159</v>
      </c>
      <c r="D1002" s="42" t="s">
        <v>1010</v>
      </c>
      <c r="E1002" s="42" t="s">
        <v>316</v>
      </c>
      <c r="F1002" s="7" t="e">
        <f>#REF!</f>
        <v>#REF!</v>
      </c>
      <c r="G1002" s="7" t="e">
        <f>#REF!</f>
        <v>#REF!</v>
      </c>
      <c r="H1002" s="7" t="e">
        <f>#REF!</f>
        <v>#REF!</v>
      </c>
      <c r="I1002" s="7" t="e">
        <f>#REF!</f>
        <v>#REF!</v>
      </c>
      <c r="J1002" s="7" t="e">
        <f>#REF!</f>
        <v>#REF!</v>
      </c>
      <c r="K1002" s="7">
        <f>'Прил.№5 ведомств.'!G951</f>
        <v>12832.4</v>
      </c>
      <c r="M1002" s="23"/>
    </row>
    <row r="1003" spans="1:13" ht="47.25">
      <c r="A1003" s="26" t="s">
        <v>1014</v>
      </c>
      <c r="B1003" s="42" t="s">
        <v>533</v>
      </c>
      <c r="C1003" s="42" t="s">
        <v>159</v>
      </c>
      <c r="D1003" s="42" t="s">
        <v>1011</v>
      </c>
      <c r="E1003" s="42"/>
      <c r="F1003" s="7"/>
      <c r="G1003" s="7"/>
      <c r="H1003" s="7"/>
      <c r="I1003" s="7"/>
      <c r="J1003" s="7"/>
      <c r="K1003" s="7">
        <f>K1004</f>
        <v>12697.800000000001</v>
      </c>
      <c r="M1003" s="23"/>
    </row>
    <row r="1004" spans="1:13" ht="47.25">
      <c r="A1004" s="26" t="s">
        <v>313</v>
      </c>
      <c r="B1004" s="42" t="s">
        <v>533</v>
      </c>
      <c r="C1004" s="42" t="s">
        <v>159</v>
      </c>
      <c r="D1004" s="42" t="s">
        <v>1011</v>
      </c>
      <c r="E1004" s="42" t="s">
        <v>314</v>
      </c>
      <c r="F1004" s="7"/>
      <c r="G1004" s="7"/>
      <c r="H1004" s="7"/>
      <c r="I1004" s="7"/>
      <c r="J1004" s="7"/>
      <c r="K1004" s="7">
        <f>K1005</f>
        <v>12697.800000000001</v>
      </c>
      <c r="M1004" s="23"/>
    </row>
    <row r="1005" spans="1:13" ht="15.75">
      <c r="A1005" s="26" t="s">
        <v>315</v>
      </c>
      <c r="B1005" s="42" t="s">
        <v>533</v>
      </c>
      <c r="C1005" s="42" t="s">
        <v>159</v>
      </c>
      <c r="D1005" s="42" t="s">
        <v>1011</v>
      </c>
      <c r="E1005" s="42" t="s">
        <v>316</v>
      </c>
      <c r="F1005" s="7"/>
      <c r="G1005" s="7"/>
      <c r="H1005" s="7"/>
      <c r="I1005" s="7"/>
      <c r="J1005" s="7"/>
      <c r="K1005" s="7">
        <f>'Прил.№5 ведомств.'!G954</f>
        <v>12697.800000000001</v>
      </c>
      <c r="M1005" s="23"/>
    </row>
    <row r="1006" spans="1:13" ht="47.25">
      <c r="A1006" s="26" t="s">
        <v>1013</v>
      </c>
      <c r="B1006" s="42" t="s">
        <v>533</v>
      </c>
      <c r="C1006" s="42" t="s">
        <v>159</v>
      </c>
      <c r="D1006" s="42" t="s">
        <v>1012</v>
      </c>
      <c r="E1006" s="42"/>
      <c r="F1006" s="7"/>
      <c r="G1006" s="7"/>
      <c r="H1006" s="7"/>
      <c r="I1006" s="7"/>
      <c r="J1006" s="7"/>
      <c r="K1006" s="7">
        <f>K1007</f>
        <v>17797</v>
      </c>
      <c r="M1006" s="23"/>
    </row>
    <row r="1007" spans="1:13" ht="47.25">
      <c r="A1007" s="26" t="s">
        <v>313</v>
      </c>
      <c r="B1007" s="42" t="s">
        <v>533</v>
      </c>
      <c r="C1007" s="42" t="s">
        <v>159</v>
      </c>
      <c r="D1007" s="42" t="s">
        <v>1012</v>
      </c>
      <c r="E1007" s="42" t="s">
        <v>314</v>
      </c>
      <c r="F1007" s="7"/>
      <c r="G1007" s="7"/>
      <c r="H1007" s="7"/>
      <c r="I1007" s="7"/>
      <c r="J1007" s="7"/>
      <c r="K1007" s="7">
        <f>K1008</f>
        <v>17797</v>
      </c>
      <c r="M1007" s="23"/>
    </row>
    <row r="1008" spans="1:13" ht="15.75">
      <c r="A1008" s="26" t="s">
        <v>315</v>
      </c>
      <c r="B1008" s="42" t="s">
        <v>533</v>
      </c>
      <c r="C1008" s="42" t="s">
        <v>159</v>
      </c>
      <c r="D1008" s="42" t="s">
        <v>1012</v>
      </c>
      <c r="E1008" s="42" t="s">
        <v>316</v>
      </c>
      <c r="F1008" s="7"/>
      <c r="G1008" s="7"/>
      <c r="H1008" s="7"/>
      <c r="I1008" s="7"/>
      <c r="J1008" s="7"/>
      <c r="K1008" s="7">
        <f>'Прил.№5 ведомств.'!G957</f>
        <v>17797</v>
      </c>
      <c r="M1008" s="23"/>
    </row>
    <row r="1009" spans="1:11" ht="31.5">
      <c r="A1009" s="31" t="s">
        <v>319</v>
      </c>
      <c r="B1009" s="42" t="s">
        <v>533</v>
      </c>
      <c r="C1009" s="42" t="s">
        <v>159</v>
      </c>
      <c r="D1009" s="42" t="s">
        <v>539</v>
      </c>
      <c r="E1009" s="42"/>
      <c r="F1009" s="7" t="e">
        <f>F1010</f>
        <v>#REF!</v>
      </c>
      <c r="G1009" s="7" t="e">
        <f aca="true" t="shared" si="326" ref="G1009:K1010">G1010</f>
        <v>#REF!</v>
      </c>
      <c r="H1009" s="7" t="e">
        <f t="shared" si="326"/>
        <v>#REF!</v>
      </c>
      <c r="I1009" s="7" t="e">
        <f t="shared" si="326"/>
        <v>#REF!</v>
      </c>
      <c r="J1009" s="7" t="e">
        <f t="shared" si="326"/>
        <v>#REF!</v>
      </c>
      <c r="K1009" s="7">
        <f t="shared" si="326"/>
        <v>916.7</v>
      </c>
    </row>
    <row r="1010" spans="1:11" ht="47.25">
      <c r="A1010" s="31" t="s">
        <v>313</v>
      </c>
      <c r="B1010" s="42" t="s">
        <v>533</v>
      </c>
      <c r="C1010" s="42" t="s">
        <v>159</v>
      </c>
      <c r="D1010" s="42" t="s">
        <v>539</v>
      </c>
      <c r="E1010" s="42" t="s">
        <v>314</v>
      </c>
      <c r="F1010" s="7" t="e">
        <f>F1011</f>
        <v>#REF!</v>
      </c>
      <c r="G1010" s="7" t="e">
        <f t="shared" si="326"/>
        <v>#REF!</v>
      </c>
      <c r="H1010" s="7" t="e">
        <f t="shared" si="326"/>
        <v>#REF!</v>
      </c>
      <c r="I1010" s="7" t="e">
        <f t="shared" si="326"/>
        <v>#REF!</v>
      </c>
      <c r="J1010" s="7" t="e">
        <f t="shared" si="326"/>
        <v>#REF!</v>
      </c>
      <c r="K1010" s="7">
        <f t="shared" si="326"/>
        <v>916.7</v>
      </c>
    </row>
    <row r="1011" spans="1:11" ht="15.75">
      <c r="A1011" s="31" t="s">
        <v>315</v>
      </c>
      <c r="B1011" s="42" t="s">
        <v>533</v>
      </c>
      <c r="C1011" s="42" t="s">
        <v>159</v>
      </c>
      <c r="D1011" s="42" t="s">
        <v>539</v>
      </c>
      <c r="E1011" s="42" t="s">
        <v>316</v>
      </c>
      <c r="F1011" s="7" t="e">
        <f>#REF!</f>
        <v>#REF!</v>
      </c>
      <c r="G1011" s="7" t="e">
        <f>#REF!</f>
        <v>#REF!</v>
      </c>
      <c r="H1011" s="7" t="e">
        <f>#REF!</f>
        <v>#REF!</v>
      </c>
      <c r="I1011" s="7" t="e">
        <f>#REF!</f>
        <v>#REF!</v>
      </c>
      <c r="J1011" s="7" t="e">
        <f>#REF!</f>
        <v>#REF!</v>
      </c>
      <c r="K1011" s="7">
        <f>'Прил.№5 ведомств.'!G960</f>
        <v>916.7</v>
      </c>
    </row>
    <row r="1012" spans="1:11" ht="31.5" customHeight="1">
      <c r="A1012" s="31" t="s">
        <v>321</v>
      </c>
      <c r="B1012" s="42" t="s">
        <v>533</v>
      </c>
      <c r="C1012" s="42" t="s">
        <v>159</v>
      </c>
      <c r="D1012" s="42" t="s">
        <v>540</v>
      </c>
      <c r="E1012" s="42"/>
      <c r="F1012" s="7" t="e">
        <f>F1013</f>
        <v>#REF!</v>
      </c>
      <c r="G1012" s="7" t="e">
        <f aca="true" t="shared" si="327" ref="G1012:K1013">G1013</f>
        <v>#REF!</v>
      </c>
      <c r="H1012" s="7" t="e">
        <f t="shared" si="327"/>
        <v>#REF!</v>
      </c>
      <c r="I1012" s="7" t="e">
        <f t="shared" si="327"/>
        <v>#REF!</v>
      </c>
      <c r="J1012" s="7" t="e">
        <f t="shared" si="327"/>
        <v>#REF!</v>
      </c>
      <c r="K1012" s="7">
        <f t="shared" si="327"/>
        <v>185.4</v>
      </c>
    </row>
    <row r="1013" spans="1:11" ht="47.25" customHeight="1">
      <c r="A1013" s="31" t="s">
        <v>313</v>
      </c>
      <c r="B1013" s="42" t="s">
        <v>533</v>
      </c>
      <c r="C1013" s="42" t="s">
        <v>159</v>
      </c>
      <c r="D1013" s="42" t="s">
        <v>540</v>
      </c>
      <c r="E1013" s="42" t="s">
        <v>314</v>
      </c>
      <c r="F1013" s="7" t="e">
        <f>F1014</f>
        <v>#REF!</v>
      </c>
      <c r="G1013" s="7" t="e">
        <f t="shared" si="327"/>
        <v>#REF!</v>
      </c>
      <c r="H1013" s="7" t="e">
        <f t="shared" si="327"/>
        <v>#REF!</v>
      </c>
      <c r="I1013" s="7" t="e">
        <f t="shared" si="327"/>
        <v>#REF!</v>
      </c>
      <c r="J1013" s="7" t="e">
        <f t="shared" si="327"/>
        <v>#REF!</v>
      </c>
      <c r="K1013" s="7">
        <f t="shared" si="327"/>
        <v>185.4</v>
      </c>
    </row>
    <row r="1014" spans="1:11" ht="15.75" customHeight="1">
      <c r="A1014" s="31" t="s">
        <v>315</v>
      </c>
      <c r="B1014" s="42" t="s">
        <v>533</v>
      </c>
      <c r="C1014" s="42" t="s">
        <v>159</v>
      </c>
      <c r="D1014" s="42" t="s">
        <v>540</v>
      </c>
      <c r="E1014" s="42" t="s">
        <v>316</v>
      </c>
      <c r="F1014" s="7" t="e">
        <f>#REF!</f>
        <v>#REF!</v>
      </c>
      <c r="G1014" s="7" t="e">
        <f>#REF!</f>
        <v>#REF!</v>
      </c>
      <c r="H1014" s="7" t="e">
        <f>#REF!</f>
        <v>#REF!</v>
      </c>
      <c r="I1014" s="7" t="e">
        <f>#REF!</f>
        <v>#REF!</v>
      </c>
      <c r="J1014" s="7" t="e">
        <f>#REF!</f>
        <v>#REF!</v>
      </c>
      <c r="K1014" s="7">
        <f>'Прил.№5 ведомств.'!G963</f>
        <v>185.4</v>
      </c>
    </row>
    <row r="1015" spans="1:11" s="285" customFormat="1" ht="15.75" customHeight="1">
      <c r="A1015" s="26" t="s">
        <v>1077</v>
      </c>
      <c r="B1015" s="42" t="s">
        <v>533</v>
      </c>
      <c r="C1015" s="42" t="s">
        <v>159</v>
      </c>
      <c r="D1015" s="42" t="s">
        <v>1078</v>
      </c>
      <c r="E1015" s="42"/>
      <c r="F1015" s="7"/>
      <c r="G1015" s="7"/>
      <c r="H1015" s="7"/>
      <c r="I1015" s="7"/>
      <c r="J1015" s="7"/>
      <c r="K1015" s="7">
        <f>K1016</f>
        <v>36</v>
      </c>
    </row>
    <row r="1016" spans="1:11" s="285" customFormat="1" ht="15.75" customHeight="1">
      <c r="A1016" s="26" t="s">
        <v>313</v>
      </c>
      <c r="B1016" s="42" t="s">
        <v>533</v>
      </c>
      <c r="C1016" s="42" t="s">
        <v>159</v>
      </c>
      <c r="D1016" s="42" t="s">
        <v>1078</v>
      </c>
      <c r="E1016" s="42" t="s">
        <v>314</v>
      </c>
      <c r="F1016" s="7"/>
      <c r="G1016" s="7"/>
      <c r="H1016" s="7"/>
      <c r="I1016" s="7"/>
      <c r="J1016" s="7"/>
      <c r="K1016" s="7">
        <f>K1017</f>
        <v>36</v>
      </c>
    </row>
    <row r="1017" spans="1:11" s="285" customFormat="1" ht="16.5" customHeight="1">
      <c r="A1017" s="26" t="s">
        <v>315</v>
      </c>
      <c r="B1017" s="42" t="s">
        <v>533</v>
      </c>
      <c r="C1017" s="42" t="s">
        <v>159</v>
      </c>
      <c r="D1017" s="42" t="s">
        <v>1078</v>
      </c>
      <c r="E1017" s="42" t="s">
        <v>316</v>
      </c>
      <c r="F1017" s="7"/>
      <c r="G1017" s="7"/>
      <c r="H1017" s="7"/>
      <c r="I1017" s="7"/>
      <c r="J1017" s="7"/>
      <c r="K1017" s="7">
        <f>'Прил.№5 ведомств.'!G966</f>
        <v>36</v>
      </c>
    </row>
    <row r="1018" spans="1:11" ht="31.5" customHeight="1">
      <c r="A1018" s="31" t="s">
        <v>325</v>
      </c>
      <c r="B1018" s="42" t="s">
        <v>533</v>
      </c>
      <c r="C1018" s="42" t="s">
        <v>159</v>
      </c>
      <c r="D1018" s="42" t="s">
        <v>541</v>
      </c>
      <c r="E1018" s="42"/>
      <c r="F1018" s="7" t="e">
        <f>F1019</f>
        <v>#REF!</v>
      </c>
      <c r="G1018" s="7" t="e">
        <f aca="true" t="shared" si="328" ref="G1018:K1019">G1019</f>
        <v>#REF!</v>
      </c>
      <c r="H1018" s="7" t="e">
        <f t="shared" si="328"/>
        <v>#REF!</v>
      </c>
      <c r="I1018" s="7" t="e">
        <f t="shared" si="328"/>
        <v>#REF!</v>
      </c>
      <c r="J1018" s="7" t="e">
        <f t="shared" si="328"/>
        <v>#REF!</v>
      </c>
      <c r="K1018" s="7">
        <f t="shared" si="328"/>
        <v>53.7</v>
      </c>
    </row>
    <row r="1019" spans="1:11" ht="47.25" customHeight="1">
      <c r="A1019" s="31" t="s">
        <v>313</v>
      </c>
      <c r="B1019" s="42" t="s">
        <v>533</v>
      </c>
      <c r="C1019" s="42" t="s">
        <v>159</v>
      </c>
      <c r="D1019" s="42" t="s">
        <v>541</v>
      </c>
      <c r="E1019" s="42" t="s">
        <v>314</v>
      </c>
      <c r="F1019" s="7" t="e">
        <f>F1020</f>
        <v>#REF!</v>
      </c>
      <c r="G1019" s="7" t="e">
        <f t="shared" si="328"/>
        <v>#REF!</v>
      </c>
      <c r="H1019" s="7" t="e">
        <f t="shared" si="328"/>
        <v>#REF!</v>
      </c>
      <c r="I1019" s="7" t="e">
        <f t="shared" si="328"/>
        <v>#REF!</v>
      </c>
      <c r="J1019" s="7" t="e">
        <f t="shared" si="328"/>
        <v>#REF!</v>
      </c>
      <c r="K1019" s="7">
        <f t="shared" si="328"/>
        <v>53.7</v>
      </c>
    </row>
    <row r="1020" spans="1:11" ht="15.75" customHeight="1">
      <c r="A1020" s="31" t="s">
        <v>315</v>
      </c>
      <c r="B1020" s="42" t="s">
        <v>533</v>
      </c>
      <c r="C1020" s="42" t="s">
        <v>159</v>
      </c>
      <c r="D1020" s="42" t="s">
        <v>541</v>
      </c>
      <c r="E1020" s="42" t="s">
        <v>316</v>
      </c>
      <c r="F1020" s="7" t="e">
        <f>#REF!</f>
        <v>#REF!</v>
      </c>
      <c r="G1020" s="7" t="e">
        <f>#REF!</f>
        <v>#REF!</v>
      </c>
      <c r="H1020" s="7" t="e">
        <f>#REF!</f>
        <v>#REF!</v>
      </c>
      <c r="I1020" s="7" t="e">
        <f>#REF!</f>
        <v>#REF!</v>
      </c>
      <c r="J1020" s="7" t="e">
        <f>#REF!</f>
        <v>#REF!</v>
      </c>
      <c r="K1020" s="7">
        <f>'Прил.№5 ведомств.'!G969</f>
        <v>53.7</v>
      </c>
    </row>
    <row r="1021" spans="1:11" ht="15.75" customHeight="1">
      <c r="A1021" s="47" t="s">
        <v>842</v>
      </c>
      <c r="B1021" s="21" t="s">
        <v>533</v>
      </c>
      <c r="C1021" s="21" t="s">
        <v>159</v>
      </c>
      <c r="D1021" s="21" t="s">
        <v>850</v>
      </c>
      <c r="E1021" s="21"/>
      <c r="F1021" s="7" t="e">
        <f>F1022</f>
        <v>#REF!</v>
      </c>
      <c r="G1021" s="7" t="e">
        <f aca="true" t="shared" si="329" ref="G1021:K1022">G1022</f>
        <v>#REF!</v>
      </c>
      <c r="H1021" s="7" t="e">
        <f t="shared" si="329"/>
        <v>#REF!</v>
      </c>
      <c r="I1021" s="7" t="e">
        <f t="shared" si="329"/>
        <v>#REF!</v>
      </c>
      <c r="J1021" s="7" t="e">
        <f t="shared" si="329"/>
        <v>#REF!</v>
      </c>
      <c r="K1021" s="7">
        <f t="shared" si="329"/>
        <v>1193.3</v>
      </c>
    </row>
    <row r="1022" spans="1:11" ht="15.75" customHeight="1">
      <c r="A1022" s="33" t="s">
        <v>313</v>
      </c>
      <c r="B1022" s="21" t="s">
        <v>533</v>
      </c>
      <c r="C1022" s="21" t="s">
        <v>159</v>
      </c>
      <c r="D1022" s="21" t="s">
        <v>850</v>
      </c>
      <c r="E1022" s="21" t="s">
        <v>314</v>
      </c>
      <c r="F1022" s="7" t="e">
        <f>F1023</f>
        <v>#REF!</v>
      </c>
      <c r="G1022" s="7" t="e">
        <f t="shared" si="329"/>
        <v>#REF!</v>
      </c>
      <c r="H1022" s="7" t="e">
        <f t="shared" si="329"/>
        <v>#REF!</v>
      </c>
      <c r="I1022" s="7" t="e">
        <f t="shared" si="329"/>
        <v>#REF!</v>
      </c>
      <c r="J1022" s="7" t="e">
        <f t="shared" si="329"/>
        <v>#REF!</v>
      </c>
      <c r="K1022" s="7">
        <f t="shared" si="329"/>
        <v>1193.3</v>
      </c>
    </row>
    <row r="1023" spans="1:11" ht="15.75" customHeight="1">
      <c r="A1023" s="33" t="s">
        <v>315</v>
      </c>
      <c r="B1023" s="21" t="s">
        <v>533</v>
      </c>
      <c r="C1023" s="21" t="s">
        <v>159</v>
      </c>
      <c r="D1023" s="21" t="s">
        <v>850</v>
      </c>
      <c r="E1023" s="21" t="s">
        <v>316</v>
      </c>
      <c r="F1023" s="7" t="e">
        <f>#REF!</f>
        <v>#REF!</v>
      </c>
      <c r="G1023" s="7" t="e">
        <f>#REF!</f>
        <v>#REF!</v>
      </c>
      <c r="H1023" s="7" t="e">
        <f>#REF!</f>
        <v>#REF!</v>
      </c>
      <c r="I1023" s="7" t="e">
        <f>#REF!</f>
        <v>#REF!</v>
      </c>
      <c r="J1023" s="7" t="e">
        <f>#REF!</f>
        <v>#REF!</v>
      </c>
      <c r="K1023" s="7">
        <f>'Прил.№5 ведомств.'!G972</f>
        <v>1193.3</v>
      </c>
    </row>
    <row r="1024" spans="1:11" ht="47.25" customHeight="1" hidden="1">
      <c r="A1024" s="33" t="s">
        <v>927</v>
      </c>
      <c r="B1024" s="21" t="s">
        <v>533</v>
      </c>
      <c r="C1024" s="21" t="s">
        <v>159</v>
      </c>
      <c r="D1024" s="21" t="s">
        <v>365</v>
      </c>
      <c r="E1024" s="21"/>
      <c r="F1024" s="7"/>
      <c r="G1024" s="7"/>
      <c r="H1024" s="7"/>
      <c r="I1024" s="7"/>
      <c r="J1024" s="7"/>
      <c r="K1024" s="7">
        <f>K1025</f>
        <v>0</v>
      </c>
    </row>
    <row r="1025" spans="1:11" ht="47.25" hidden="1">
      <c r="A1025" s="33" t="s">
        <v>366</v>
      </c>
      <c r="B1025" s="21" t="s">
        <v>533</v>
      </c>
      <c r="C1025" s="21" t="s">
        <v>159</v>
      </c>
      <c r="D1025" s="21" t="s">
        <v>367</v>
      </c>
      <c r="E1025" s="21"/>
      <c r="F1025" s="7"/>
      <c r="G1025" s="7"/>
      <c r="H1025" s="7"/>
      <c r="I1025" s="7"/>
      <c r="J1025" s="7"/>
      <c r="K1025" s="7">
        <f>K1026</f>
        <v>0</v>
      </c>
    </row>
    <row r="1026" spans="1:11" ht="47.25" hidden="1">
      <c r="A1026" s="33" t="s">
        <v>313</v>
      </c>
      <c r="B1026" s="21" t="s">
        <v>533</v>
      </c>
      <c r="C1026" s="21" t="s">
        <v>159</v>
      </c>
      <c r="D1026" s="21" t="s">
        <v>367</v>
      </c>
      <c r="E1026" s="21" t="s">
        <v>314</v>
      </c>
      <c r="F1026" s="7"/>
      <c r="G1026" s="7"/>
      <c r="H1026" s="7"/>
      <c r="I1026" s="7"/>
      <c r="J1026" s="7"/>
      <c r="K1026" s="7">
        <f>K1027</f>
        <v>0</v>
      </c>
    </row>
    <row r="1027" spans="1:11" ht="15.75" customHeight="1" hidden="1">
      <c r="A1027" s="33" t="s">
        <v>315</v>
      </c>
      <c r="B1027" s="21" t="s">
        <v>533</v>
      </c>
      <c r="C1027" s="21" t="s">
        <v>159</v>
      </c>
      <c r="D1027" s="21" t="s">
        <v>367</v>
      </c>
      <c r="E1027" s="21" t="s">
        <v>316</v>
      </c>
      <c r="F1027" s="7"/>
      <c r="G1027" s="7"/>
      <c r="H1027" s="7"/>
      <c r="I1027" s="7"/>
      <c r="J1027" s="7"/>
      <c r="K1027" s="7">
        <f>'Прил.№5 ведомств.'!G976</f>
        <v>0</v>
      </c>
    </row>
    <row r="1028" spans="1:11" ht="15.75" hidden="1">
      <c r="A1028" s="26" t="s">
        <v>162</v>
      </c>
      <c r="B1028" s="21" t="s">
        <v>533</v>
      </c>
      <c r="C1028" s="21" t="s">
        <v>159</v>
      </c>
      <c r="D1028" s="21" t="s">
        <v>163</v>
      </c>
      <c r="E1028" s="21"/>
      <c r="F1028" s="7" t="e">
        <f>F1029</f>
        <v>#REF!</v>
      </c>
      <c r="G1028" s="7" t="e">
        <f aca="true" t="shared" si="330" ref="G1028:K1031">G1029</f>
        <v>#REF!</v>
      </c>
      <c r="H1028" s="7" t="e">
        <f t="shared" si="330"/>
        <v>#REF!</v>
      </c>
      <c r="I1028" s="7" t="e">
        <f t="shared" si="330"/>
        <v>#REF!</v>
      </c>
      <c r="J1028" s="7" t="e">
        <f t="shared" si="330"/>
        <v>#REF!</v>
      </c>
      <c r="K1028" s="7">
        <f t="shared" si="330"/>
        <v>0</v>
      </c>
    </row>
    <row r="1029" spans="1:11" ht="31.5" hidden="1">
      <c r="A1029" s="26" t="s">
        <v>226</v>
      </c>
      <c r="B1029" s="21" t="s">
        <v>533</v>
      </c>
      <c r="C1029" s="21" t="s">
        <v>159</v>
      </c>
      <c r="D1029" s="21" t="s">
        <v>227</v>
      </c>
      <c r="E1029" s="21"/>
      <c r="F1029" s="7" t="e">
        <f>F1030</f>
        <v>#REF!</v>
      </c>
      <c r="G1029" s="7" t="e">
        <f t="shared" si="330"/>
        <v>#REF!</v>
      </c>
      <c r="H1029" s="7" t="e">
        <f t="shared" si="330"/>
        <v>#REF!</v>
      </c>
      <c r="I1029" s="7" t="e">
        <f t="shared" si="330"/>
        <v>#REF!</v>
      </c>
      <c r="J1029" s="7" t="e">
        <f t="shared" si="330"/>
        <v>#REF!</v>
      </c>
      <c r="K1029" s="7">
        <f t="shared" si="330"/>
        <v>0</v>
      </c>
    </row>
    <row r="1030" spans="1:11" ht="47.25" hidden="1">
      <c r="A1030" s="26" t="s">
        <v>972</v>
      </c>
      <c r="B1030" s="21" t="s">
        <v>533</v>
      </c>
      <c r="C1030" s="21" t="s">
        <v>159</v>
      </c>
      <c r="D1030" s="21" t="s">
        <v>973</v>
      </c>
      <c r="E1030" s="21"/>
      <c r="F1030" s="7" t="e">
        <f>F1031</f>
        <v>#REF!</v>
      </c>
      <c r="G1030" s="7" t="e">
        <f t="shared" si="330"/>
        <v>#REF!</v>
      </c>
      <c r="H1030" s="7" t="e">
        <f t="shared" si="330"/>
        <v>#REF!</v>
      </c>
      <c r="I1030" s="7" t="e">
        <f t="shared" si="330"/>
        <v>#REF!</v>
      </c>
      <c r="J1030" s="7" t="e">
        <f t="shared" si="330"/>
        <v>#REF!</v>
      </c>
      <c r="K1030" s="7">
        <f t="shared" si="330"/>
        <v>0</v>
      </c>
    </row>
    <row r="1031" spans="1:11" ht="47.25" hidden="1">
      <c r="A1031" s="26" t="s">
        <v>313</v>
      </c>
      <c r="B1031" s="21" t="s">
        <v>533</v>
      </c>
      <c r="C1031" s="21" t="s">
        <v>159</v>
      </c>
      <c r="D1031" s="21" t="s">
        <v>973</v>
      </c>
      <c r="E1031" s="21" t="s">
        <v>314</v>
      </c>
      <c r="F1031" s="7" t="e">
        <f>F1032</f>
        <v>#REF!</v>
      </c>
      <c r="G1031" s="7" t="e">
        <f t="shared" si="330"/>
        <v>#REF!</v>
      </c>
      <c r="H1031" s="7" t="e">
        <f t="shared" si="330"/>
        <v>#REF!</v>
      </c>
      <c r="I1031" s="7" t="e">
        <f t="shared" si="330"/>
        <v>#REF!</v>
      </c>
      <c r="J1031" s="7" t="e">
        <f t="shared" si="330"/>
        <v>#REF!</v>
      </c>
      <c r="K1031" s="7">
        <f t="shared" si="330"/>
        <v>0</v>
      </c>
    </row>
    <row r="1032" spans="1:11" ht="15.75" hidden="1">
      <c r="A1032" s="26" t="s">
        <v>315</v>
      </c>
      <c r="B1032" s="21" t="s">
        <v>533</v>
      </c>
      <c r="C1032" s="21" t="s">
        <v>159</v>
      </c>
      <c r="D1032" s="21" t="s">
        <v>973</v>
      </c>
      <c r="E1032" s="21" t="s">
        <v>316</v>
      </c>
      <c r="F1032" s="7" t="e">
        <f>#REF!</f>
        <v>#REF!</v>
      </c>
      <c r="G1032" s="7" t="e">
        <f>#REF!</f>
        <v>#REF!</v>
      </c>
      <c r="H1032" s="7" t="e">
        <f>#REF!</f>
        <v>#REF!</v>
      </c>
      <c r="I1032" s="7" t="e">
        <f>#REF!</f>
        <v>#REF!</v>
      </c>
      <c r="J1032" s="7" t="e">
        <f>#REF!</f>
        <v>#REF!</v>
      </c>
      <c r="K1032" s="7">
        <f>'Прил.№5 ведомств.'!G981</f>
        <v>0</v>
      </c>
    </row>
    <row r="1033" spans="1:11" ht="63">
      <c r="A1033" s="31" t="s">
        <v>782</v>
      </c>
      <c r="B1033" s="21" t="s">
        <v>533</v>
      </c>
      <c r="C1033" s="21" t="s">
        <v>159</v>
      </c>
      <c r="D1033" s="21" t="s">
        <v>780</v>
      </c>
      <c r="E1033" s="34"/>
      <c r="F1033" s="7"/>
      <c r="G1033" s="7"/>
      <c r="H1033" s="7"/>
      <c r="I1033" s="7"/>
      <c r="J1033" s="7"/>
      <c r="K1033" s="7">
        <f>K1034</f>
        <v>540.1</v>
      </c>
    </row>
    <row r="1034" spans="1:11" ht="47.25">
      <c r="A1034" s="120" t="s">
        <v>922</v>
      </c>
      <c r="B1034" s="21" t="s">
        <v>533</v>
      </c>
      <c r="C1034" s="21" t="s">
        <v>159</v>
      </c>
      <c r="D1034" s="21" t="s">
        <v>923</v>
      </c>
      <c r="E1034" s="34"/>
      <c r="F1034" s="7"/>
      <c r="G1034" s="7"/>
      <c r="H1034" s="7"/>
      <c r="I1034" s="7"/>
      <c r="J1034" s="7"/>
      <c r="K1034" s="7">
        <f>K1035</f>
        <v>540.1</v>
      </c>
    </row>
    <row r="1035" spans="1:11" ht="47.25">
      <c r="A1035" s="31" t="s">
        <v>313</v>
      </c>
      <c r="B1035" s="21" t="s">
        <v>533</v>
      </c>
      <c r="C1035" s="21" t="s">
        <v>159</v>
      </c>
      <c r="D1035" s="21" t="s">
        <v>923</v>
      </c>
      <c r="E1035" s="34" t="s">
        <v>314</v>
      </c>
      <c r="F1035" s="7"/>
      <c r="G1035" s="7"/>
      <c r="H1035" s="7"/>
      <c r="I1035" s="7"/>
      <c r="J1035" s="7"/>
      <c r="K1035" s="7">
        <f>K1036</f>
        <v>540.1</v>
      </c>
    </row>
    <row r="1036" spans="1:11" ht="15.75">
      <c r="A1036" s="31" t="s">
        <v>315</v>
      </c>
      <c r="B1036" s="21" t="s">
        <v>533</v>
      </c>
      <c r="C1036" s="21" t="s">
        <v>159</v>
      </c>
      <c r="D1036" s="21" t="s">
        <v>923</v>
      </c>
      <c r="E1036" s="34" t="s">
        <v>316</v>
      </c>
      <c r="F1036" s="7"/>
      <c r="G1036" s="7"/>
      <c r="H1036" s="7"/>
      <c r="I1036" s="7"/>
      <c r="J1036" s="7"/>
      <c r="K1036" s="7">
        <f>'Прил.№5 ведомств.'!G985</f>
        <v>540.1</v>
      </c>
    </row>
    <row r="1037" spans="1:11" ht="15.75">
      <c r="A1037" s="26" t="s">
        <v>162</v>
      </c>
      <c r="B1037" s="21" t="s">
        <v>533</v>
      </c>
      <c r="C1037" s="21" t="s">
        <v>159</v>
      </c>
      <c r="D1037" s="21" t="s">
        <v>163</v>
      </c>
      <c r="E1037" s="21"/>
      <c r="F1037" s="7"/>
      <c r="G1037" s="7"/>
      <c r="H1037" s="7"/>
      <c r="I1037" s="7"/>
      <c r="J1037" s="7"/>
      <c r="K1037" s="7">
        <f>K1038</f>
        <v>870.2</v>
      </c>
    </row>
    <row r="1038" spans="1:11" ht="31.5">
      <c r="A1038" s="26" t="s">
        <v>226</v>
      </c>
      <c r="B1038" s="21" t="s">
        <v>533</v>
      </c>
      <c r="C1038" s="21" t="s">
        <v>159</v>
      </c>
      <c r="D1038" s="21" t="s">
        <v>227</v>
      </c>
      <c r="E1038" s="21"/>
      <c r="F1038" s="7"/>
      <c r="G1038" s="7"/>
      <c r="H1038" s="7"/>
      <c r="I1038" s="7"/>
      <c r="J1038" s="7"/>
      <c r="K1038" s="7">
        <f>K1039+K1042+K1045</f>
        <v>870.2</v>
      </c>
    </row>
    <row r="1039" spans="1:11" ht="63" hidden="1">
      <c r="A1039" s="33" t="s">
        <v>330</v>
      </c>
      <c r="B1039" s="21" t="s">
        <v>533</v>
      </c>
      <c r="C1039" s="21" t="s">
        <v>159</v>
      </c>
      <c r="D1039" s="21" t="s">
        <v>331</v>
      </c>
      <c r="E1039" s="21"/>
      <c r="F1039" s="7"/>
      <c r="G1039" s="7"/>
      <c r="H1039" s="7"/>
      <c r="I1039" s="7"/>
      <c r="J1039" s="7"/>
      <c r="K1039" s="7">
        <f>K1040</f>
        <v>0</v>
      </c>
    </row>
    <row r="1040" spans="1:11" ht="47.25" hidden="1">
      <c r="A1040" s="26" t="s">
        <v>313</v>
      </c>
      <c r="B1040" s="21" t="s">
        <v>533</v>
      </c>
      <c r="C1040" s="21" t="s">
        <v>159</v>
      </c>
      <c r="D1040" s="21" t="s">
        <v>331</v>
      </c>
      <c r="E1040" s="21" t="s">
        <v>314</v>
      </c>
      <c r="F1040" s="7"/>
      <c r="G1040" s="7"/>
      <c r="H1040" s="7"/>
      <c r="I1040" s="7"/>
      <c r="J1040" s="7"/>
      <c r="K1040" s="7">
        <f>K1041</f>
        <v>0</v>
      </c>
    </row>
    <row r="1041" spans="1:11" ht="15.75" hidden="1">
      <c r="A1041" s="26" t="s">
        <v>315</v>
      </c>
      <c r="B1041" s="21" t="s">
        <v>533</v>
      </c>
      <c r="C1041" s="21" t="s">
        <v>159</v>
      </c>
      <c r="D1041" s="21" t="s">
        <v>331</v>
      </c>
      <c r="E1041" s="21" t="s">
        <v>316</v>
      </c>
      <c r="F1041" s="7"/>
      <c r="G1041" s="7"/>
      <c r="H1041" s="7"/>
      <c r="I1041" s="7"/>
      <c r="J1041" s="7"/>
      <c r="K1041" s="7">
        <f>'Прил.№5 ведомств.'!G990</f>
        <v>0</v>
      </c>
    </row>
    <row r="1042" spans="1:11" ht="63" hidden="1">
      <c r="A1042" s="33" t="s">
        <v>332</v>
      </c>
      <c r="B1042" s="21" t="s">
        <v>533</v>
      </c>
      <c r="C1042" s="21" t="s">
        <v>159</v>
      </c>
      <c r="D1042" s="21" t="s">
        <v>333</v>
      </c>
      <c r="E1042" s="21"/>
      <c r="F1042" s="7"/>
      <c r="G1042" s="7"/>
      <c r="H1042" s="7"/>
      <c r="I1042" s="7"/>
      <c r="J1042" s="7"/>
      <c r="K1042" s="7">
        <f>K1043</f>
        <v>0</v>
      </c>
    </row>
    <row r="1043" spans="1:11" ht="47.25" hidden="1">
      <c r="A1043" s="26" t="s">
        <v>313</v>
      </c>
      <c r="B1043" s="21" t="s">
        <v>533</v>
      </c>
      <c r="C1043" s="21" t="s">
        <v>159</v>
      </c>
      <c r="D1043" s="21" t="s">
        <v>333</v>
      </c>
      <c r="E1043" s="21" t="s">
        <v>314</v>
      </c>
      <c r="F1043" s="7"/>
      <c r="G1043" s="7"/>
      <c r="H1043" s="7"/>
      <c r="I1043" s="7"/>
      <c r="J1043" s="7"/>
      <c r="K1043" s="7">
        <f>K1044</f>
        <v>0</v>
      </c>
    </row>
    <row r="1044" spans="1:11" ht="15.75" hidden="1">
      <c r="A1044" s="26" t="s">
        <v>315</v>
      </c>
      <c r="B1044" s="21" t="s">
        <v>533</v>
      </c>
      <c r="C1044" s="21" t="s">
        <v>159</v>
      </c>
      <c r="D1044" s="21" t="s">
        <v>333</v>
      </c>
      <c r="E1044" s="21" t="s">
        <v>316</v>
      </c>
      <c r="F1044" s="7"/>
      <c r="G1044" s="7"/>
      <c r="H1044" s="7"/>
      <c r="I1044" s="7"/>
      <c r="J1044" s="7"/>
      <c r="K1044" s="7">
        <f>'Прил.№5 ведомств.'!G993</f>
        <v>0</v>
      </c>
    </row>
    <row r="1045" spans="1:11" ht="94.5">
      <c r="A1045" s="33" t="s">
        <v>506</v>
      </c>
      <c r="B1045" s="21" t="s">
        <v>533</v>
      </c>
      <c r="C1045" s="21" t="s">
        <v>159</v>
      </c>
      <c r="D1045" s="21" t="s">
        <v>335</v>
      </c>
      <c r="E1045" s="21"/>
      <c r="F1045" s="7"/>
      <c r="G1045" s="7"/>
      <c r="H1045" s="7"/>
      <c r="I1045" s="7"/>
      <c r="J1045" s="7"/>
      <c r="K1045" s="7">
        <f>K1046</f>
        <v>870.2</v>
      </c>
    </row>
    <row r="1046" spans="1:11" ht="47.25">
      <c r="A1046" s="26" t="s">
        <v>313</v>
      </c>
      <c r="B1046" s="21" t="s">
        <v>533</v>
      </c>
      <c r="C1046" s="21" t="s">
        <v>159</v>
      </c>
      <c r="D1046" s="21" t="s">
        <v>335</v>
      </c>
      <c r="E1046" s="21" t="s">
        <v>314</v>
      </c>
      <c r="F1046" s="7"/>
      <c r="G1046" s="7"/>
      <c r="H1046" s="7"/>
      <c r="I1046" s="7"/>
      <c r="J1046" s="7"/>
      <c r="K1046" s="7">
        <f>K1047</f>
        <v>870.2</v>
      </c>
    </row>
    <row r="1047" spans="1:11" ht="15.75">
      <c r="A1047" s="26" t="s">
        <v>315</v>
      </c>
      <c r="B1047" s="21" t="s">
        <v>533</v>
      </c>
      <c r="C1047" s="21" t="s">
        <v>159</v>
      </c>
      <c r="D1047" s="21" t="s">
        <v>335</v>
      </c>
      <c r="E1047" s="21" t="s">
        <v>316</v>
      </c>
      <c r="F1047" s="7"/>
      <c r="G1047" s="7"/>
      <c r="H1047" s="7"/>
      <c r="I1047" s="7"/>
      <c r="J1047" s="7"/>
      <c r="K1047" s="7">
        <f>'Прил.№5 ведомств.'!G996</f>
        <v>870.2</v>
      </c>
    </row>
    <row r="1048" spans="1:11" ht="31.5">
      <c r="A1048" s="43" t="s">
        <v>542</v>
      </c>
      <c r="B1048" s="8" t="s">
        <v>533</v>
      </c>
      <c r="C1048" s="8" t="s">
        <v>275</v>
      </c>
      <c r="D1048" s="8"/>
      <c r="E1048" s="8"/>
      <c r="F1048" s="4" t="e">
        <f aca="true" t="shared" si="331" ref="F1048:K1048">F1056+F1049</f>
        <v>#REF!</v>
      </c>
      <c r="G1048" s="4" t="e">
        <f t="shared" si="331"/>
        <v>#REF!</v>
      </c>
      <c r="H1048" s="4" t="e">
        <f t="shared" si="331"/>
        <v>#REF!</v>
      </c>
      <c r="I1048" s="4" t="e">
        <f t="shared" si="331"/>
        <v>#REF!</v>
      </c>
      <c r="J1048" s="4" t="e">
        <f t="shared" si="331"/>
        <v>#REF!</v>
      </c>
      <c r="K1048" s="4">
        <f t="shared" si="331"/>
        <v>12225.600000000002</v>
      </c>
    </row>
    <row r="1049" spans="1:11" ht="47.25">
      <c r="A1049" s="31" t="s">
        <v>523</v>
      </c>
      <c r="B1049" s="42" t="s">
        <v>533</v>
      </c>
      <c r="C1049" s="42" t="s">
        <v>275</v>
      </c>
      <c r="D1049" s="42" t="s">
        <v>524</v>
      </c>
      <c r="E1049" s="42"/>
      <c r="F1049" s="7" t="e">
        <f>F1050</f>
        <v>#REF!</v>
      </c>
      <c r="G1049" s="7" t="e">
        <f aca="true" t="shared" si="332" ref="G1049:K1050">G1050</f>
        <v>#REF!</v>
      </c>
      <c r="H1049" s="7" t="e">
        <f t="shared" si="332"/>
        <v>#REF!</v>
      </c>
      <c r="I1049" s="7" t="e">
        <f t="shared" si="332"/>
        <v>#REF!</v>
      </c>
      <c r="J1049" s="7" t="e">
        <f t="shared" si="332"/>
        <v>#REF!</v>
      </c>
      <c r="K1049" s="7">
        <f t="shared" si="332"/>
        <v>2497.2</v>
      </c>
    </row>
    <row r="1050" spans="1:11" ht="47.25">
      <c r="A1050" s="47" t="s">
        <v>543</v>
      </c>
      <c r="B1050" s="42" t="s">
        <v>533</v>
      </c>
      <c r="C1050" s="42" t="s">
        <v>275</v>
      </c>
      <c r="D1050" s="42" t="s">
        <v>544</v>
      </c>
      <c r="E1050" s="8"/>
      <c r="F1050" s="7" t="e">
        <f>F1051</f>
        <v>#REF!</v>
      </c>
      <c r="G1050" s="7" t="e">
        <f t="shared" si="332"/>
        <v>#REF!</v>
      </c>
      <c r="H1050" s="7" t="e">
        <f t="shared" si="332"/>
        <v>#REF!</v>
      </c>
      <c r="I1050" s="7" t="e">
        <f t="shared" si="332"/>
        <v>#REF!</v>
      </c>
      <c r="J1050" s="7" t="e">
        <f t="shared" si="332"/>
        <v>#REF!</v>
      </c>
      <c r="K1050" s="7">
        <f t="shared" si="332"/>
        <v>2497.2</v>
      </c>
    </row>
    <row r="1051" spans="1:11" ht="31.5">
      <c r="A1051" s="31" t="s">
        <v>198</v>
      </c>
      <c r="B1051" s="42" t="s">
        <v>533</v>
      </c>
      <c r="C1051" s="42" t="s">
        <v>275</v>
      </c>
      <c r="D1051" s="42" t="s">
        <v>545</v>
      </c>
      <c r="E1051" s="8"/>
      <c r="F1051" s="7" t="e">
        <f aca="true" t="shared" si="333" ref="F1051:K1051">F1054+F1052</f>
        <v>#REF!</v>
      </c>
      <c r="G1051" s="7" t="e">
        <f t="shared" si="333"/>
        <v>#REF!</v>
      </c>
      <c r="H1051" s="7" t="e">
        <f t="shared" si="333"/>
        <v>#REF!</v>
      </c>
      <c r="I1051" s="7" t="e">
        <f t="shared" si="333"/>
        <v>#REF!</v>
      </c>
      <c r="J1051" s="7" t="e">
        <f t="shared" si="333"/>
        <v>#REF!</v>
      </c>
      <c r="K1051" s="7">
        <f t="shared" si="333"/>
        <v>2497.2</v>
      </c>
    </row>
    <row r="1052" spans="1:11" ht="78.75">
      <c r="A1052" s="26" t="s">
        <v>168</v>
      </c>
      <c r="B1052" s="42" t="s">
        <v>533</v>
      </c>
      <c r="C1052" s="42" t="s">
        <v>275</v>
      </c>
      <c r="D1052" s="42" t="s">
        <v>545</v>
      </c>
      <c r="E1052" s="42" t="s">
        <v>169</v>
      </c>
      <c r="F1052" s="7" t="e">
        <f aca="true" t="shared" si="334" ref="F1052:K1052">F1053</f>
        <v>#REF!</v>
      </c>
      <c r="G1052" s="7" t="e">
        <f t="shared" si="334"/>
        <v>#REF!</v>
      </c>
      <c r="H1052" s="7" t="e">
        <f t="shared" si="334"/>
        <v>#REF!</v>
      </c>
      <c r="I1052" s="7" t="e">
        <f t="shared" si="334"/>
        <v>#REF!</v>
      </c>
      <c r="J1052" s="7" t="e">
        <f t="shared" si="334"/>
        <v>#REF!</v>
      </c>
      <c r="K1052" s="7">
        <f t="shared" si="334"/>
        <v>1911</v>
      </c>
    </row>
    <row r="1053" spans="1:11" ht="31.5">
      <c r="A1053" s="26" t="s">
        <v>170</v>
      </c>
      <c r="B1053" s="42" t="s">
        <v>533</v>
      </c>
      <c r="C1053" s="42" t="s">
        <v>275</v>
      </c>
      <c r="D1053" s="42" t="s">
        <v>545</v>
      </c>
      <c r="E1053" s="42" t="s">
        <v>171</v>
      </c>
      <c r="F1053" s="7" t="e">
        <f>#REF!</f>
        <v>#REF!</v>
      </c>
      <c r="G1053" s="7" t="e">
        <f>#REF!</f>
        <v>#REF!</v>
      </c>
      <c r="H1053" s="7" t="e">
        <f>#REF!</f>
        <v>#REF!</v>
      </c>
      <c r="I1053" s="7" t="e">
        <f>#REF!</f>
        <v>#REF!</v>
      </c>
      <c r="J1053" s="7" t="e">
        <f>#REF!</f>
        <v>#REF!</v>
      </c>
      <c r="K1053" s="7">
        <f>'Прил.№5 ведомств.'!G1002</f>
        <v>1911</v>
      </c>
    </row>
    <row r="1054" spans="1:11" ht="31.5">
      <c r="A1054" s="31" t="s">
        <v>172</v>
      </c>
      <c r="B1054" s="42" t="s">
        <v>533</v>
      </c>
      <c r="C1054" s="42" t="s">
        <v>275</v>
      </c>
      <c r="D1054" s="42" t="s">
        <v>545</v>
      </c>
      <c r="E1054" s="42" t="s">
        <v>173</v>
      </c>
      <c r="F1054" s="7" t="e">
        <f aca="true" t="shared" si="335" ref="F1054:K1054">F1055</f>
        <v>#REF!</v>
      </c>
      <c r="G1054" s="7" t="e">
        <f t="shared" si="335"/>
        <v>#REF!</v>
      </c>
      <c r="H1054" s="7" t="e">
        <f t="shared" si="335"/>
        <v>#REF!</v>
      </c>
      <c r="I1054" s="7" t="e">
        <f t="shared" si="335"/>
        <v>#REF!</v>
      </c>
      <c r="J1054" s="7" t="e">
        <f t="shared" si="335"/>
        <v>#REF!</v>
      </c>
      <c r="K1054" s="7">
        <f t="shared" si="335"/>
        <v>586.2</v>
      </c>
    </row>
    <row r="1055" spans="1:11" ht="47.25">
      <c r="A1055" s="31" t="s">
        <v>174</v>
      </c>
      <c r="B1055" s="42" t="s">
        <v>533</v>
      </c>
      <c r="C1055" s="42" t="s">
        <v>275</v>
      </c>
      <c r="D1055" s="42" t="s">
        <v>545</v>
      </c>
      <c r="E1055" s="42" t="s">
        <v>175</v>
      </c>
      <c r="F1055" s="7" t="e">
        <f>#REF!</f>
        <v>#REF!</v>
      </c>
      <c r="G1055" s="7" t="e">
        <f>#REF!</f>
        <v>#REF!</v>
      </c>
      <c r="H1055" s="7" t="e">
        <f>#REF!</f>
        <v>#REF!</v>
      </c>
      <c r="I1055" s="7" t="e">
        <f>#REF!</f>
        <v>#REF!</v>
      </c>
      <c r="J1055" s="7" t="e">
        <f>#REF!</f>
        <v>#REF!</v>
      </c>
      <c r="K1055" s="7">
        <f>'Прил.№5 ведомств.'!G1004</f>
        <v>586.2</v>
      </c>
    </row>
    <row r="1056" spans="1:11" ht="15.75">
      <c r="A1056" s="31" t="s">
        <v>162</v>
      </c>
      <c r="B1056" s="42" t="s">
        <v>533</v>
      </c>
      <c r="C1056" s="42" t="s">
        <v>275</v>
      </c>
      <c r="D1056" s="42" t="s">
        <v>163</v>
      </c>
      <c r="E1056" s="42"/>
      <c r="F1056" s="7" t="e">
        <f aca="true" t="shared" si="336" ref="F1056:K1056">F1063+F1057</f>
        <v>#REF!</v>
      </c>
      <c r="G1056" s="7" t="e">
        <f t="shared" si="336"/>
        <v>#REF!</v>
      </c>
      <c r="H1056" s="7" t="e">
        <f t="shared" si="336"/>
        <v>#REF!</v>
      </c>
      <c r="I1056" s="7" t="e">
        <f t="shared" si="336"/>
        <v>#REF!</v>
      </c>
      <c r="J1056" s="7" t="e">
        <f t="shared" si="336"/>
        <v>#REF!</v>
      </c>
      <c r="K1056" s="7">
        <f t="shared" si="336"/>
        <v>9728.400000000001</v>
      </c>
    </row>
    <row r="1057" spans="1:11" ht="31.5">
      <c r="A1057" s="31" t="s">
        <v>164</v>
      </c>
      <c r="B1057" s="42" t="s">
        <v>533</v>
      </c>
      <c r="C1057" s="42" t="s">
        <v>275</v>
      </c>
      <c r="D1057" s="42" t="s">
        <v>165</v>
      </c>
      <c r="E1057" s="42"/>
      <c r="F1057" s="7" t="e">
        <f aca="true" t="shared" si="337" ref="F1057:K1057">F1058</f>
        <v>#REF!</v>
      </c>
      <c r="G1057" s="7" t="e">
        <f t="shared" si="337"/>
        <v>#REF!</v>
      </c>
      <c r="H1057" s="7" t="e">
        <f t="shared" si="337"/>
        <v>#REF!</v>
      </c>
      <c r="I1057" s="7" t="e">
        <f t="shared" si="337"/>
        <v>#REF!</v>
      </c>
      <c r="J1057" s="7" t="e">
        <f t="shared" si="337"/>
        <v>#REF!</v>
      </c>
      <c r="K1057" s="7">
        <f t="shared" si="337"/>
        <v>4537.200000000001</v>
      </c>
    </row>
    <row r="1058" spans="1:11" ht="33.75" customHeight="1">
      <c r="A1058" s="31" t="s">
        <v>166</v>
      </c>
      <c r="B1058" s="42" t="s">
        <v>533</v>
      </c>
      <c r="C1058" s="42" t="s">
        <v>275</v>
      </c>
      <c r="D1058" s="42" t="s">
        <v>167</v>
      </c>
      <c r="E1058" s="42"/>
      <c r="F1058" s="7" t="e">
        <f aca="true" t="shared" si="338" ref="F1058:K1058">F1059+F1061</f>
        <v>#REF!</v>
      </c>
      <c r="G1058" s="7" t="e">
        <f t="shared" si="338"/>
        <v>#REF!</v>
      </c>
      <c r="H1058" s="7" t="e">
        <f t="shared" si="338"/>
        <v>#REF!</v>
      </c>
      <c r="I1058" s="7" t="e">
        <f t="shared" si="338"/>
        <v>#REF!</v>
      </c>
      <c r="J1058" s="7" t="e">
        <f t="shared" si="338"/>
        <v>#REF!</v>
      </c>
      <c r="K1058" s="7">
        <f t="shared" si="338"/>
        <v>4537.200000000001</v>
      </c>
    </row>
    <row r="1059" spans="1:11" ht="78.75">
      <c r="A1059" s="31" t="s">
        <v>168</v>
      </c>
      <c r="B1059" s="42" t="s">
        <v>533</v>
      </c>
      <c r="C1059" s="42" t="s">
        <v>275</v>
      </c>
      <c r="D1059" s="42" t="s">
        <v>167</v>
      </c>
      <c r="E1059" s="42" t="s">
        <v>169</v>
      </c>
      <c r="F1059" s="62" t="e">
        <f aca="true" t="shared" si="339" ref="F1059:K1059">F1060</f>
        <v>#REF!</v>
      </c>
      <c r="G1059" s="62" t="e">
        <f t="shared" si="339"/>
        <v>#REF!</v>
      </c>
      <c r="H1059" s="62" t="e">
        <f t="shared" si="339"/>
        <v>#REF!</v>
      </c>
      <c r="I1059" s="62" t="e">
        <f t="shared" si="339"/>
        <v>#REF!</v>
      </c>
      <c r="J1059" s="62" t="e">
        <f t="shared" si="339"/>
        <v>#REF!</v>
      </c>
      <c r="K1059" s="62">
        <f t="shared" si="339"/>
        <v>4537.200000000001</v>
      </c>
    </row>
    <row r="1060" spans="1:11" ht="31.5">
      <c r="A1060" s="31" t="s">
        <v>170</v>
      </c>
      <c r="B1060" s="42" t="s">
        <v>533</v>
      </c>
      <c r="C1060" s="42" t="s">
        <v>275</v>
      </c>
      <c r="D1060" s="42" t="s">
        <v>167</v>
      </c>
      <c r="E1060" s="42" t="s">
        <v>171</v>
      </c>
      <c r="F1060" s="62" t="e">
        <f>#REF!</f>
        <v>#REF!</v>
      </c>
      <c r="G1060" s="62" t="e">
        <f>#REF!</f>
        <v>#REF!</v>
      </c>
      <c r="H1060" s="62" t="e">
        <f>#REF!</f>
        <v>#REF!</v>
      </c>
      <c r="I1060" s="62" t="e">
        <f>#REF!</f>
        <v>#REF!</v>
      </c>
      <c r="J1060" s="62" t="e">
        <f>#REF!</f>
        <v>#REF!</v>
      </c>
      <c r="K1060" s="62">
        <f>'Прил.№5 ведомств.'!G1009</f>
        <v>4537.200000000001</v>
      </c>
    </row>
    <row r="1061" spans="1:11" ht="31.5" customHeight="1" hidden="1">
      <c r="A1061" s="31" t="s">
        <v>172</v>
      </c>
      <c r="B1061" s="42" t="s">
        <v>533</v>
      </c>
      <c r="C1061" s="42" t="s">
        <v>275</v>
      </c>
      <c r="D1061" s="42" t="s">
        <v>167</v>
      </c>
      <c r="E1061" s="42" t="s">
        <v>173</v>
      </c>
      <c r="F1061" s="62">
        <f aca="true" t="shared" si="340" ref="F1061:K1061">F1062</f>
        <v>0</v>
      </c>
      <c r="G1061" s="62">
        <f t="shared" si="340"/>
        <v>0</v>
      </c>
      <c r="H1061" s="62" t="e">
        <f t="shared" si="340"/>
        <v>#REF!</v>
      </c>
      <c r="I1061" s="62" t="e">
        <f t="shared" si="340"/>
        <v>#REF!</v>
      </c>
      <c r="J1061" s="62" t="e">
        <f t="shared" si="340"/>
        <v>#REF!</v>
      </c>
      <c r="K1061" s="62">
        <f t="shared" si="340"/>
        <v>0</v>
      </c>
    </row>
    <row r="1062" spans="1:11" ht="47.25" customHeight="1" hidden="1">
      <c r="A1062" s="31" t="s">
        <v>174</v>
      </c>
      <c r="B1062" s="42" t="s">
        <v>533</v>
      </c>
      <c r="C1062" s="42" t="s">
        <v>275</v>
      </c>
      <c r="D1062" s="42" t="s">
        <v>167</v>
      </c>
      <c r="E1062" s="42" t="s">
        <v>175</v>
      </c>
      <c r="F1062" s="62">
        <v>0</v>
      </c>
      <c r="G1062" s="62">
        <v>0</v>
      </c>
      <c r="H1062" s="62" t="e">
        <f>#REF!</f>
        <v>#REF!</v>
      </c>
      <c r="I1062" s="62" t="e">
        <f>#REF!</f>
        <v>#REF!</v>
      </c>
      <c r="J1062" s="62" t="e">
        <f>#REF!</f>
        <v>#REF!</v>
      </c>
      <c r="K1062" s="62">
        <f>'Прил.№5 ведомств.'!G1011</f>
        <v>0</v>
      </c>
    </row>
    <row r="1063" spans="1:11" ht="15.75">
      <c r="A1063" s="31" t="s">
        <v>182</v>
      </c>
      <c r="B1063" s="42" t="s">
        <v>533</v>
      </c>
      <c r="C1063" s="42" t="s">
        <v>275</v>
      </c>
      <c r="D1063" s="42" t="s">
        <v>183</v>
      </c>
      <c r="E1063" s="42"/>
      <c r="F1063" s="7" t="e">
        <f aca="true" t="shared" si="341" ref="F1063:K1063">F1064</f>
        <v>#REF!</v>
      </c>
      <c r="G1063" s="7" t="e">
        <f t="shared" si="341"/>
        <v>#REF!</v>
      </c>
      <c r="H1063" s="7" t="e">
        <f t="shared" si="341"/>
        <v>#REF!</v>
      </c>
      <c r="I1063" s="7" t="e">
        <f t="shared" si="341"/>
        <v>#REF!</v>
      </c>
      <c r="J1063" s="7" t="e">
        <f t="shared" si="341"/>
        <v>#REF!</v>
      </c>
      <c r="K1063" s="7">
        <f t="shared" si="341"/>
        <v>5191.2</v>
      </c>
    </row>
    <row r="1064" spans="1:11" ht="31.5">
      <c r="A1064" s="26" t="s">
        <v>381</v>
      </c>
      <c r="B1064" s="42" t="s">
        <v>533</v>
      </c>
      <c r="C1064" s="42" t="s">
        <v>275</v>
      </c>
      <c r="D1064" s="42" t="s">
        <v>382</v>
      </c>
      <c r="E1064" s="42"/>
      <c r="F1064" s="7" t="e">
        <f aca="true" t="shared" si="342" ref="F1064:K1064">F1065+F1067+F1069</f>
        <v>#REF!</v>
      </c>
      <c r="G1064" s="7" t="e">
        <f t="shared" si="342"/>
        <v>#REF!</v>
      </c>
      <c r="H1064" s="7" t="e">
        <f t="shared" si="342"/>
        <v>#REF!</v>
      </c>
      <c r="I1064" s="7" t="e">
        <f t="shared" si="342"/>
        <v>#REF!</v>
      </c>
      <c r="J1064" s="7" t="e">
        <f t="shared" si="342"/>
        <v>#REF!</v>
      </c>
      <c r="K1064" s="7">
        <f t="shared" si="342"/>
        <v>5191.2</v>
      </c>
    </row>
    <row r="1065" spans="1:11" ht="78.75">
      <c r="A1065" s="31" t="s">
        <v>168</v>
      </c>
      <c r="B1065" s="42" t="s">
        <v>533</v>
      </c>
      <c r="C1065" s="42" t="s">
        <v>275</v>
      </c>
      <c r="D1065" s="42" t="s">
        <v>382</v>
      </c>
      <c r="E1065" s="42" t="s">
        <v>169</v>
      </c>
      <c r="F1065" s="62" t="e">
        <f aca="true" t="shared" si="343" ref="F1065:K1065">F1066</f>
        <v>#REF!</v>
      </c>
      <c r="G1065" s="62" t="e">
        <f t="shared" si="343"/>
        <v>#REF!</v>
      </c>
      <c r="H1065" s="62" t="e">
        <f t="shared" si="343"/>
        <v>#REF!</v>
      </c>
      <c r="I1065" s="62" t="e">
        <f t="shared" si="343"/>
        <v>#REF!</v>
      </c>
      <c r="J1065" s="62" t="e">
        <f t="shared" si="343"/>
        <v>#REF!</v>
      </c>
      <c r="K1065" s="62">
        <f t="shared" si="343"/>
        <v>4542.6</v>
      </c>
    </row>
    <row r="1066" spans="1:11" ht="31.5">
      <c r="A1066" s="31" t="s">
        <v>383</v>
      </c>
      <c r="B1066" s="42" t="s">
        <v>533</v>
      </c>
      <c r="C1066" s="42" t="s">
        <v>275</v>
      </c>
      <c r="D1066" s="42" t="s">
        <v>382</v>
      </c>
      <c r="E1066" s="42" t="s">
        <v>250</v>
      </c>
      <c r="F1066" s="62" t="e">
        <f>#REF!</f>
        <v>#REF!</v>
      </c>
      <c r="G1066" s="62" t="e">
        <f>#REF!</f>
        <v>#REF!</v>
      </c>
      <c r="H1066" s="62" t="e">
        <f>#REF!</f>
        <v>#REF!</v>
      </c>
      <c r="I1066" s="62" t="e">
        <f>#REF!</f>
        <v>#REF!</v>
      </c>
      <c r="J1066" s="62" t="e">
        <f>#REF!</f>
        <v>#REF!</v>
      </c>
      <c r="K1066" s="62">
        <f>'Прил.№5 ведомств.'!G1015</f>
        <v>4542.6</v>
      </c>
    </row>
    <row r="1067" spans="1:11" ht="31.5">
      <c r="A1067" s="31" t="s">
        <v>172</v>
      </c>
      <c r="B1067" s="42" t="s">
        <v>533</v>
      </c>
      <c r="C1067" s="42" t="s">
        <v>275</v>
      </c>
      <c r="D1067" s="42" t="s">
        <v>382</v>
      </c>
      <c r="E1067" s="42" t="s">
        <v>173</v>
      </c>
      <c r="F1067" s="62" t="e">
        <f aca="true" t="shared" si="344" ref="F1067:K1067">F1068</f>
        <v>#REF!</v>
      </c>
      <c r="G1067" s="62" t="e">
        <f t="shared" si="344"/>
        <v>#REF!</v>
      </c>
      <c r="H1067" s="62" t="e">
        <f t="shared" si="344"/>
        <v>#REF!</v>
      </c>
      <c r="I1067" s="62" t="e">
        <f t="shared" si="344"/>
        <v>#REF!</v>
      </c>
      <c r="J1067" s="62" t="e">
        <f t="shared" si="344"/>
        <v>#REF!</v>
      </c>
      <c r="K1067" s="62">
        <f t="shared" si="344"/>
        <v>597.4000000000001</v>
      </c>
    </row>
    <row r="1068" spans="1:11" ht="47.25">
      <c r="A1068" s="31" t="s">
        <v>174</v>
      </c>
      <c r="B1068" s="42" t="s">
        <v>533</v>
      </c>
      <c r="C1068" s="42" t="s">
        <v>275</v>
      </c>
      <c r="D1068" s="42" t="s">
        <v>382</v>
      </c>
      <c r="E1068" s="42" t="s">
        <v>175</v>
      </c>
      <c r="F1068" s="62" t="e">
        <f>#REF!</f>
        <v>#REF!</v>
      </c>
      <c r="G1068" s="62" t="e">
        <f>#REF!</f>
        <v>#REF!</v>
      </c>
      <c r="H1068" s="62" t="e">
        <f>#REF!</f>
        <v>#REF!</v>
      </c>
      <c r="I1068" s="62" t="e">
        <f>#REF!</f>
        <v>#REF!</v>
      </c>
      <c r="J1068" s="62" t="e">
        <f>#REF!</f>
        <v>#REF!</v>
      </c>
      <c r="K1068" s="62">
        <f>'Прил.№5 ведомств.'!G1017</f>
        <v>597.4000000000001</v>
      </c>
    </row>
    <row r="1069" spans="1:11" ht="15.75">
      <c r="A1069" s="31" t="s">
        <v>176</v>
      </c>
      <c r="B1069" s="42" t="s">
        <v>533</v>
      </c>
      <c r="C1069" s="42" t="s">
        <v>275</v>
      </c>
      <c r="D1069" s="42" t="s">
        <v>382</v>
      </c>
      <c r="E1069" s="42" t="s">
        <v>186</v>
      </c>
      <c r="F1069" s="7" t="e">
        <f aca="true" t="shared" si="345" ref="F1069:K1069">F1070</f>
        <v>#REF!</v>
      </c>
      <c r="G1069" s="7" t="e">
        <f t="shared" si="345"/>
        <v>#REF!</v>
      </c>
      <c r="H1069" s="7" t="e">
        <f t="shared" si="345"/>
        <v>#REF!</v>
      </c>
      <c r="I1069" s="7" t="e">
        <f t="shared" si="345"/>
        <v>#REF!</v>
      </c>
      <c r="J1069" s="7" t="e">
        <f t="shared" si="345"/>
        <v>#REF!</v>
      </c>
      <c r="K1069" s="7">
        <f t="shared" si="345"/>
        <v>51.2</v>
      </c>
    </row>
    <row r="1070" spans="1:11" ht="15.75">
      <c r="A1070" s="31" t="s">
        <v>178</v>
      </c>
      <c r="B1070" s="42" t="s">
        <v>533</v>
      </c>
      <c r="C1070" s="42" t="s">
        <v>275</v>
      </c>
      <c r="D1070" s="42" t="s">
        <v>382</v>
      </c>
      <c r="E1070" s="42" t="s">
        <v>179</v>
      </c>
      <c r="F1070" s="7" t="e">
        <f>#REF!</f>
        <v>#REF!</v>
      </c>
      <c r="G1070" s="7" t="e">
        <f>#REF!</f>
        <v>#REF!</v>
      </c>
      <c r="H1070" s="7" t="e">
        <f>#REF!</f>
        <v>#REF!</v>
      </c>
      <c r="I1070" s="7" t="e">
        <f>#REF!</f>
        <v>#REF!</v>
      </c>
      <c r="J1070" s="7" t="e">
        <f>#REF!</f>
        <v>#REF!</v>
      </c>
      <c r="K1070" s="7">
        <f>'Прил.№5 ведомств.'!G1019</f>
        <v>51.2</v>
      </c>
    </row>
    <row r="1071" spans="1:11" ht="15.75">
      <c r="A1071" s="43" t="s">
        <v>624</v>
      </c>
      <c r="B1071" s="8" t="s">
        <v>279</v>
      </c>
      <c r="C1071" s="42"/>
      <c r="D1071" s="42"/>
      <c r="E1071" s="42"/>
      <c r="F1071" s="4" t="e">
        <f aca="true" t="shared" si="346" ref="F1071:K1071">F1072</f>
        <v>#REF!</v>
      </c>
      <c r="G1071" s="4" t="e">
        <f t="shared" si="346"/>
        <v>#REF!</v>
      </c>
      <c r="H1071" s="4" t="e">
        <f t="shared" si="346"/>
        <v>#REF!</v>
      </c>
      <c r="I1071" s="4" t="e">
        <f t="shared" si="346"/>
        <v>#REF!</v>
      </c>
      <c r="J1071" s="4" t="e">
        <f t="shared" si="346"/>
        <v>#REF!</v>
      </c>
      <c r="K1071" s="4">
        <f t="shared" si="346"/>
        <v>7450.900000000001</v>
      </c>
    </row>
    <row r="1072" spans="1:11" ht="15.75">
      <c r="A1072" s="43" t="s">
        <v>625</v>
      </c>
      <c r="B1072" s="8" t="s">
        <v>279</v>
      </c>
      <c r="C1072" s="8" t="s">
        <v>254</v>
      </c>
      <c r="D1072" s="8"/>
      <c r="E1072" s="8"/>
      <c r="F1072" s="4" t="e">
        <f>F1077</f>
        <v>#REF!</v>
      </c>
      <c r="G1072" s="4" t="e">
        <f>G1077</f>
        <v>#REF!</v>
      </c>
      <c r="H1072" s="4" t="e">
        <f>H1077</f>
        <v>#REF!</v>
      </c>
      <c r="I1072" s="4" t="e">
        <f>I1077</f>
        <v>#REF!</v>
      </c>
      <c r="J1072" s="4" t="e">
        <f>J1077</f>
        <v>#REF!</v>
      </c>
      <c r="K1072" s="4">
        <f>K1077+K1073</f>
        <v>7450.900000000001</v>
      </c>
    </row>
    <row r="1073" spans="1:11" ht="63">
      <c r="A1073" s="31" t="s">
        <v>782</v>
      </c>
      <c r="B1073" s="21" t="s">
        <v>279</v>
      </c>
      <c r="C1073" s="21" t="s">
        <v>254</v>
      </c>
      <c r="D1073" s="21" t="s">
        <v>780</v>
      </c>
      <c r="E1073" s="34"/>
      <c r="F1073" s="4"/>
      <c r="G1073" s="4"/>
      <c r="H1073" s="4"/>
      <c r="I1073" s="4"/>
      <c r="J1073" s="4"/>
      <c r="K1073" s="7">
        <f>K1074</f>
        <v>205</v>
      </c>
    </row>
    <row r="1074" spans="1:11" ht="31.5">
      <c r="A1074" s="120" t="s">
        <v>914</v>
      </c>
      <c r="B1074" s="21" t="s">
        <v>279</v>
      </c>
      <c r="C1074" s="21" t="s">
        <v>254</v>
      </c>
      <c r="D1074" s="21" t="s">
        <v>915</v>
      </c>
      <c r="E1074" s="34"/>
      <c r="F1074" s="4"/>
      <c r="G1074" s="4"/>
      <c r="H1074" s="4"/>
      <c r="I1074" s="4"/>
      <c r="J1074" s="4"/>
      <c r="K1074" s="7">
        <f>K1075</f>
        <v>205</v>
      </c>
    </row>
    <row r="1075" spans="1:11" ht="31.5">
      <c r="A1075" s="26" t="s">
        <v>172</v>
      </c>
      <c r="B1075" s="21" t="s">
        <v>279</v>
      </c>
      <c r="C1075" s="21" t="s">
        <v>254</v>
      </c>
      <c r="D1075" s="21" t="s">
        <v>915</v>
      </c>
      <c r="E1075" s="34" t="s">
        <v>173</v>
      </c>
      <c r="F1075" s="4"/>
      <c r="G1075" s="4"/>
      <c r="H1075" s="4"/>
      <c r="I1075" s="4"/>
      <c r="J1075" s="4"/>
      <c r="K1075" s="7">
        <f>K1076</f>
        <v>205</v>
      </c>
    </row>
    <row r="1076" spans="1:11" ht="47.25">
      <c r="A1076" s="26" t="s">
        <v>174</v>
      </c>
      <c r="B1076" s="21" t="s">
        <v>279</v>
      </c>
      <c r="C1076" s="21" t="s">
        <v>254</v>
      </c>
      <c r="D1076" s="21" t="s">
        <v>915</v>
      </c>
      <c r="E1076" s="34" t="s">
        <v>175</v>
      </c>
      <c r="F1076" s="4"/>
      <c r="G1076" s="4"/>
      <c r="H1076" s="4"/>
      <c r="I1076" s="4"/>
      <c r="J1076" s="4"/>
      <c r="K1076" s="7">
        <f>'Прил.№5 ведомств.'!G1312</f>
        <v>205</v>
      </c>
    </row>
    <row r="1077" spans="1:11" ht="15.75">
      <c r="A1077" s="31" t="s">
        <v>162</v>
      </c>
      <c r="B1077" s="42" t="s">
        <v>279</v>
      </c>
      <c r="C1077" s="42" t="s">
        <v>254</v>
      </c>
      <c r="D1077" s="42" t="s">
        <v>163</v>
      </c>
      <c r="E1077" s="42"/>
      <c r="F1077" s="7" t="e">
        <f aca="true" t="shared" si="347" ref="F1077:K1078">F1078</f>
        <v>#REF!</v>
      </c>
      <c r="G1077" s="7" t="e">
        <f t="shared" si="347"/>
        <v>#REF!</v>
      </c>
      <c r="H1077" s="7" t="e">
        <f t="shared" si="347"/>
        <v>#REF!</v>
      </c>
      <c r="I1077" s="7" t="e">
        <f t="shared" si="347"/>
        <v>#REF!</v>
      </c>
      <c r="J1077" s="7" t="e">
        <f t="shared" si="347"/>
        <v>#REF!</v>
      </c>
      <c r="K1077" s="7">
        <f t="shared" si="347"/>
        <v>7245.900000000001</v>
      </c>
    </row>
    <row r="1078" spans="1:11" ht="31.5">
      <c r="A1078" s="31" t="s">
        <v>626</v>
      </c>
      <c r="B1078" s="42" t="s">
        <v>279</v>
      </c>
      <c r="C1078" s="42" t="s">
        <v>254</v>
      </c>
      <c r="D1078" s="42" t="s">
        <v>627</v>
      </c>
      <c r="E1078" s="42"/>
      <c r="F1078" s="7" t="e">
        <f t="shared" si="347"/>
        <v>#REF!</v>
      </c>
      <c r="G1078" s="7" t="e">
        <f t="shared" si="347"/>
        <v>#REF!</v>
      </c>
      <c r="H1078" s="7" t="e">
        <f t="shared" si="347"/>
        <v>#REF!</v>
      </c>
      <c r="I1078" s="7" t="e">
        <f t="shared" si="347"/>
        <v>#REF!</v>
      </c>
      <c r="J1078" s="7" t="e">
        <f t="shared" si="347"/>
        <v>#REF!</v>
      </c>
      <c r="K1078" s="7">
        <f t="shared" si="347"/>
        <v>7245.900000000001</v>
      </c>
    </row>
    <row r="1079" spans="1:11" ht="15.75">
      <c r="A1079" s="31" t="s">
        <v>990</v>
      </c>
      <c r="B1079" s="42" t="s">
        <v>279</v>
      </c>
      <c r="C1079" s="42" t="s">
        <v>254</v>
      </c>
      <c r="D1079" s="42" t="s">
        <v>628</v>
      </c>
      <c r="E1079" s="42"/>
      <c r="F1079" s="7" t="e">
        <f aca="true" t="shared" si="348" ref="F1079:K1079">F1080+F1082+F1084</f>
        <v>#REF!</v>
      </c>
      <c r="G1079" s="7" t="e">
        <f t="shared" si="348"/>
        <v>#REF!</v>
      </c>
      <c r="H1079" s="7" t="e">
        <f t="shared" si="348"/>
        <v>#REF!</v>
      </c>
      <c r="I1079" s="7" t="e">
        <f t="shared" si="348"/>
        <v>#REF!</v>
      </c>
      <c r="J1079" s="7" t="e">
        <f t="shared" si="348"/>
        <v>#REF!</v>
      </c>
      <c r="K1079" s="7">
        <f t="shared" si="348"/>
        <v>7245.900000000001</v>
      </c>
    </row>
    <row r="1080" spans="1:11" ht="78.75">
      <c r="A1080" s="31" t="s">
        <v>168</v>
      </c>
      <c r="B1080" s="42" t="s">
        <v>279</v>
      </c>
      <c r="C1080" s="42" t="s">
        <v>254</v>
      </c>
      <c r="D1080" s="42" t="s">
        <v>628</v>
      </c>
      <c r="E1080" s="42" t="s">
        <v>169</v>
      </c>
      <c r="F1080" s="62" t="e">
        <f aca="true" t="shared" si="349" ref="F1080:K1080">F1081</f>
        <v>#REF!</v>
      </c>
      <c r="G1080" s="62" t="e">
        <f t="shared" si="349"/>
        <v>#REF!</v>
      </c>
      <c r="H1080" s="62" t="e">
        <f t="shared" si="349"/>
        <v>#REF!</v>
      </c>
      <c r="I1080" s="62" t="e">
        <f t="shared" si="349"/>
        <v>#REF!</v>
      </c>
      <c r="J1080" s="62" t="e">
        <f t="shared" si="349"/>
        <v>#REF!</v>
      </c>
      <c r="K1080" s="62">
        <f t="shared" si="349"/>
        <v>5740</v>
      </c>
    </row>
    <row r="1081" spans="1:11" ht="31.5">
      <c r="A1081" s="31" t="s">
        <v>249</v>
      </c>
      <c r="B1081" s="42" t="s">
        <v>279</v>
      </c>
      <c r="C1081" s="42" t="s">
        <v>254</v>
      </c>
      <c r="D1081" s="42" t="s">
        <v>628</v>
      </c>
      <c r="E1081" s="42" t="s">
        <v>250</v>
      </c>
      <c r="F1081" s="62" t="e">
        <f>#REF!</f>
        <v>#REF!</v>
      </c>
      <c r="G1081" s="62" t="e">
        <f>#REF!</f>
        <v>#REF!</v>
      </c>
      <c r="H1081" s="62" t="e">
        <f>#REF!</f>
        <v>#REF!</v>
      </c>
      <c r="I1081" s="62" t="e">
        <f>#REF!</f>
        <v>#REF!</v>
      </c>
      <c r="J1081" s="62" t="e">
        <f>#REF!</f>
        <v>#REF!</v>
      </c>
      <c r="K1081" s="62">
        <f>'Прил.№5 ведомств.'!G1317</f>
        <v>5740</v>
      </c>
    </row>
    <row r="1082" spans="1:11" ht="31.5">
      <c r="A1082" s="31" t="s">
        <v>172</v>
      </c>
      <c r="B1082" s="42" t="s">
        <v>279</v>
      </c>
      <c r="C1082" s="42" t="s">
        <v>254</v>
      </c>
      <c r="D1082" s="42" t="s">
        <v>628</v>
      </c>
      <c r="E1082" s="42" t="s">
        <v>173</v>
      </c>
      <c r="F1082" s="7" t="e">
        <f aca="true" t="shared" si="350" ref="F1082:K1082">F1083</f>
        <v>#REF!</v>
      </c>
      <c r="G1082" s="7" t="e">
        <f t="shared" si="350"/>
        <v>#REF!</v>
      </c>
      <c r="H1082" s="7" t="e">
        <f t="shared" si="350"/>
        <v>#REF!</v>
      </c>
      <c r="I1082" s="7" t="e">
        <f t="shared" si="350"/>
        <v>#REF!</v>
      </c>
      <c r="J1082" s="7" t="e">
        <f t="shared" si="350"/>
        <v>#REF!</v>
      </c>
      <c r="K1082" s="7">
        <f t="shared" si="350"/>
        <v>1455.8</v>
      </c>
    </row>
    <row r="1083" spans="1:11" ht="47.25">
      <c r="A1083" s="31" t="s">
        <v>174</v>
      </c>
      <c r="B1083" s="42" t="s">
        <v>279</v>
      </c>
      <c r="C1083" s="42" t="s">
        <v>254</v>
      </c>
      <c r="D1083" s="42" t="s">
        <v>628</v>
      </c>
      <c r="E1083" s="42" t="s">
        <v>175</v>
      </c>
      <c r="F1083" s="7" t="e">
        <f>#REF!</f>
        <v>#REF!</v>
      </c>
      <c r="G1083" s="7" t="e">
        <f>#REF!</f>
        <v>#REF!</v>
      </c>
      <c r="H1083" s="7" t="e">
        <f>#REF!</f>
        <v>#REF!</v>
      </c>
      <c r="I1083" s="7" t="e">
        <f>#REF!</f>
        <v>#REF!</v>
      </c>
      <c r="J1083" s="7" t="e">
        <f>#REF!</f>
        <v>#REF!</v>
      </c>
      <c r="K1083" s="7">
        <f>'Прил.№5 ведомств.'!G1319</f>
        <v>1455.8</v>
      </c>
    </row>
    <row r="1084" spans="1:11" ht="15.75">
      <c r="A1084" s="31" t="s">
        <v>176</v>
      </c>
      <c r="B1084" s="42" t="s">
        <v>279</v>
      </c>
      <c r="C1084" s="42" t="s">
        <v>254</v>
      </c>
      <c r="D1084" s="42" t="s">
        <v>628</v>
      </c>
      <c r="E1084" s="42" t="s">
        <v>186</v>
      </c>
      <c r="F1084" s="7" t="e">
        <f aca="true" t="shared" si="351" ref="F1084:K1084">F1085</f>
        <v>#REF!</v>
      </c>
      <c r="G1084" s="7" t="e">
        <f t="shared" si="351"/>
        <v>#REF!</v>
      </c>
      <c r="H1084" s="7" t="e">
        <f t="shared" si="351"/>
        <v>#REF!</v>
      </c>
      <c r="I1084" s="7" t="e">
        <f t="shared" si="351"/>
        <v>#REF!</v>
      </c>
      <c r="J1084" s="7" t="e">
        <f t="shared" si="351"/>
        <v>#REF!</v>
      </c>
      <c r="K1084" s="7">
        <f t="shared" si="351"/>
        <v>50.1</v>
      </c>
    </row>
    <row r="1085" spans="1:11" ht="15.75">
      <c r="A1085" s="31" t="s">
        <v>178</v>
      </c>
      <c r="B1085" s="42" t="s">
        <v>279</v>
      </c>
      <c r="C1085" s="42" t="s">
        <v>254</v>
      </c>
      <c r="D1085" s="42" t="s">
        <v>628</v>
      </c>
      <c r="E1085" s="42" t="s">
        <v>179</v>
      </c>
      <c r="F1085" s="7" t="e">
        <f>#REF!</f>
        <v>#REF!</v>
      </c>
      <c r="G1085" s="7" t="e">
        <f>#REF!</f>
        <v>#REF!</v>
      </c>
      <c r="H1085" s="7" t="e">
        <f>#REF!</f>
        <v>#REF!</v>
      </c>
      <c r="I1085" s="7" t="e">
        <f>#REF!</f>
        <v>#REF!</v>
      </c>
      <c r="J1085" s="7" t="e">
        <f>#REF!</f>
        <v>#REF!</v>
      </c>
      <c r="K1085" s="7">
        <f>'Прил.№5 ведомств.'!G1321</f>
        <v>50.1</v>
      </c>
    </row>
    <row r="1086" spans="1:11" ht="15.75">
      <c r="A1086" s="69" t="s">
        <v>629</v>
      </c>
      <c r="B1086" s="8"/>
      <c r="C1086" s="8"/>
      <c r="D1086" s="8"/>
      <c r="E1086" s="8"/>
      <c r="F1086" s="70" t="e">
        <f aca="true" t="shared" si="352" ref="F1086:K1086">F10+F225+F243+F296+F492+F792+F886+F995+F1071+F214</f>
        <v>#REF!</v>
      </c>
      <c r="G1086" s="70" t="e">
        <f t="shared" si="352"/>
        <v>#REF!</v>
      </c>
      <c r="H1086" s="70" t="e">
        <f t="shared" si="352"/>
        <v>#REF!</v>
      </c>
      <c r="I1086" s="70" t="e">
        <f t="shared" si="352"/>
        <v>#REF!</v>
      </c>
      <c r="J1086" s="70" t="e">
        <f t="shared" si="352"/>
        <v>#REF!</v>
      </c>
      <c r="K1086" s="70">
        <f t="shared" si="352"/>
        <v>810388.3500000001</v>
      </c>
    </row>
    <row r="1087" spans="8:11" ht="15" hidden="1">
      <c r="H1087" t="e">
        <f>#REF!</f>
        <v>#REF!</v>
      </c>
      <c r="I1087" t="e">
        <f>#REF!</f>
        <v>#REF!</v>
      </c>
      <c r="J1087" t="e">
        <f>#REF!</f>
        <v>#REF!</v>
      </c>
      <c r="K1087">
        <f>'Прил.№5 ведомств.'!G1322</f>
        <v>810388.35</v>
      </c>
    </row>
    <row r="1088" spans="8:11" ht="15" hidden="1">
      <c r="H1088" s="23" t="e">
        <f>H1087-H1086</f>
        <v>#REF!</v>
      </c>
      <c r="I1088" s="23" t="e">
        <f>I1087-I1086</f>
        <v>#REF!</v>
      </c>
      <c r="J1088" s="23" t="e">
        <f>J1087-J1086</f>
        <v>#REF!</v>
      </c>
      <c r="K1088" s="23">
        <f>K1087-K1086</f>
        <v>0</v>
      </c>
    </row>
    <row r="1090" ht="15">
      <c r="K1090" s="23"/>
    </row>
  </sheetData>
  <mergeCells count="15">
    <mergeCell ref="D2:K2"/>
    <mergeCell ref="D1:K1"/>
    <mergeCell ref="D3:K3"/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  <rowBreaks count="3" manualBreakCount="3">
    <brk id="849" max="16383" man="1"/>
    <brk id="980" max="16383" man="1"/>
    <brk id="10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6"/>
  <sheetViews>
    <sheetView view="pageBreakPreview" zoomScaleSheetLayoutView="100" workbookViewId="0" topLeftCell="A1307">
      <selection activeCell="W1317" sqref="W1317"/>
    </sheetView>
  </sheetViews>
  <sheetFormatPr defaultColWidth="9.140625" defaultRowHeight="15"/>
  <cols>
    <col min="1" max="1" width="63.8515625" style="260" customWidth="1"/>
    <col min="2" max="2" width="7.00390625" style="260" customWidth="1"/>
    <col min="3" max="3" width="4.28125" style="260" customWidth="1"/>
    <col min="4" max="4" width="4.8515625" style="260" customWidth="1"/>
    <col min="5" max="5" width="12.421875" style="260" customWidth="1"/>
    <col min="6" max="6" width="5.7109375" style="260" customWidth="1"/>
    <col min="7" max="7" width="14.57421875" style="260" customWidth="1"/>
    <col min="8" max="8" width="10.28125" style="351" hidden="1" customWidth="1"/>
    <col min="9" max="9" width="20.00390625" style="280" hidden="1" customWidth="1"/>
    <col min="10" max="10" width="19.7109375" style="286" hidden="1" customWidth="1"/>
    <col min="11" max="16" width="9.140625" style="1" hidden="1" customWidth="1"/>
    <col min="17" max="16384" width="9.140625" style="1" customWidth="1"/>
  </cols>
  <sheetData>
    <row r="1" spans="1:12" ht="18.75">
      <c r="A1" s="299"/>
      <c r="B1" s="299"/>
      <c r="C1" s="299"/>
      <c r="D1" s="299"/>
      <c r="E1" s="437" t="s">
        <v>1258</v>
      </c>
      <c r="F1" s="437"/>
      <c r="G1" s="437"/>
      <c r="H1" s="437"/>
      <c r="I1" s="437"/>
      <c r="J1" s="437"/>
      <c r="K1" s="437"/>
      <c r="L1" s="437"/>
    </row>
    <row r="2" spans="1:12" ht="18.75">
      <c r="A2" s="299"/>
      <c r="B2" s="299"/>
      <c r="C2" s="299"/>
      <c r="D2" s="299"/>
      <c r="E2" s="437" t="s">
        <v>1256</v>
      </c>
      <c r="F2" s="437"/>
      <c r="G2" s="437"/>
      <c r="H2" s="437"/>
      <c r="I2" s="437"/>
      <c r="J2" s="437"/>
      <c r="K2" s="437"/>
      <c r="L2" s="437"/>
    </row>
    <row r="3" spans="1:12" ht="18.75">
      <c r="A3" s="299"/>
      <c r="B3" s="299"/>
      <c r="C3" s="299"/>
      <c r="D3" s="299"/>
      <c r="E3" s="436" t="s">
        <v>1255</v>
      </c>
      <c r="F3" s="436"/>
      <c r="G3" s="436"/>
      <c r="H3" s="436"/>
      <c r="I3" s="436"/>
      <c r="J3" s="436"/>
      <c r="K3" s="436"/>
      <c r="L3" s="436"/>
    </row>
    <row r="4" spans="1:6" ht="15.75">
      <c r="A4" s="413"/>
      <c r="B4" s="413"/>
      <c r="C4" s="413"/>
      <c r="D4" s="413"/>
      <c r="E4" s="413"/>
      <c r="F4" s="413"/>
    </row>
    <row r="5" spans="1:7" ht="15.75" customHeight="1">
      <c r="A5" s="414" t="s">
        <v>1004</v>
      </c>
      <c r="B5" s="414"/>
      <c r="C5" s="414"/>
      <c r="D5" s="414"/>
      <c r="E5" s="414"/>
      <c r="F5" s="414"/>
      <c r="G5" s="414"/>
    </row>
    <row r="6" spans="1:6" ht="15.75">
      <c r="A6" s="300"/>
      <c r="B6" s="300"/>
      <c r="C6" s="300"/>
      <c r="D6" s="300"/>
      <c r="E6" s="300"/>
      <c r="F6" s="300"/>
    </row>
    <row r="7" spans="1:7" ht="15.75">
      <c r="A7" s="301"/>
      <c r="B7" s="301"/>
      <c r="C7" s="301"/>
      <c r="D7" s="301"/>
      <c r="E7" s="301"/>
      <c r="F7" s="301"/>
      <c r="G7" s="302" t="s">
        <v>3</v>
      </c>
    </row>
    <row r="8" spans="1:10" ht="47.25">
      <c r="A8" s="304" t="s">
        <v>151</v>
      </c>
      <c r="B8" s="304" t="s">
        <v>152</v>
      </c>
      <c r="C8" s="305" t="s">
        <v>153</v>
      </c>
      <c r="D8" s="305" t="s">
        <v>154</v>
      </c>
      <c r="E8" s="305" t="s">
        <v>155</v>
      </c>
      <c r="F8" s="305" t="s">
        <v>156</v>
      </c>
      <c r="G8" s="303" t="s">
        <v>998</v>
      </c>
      <c r="J8" s="130"/>
    </row>
    <row r="9" spans="1:10" ht="15.75">
      <c r="A9" s="304">
        <v>1</v>
      </c>
      <c r="B9" s="305">
        <v>2</v>
      </c>
      <c r="C9" s="305">
        <v>3</v>
      </c>
      <c r="D9" s="305">
        <v>4</v>
      </c>
      <c r="E9" s="305">
        <v>5</v>
      </c>
      <c r="F9" s="305">
        <v>6</v>
      </c>
      <c r="G9" s="306">
        <v>7</v>
      </c>
      <c r="J9" s="130"/>
    </row>
    <row r="10" spans="1:10" ht="31.5">
      <c r="A10" s="307" t="s">
        <v>157</v>
      </c>
      <c r="B10" s="308">
        <v>901</v>
      </c>
      <c r="C10" s="296"/>
      <c r="D10" s="296"/>
      <c r="E10" s="296"/>
      <c r="F10" s="296"/>
      <c r="G10" s="309">
        <f>G11</f>
        <v>13519.9</v>
      </c>
      <c r="I10" s="340"/>
      <c r="J10" s="130"/>
    </row>
    <row r="11" spans="1:10" ht="15.75">
      <c r="A11" s="310" t="s">
        <v>158</v>
      </c>
      <c r="B11" s="308">
        <v>901</v>
      </c>
      <c r="C11" s="311" t="s">
        <v>159</v>
      </c>
      <c r="D11" s="296"/>
      <c r="E11" s="296"/>
      <c r="F11" s="296"/>
      <c r="G11" s="309">
        <f>G12+G22</f>
        <v>13519.9</v>
      </c>
      <c r="J11" s="130"/>
    </row>
    <row r="12" spans="1:10" ht="47.25">
      <c r="A12" s="310" t="s">
        <v>160</v>
      </c>
      <c r="B12" s="308">
        <v>901</v>
      </c>
      <c r="C12" s="311" t="s">
        <v>159</v>
      </c>
      <c r="D12" s="311" t="s">
        <v>161</v>
      </c>
      <c r="E12" s="311"/>
      <c r="F12" s="311"/>
      <c r="G12" s="309">
        <f>G13</f>
        <v>13519.9</v>
      </c>
      <c r="J12" s="130"/>
    </row>
    <row r="13" spans="1:10" ht="15.75">
      <c r="A13" s="277" t="s">
        <v>162</v>
      </c>
      <c r="B13" s="295">
        <v>901</v>
      </c>
      <c r="C13" s="296" t="s">
        <v>159</v>
      </c>
      <c r="D13" s="296" t="s">
        <v>161</v>
      </c>
      <c r="E13" s="296" t="s">
        <v>163</v>
      </c>
      <c r="F13" s="296"/>
      <c r="G13" s="297">
        <f>G14</f>
        <v>13519.9</v>
      </c>
      <c r="J13" s="130"/>
    </row>
    <row r="14" spans="1:10" ht="31.5">
      <c r="A14" s="277" t="s">
        <v>164</v>
      </c>
      <c r="B14" s="295">
        <v>901</v>
      </c>
      <c r="C14" s="296" t="s">
        <v>159</v>
      </c>
      <c r="D14" s="296" t="s">
        <v>161</v>
      </c>
      <c r="E14" s="296" t="s">
        <v>165</v>
      </c>
      <c r="F14" s="296"/>
      <c r="G14" s="297">
        <f>G15</f>
        <v>13519.9</v>
      </c>
      <c r="J14" s="130"/>
    </row>
    <row r="15" spans="1:10" ht="31.5">
      <c r="A15" s="277" t="s">
        <v>166</v>
      </c>
      <c r="B15" s="295">
        <v>901</v>
      </c>
      <c r="C15" s="296" t="s">
        <v>159</v>
      </c>
      <c r="D15" s="296" t="s">
        <v>161</v>
      </c>
      <c r="E15" s="296" t="s">
        <v>167</v>
      </c>
      <c r="F15" s="296"/>
      <c r="G15" s="297">
        <f>G16+G18+G20</f>
        <v>13519.9</v>
      </c>
      <c r="J15" s="130"/>
    </row>
    <row r="16" spans="1:10" ht="63">
      <c r="A16" s="277" t="s">
        <v>168</v>
      </c>
      <c r="B16" s="295">
        <v>901</v>
      </c>
      <c r="C16" s="296" t="s">
        <v>159</v>
      </c>
      <c r="D16" s="296" t="s">
        <v>161</v>
      </c>
      <c r="E16" s="296" t="s">
        <v>167</v>
      </c>
      <c r="F16" s="296" t="s">
        <v>169</v>
      </c>
      <c r="G16" s="297">
        <f>G17</f>
        <v>12314.1</v>
      </c>
      <c r="J16" s="130"/>
    </row>
    <row r="17" spans="1:11" ht="31.5">
      <c r="A17" s="277" t="s">
        <v>170</v>
      </c>
      <c r="B17" s="295">
        <v>901</v>
      </c>
      <c r="C17" s="296" t="s">
        <v>159</v>
      </c>
      <c r="D17" s="296" t="s">
        <v>161</v>
      </c>
      <c r="E17" s="296" t="s">
        <v>167</v>
      </c>
      <c r="F17" s="296" t="s">
        <v>171</v>
      </c>
      <c r="G17" s="298">
        <f>12308+1239.7-1013.6-220</f>
        <v>12314.1</v>
      </c>
      <c r="H17" s="352"/>
      <c r="I17" s="338"/>
      <c r="J17" s="281"/>
      <c r="K17" s="130"/>
    </row>
    <row r="18" spans="1:10" ht="31.5">
      <c r="A18" s="277" t="s">
        <v>172</v>
      </c>
      <c r="B18" s="295">
        <v>901</v>
      </c>
      <c r="C18" s="296" t="s">
        <v>159</v>
      </c>
      <c r="D18" s="296" t="s">
        <v>161</v>
      </c>
      <c r="E18" s="296" t="s">
        <v>167</v>
      </c>
      <c r="F18" s="296" t="s">
        <v>173</v>
      </c>
      <c r="G18" s="297">
        <f>G19</f>
        <v>1177.8</v>
      </c>
      <c r="J18" s="130"/>
    </row>
    <row r="19" spans="1:10" ht="31.5">
      <c r="A19" s="277" t="s">
        <v>174</v>
      </c>
      <c r="B19" s="295">
        <v>901</v>
      </c>
      <c r="C19" s="296" t="s">
        <v>159</v>
      </c>
      <c r="D19" s="296" t="s">
        <v>161</v>
      </c>
      <c r="E19" s="296" t="s">
        <v>167</v>
      </c>
      <c r="F19" s="296" t="s">
        <v>175</v>
      </c>
      <c r="G19" s="298">
        <v>1177.8</v>
      </c>
      <c r="J19" s="130"/>
    </row>
    <row r="20" spans="1:10" ht="15.75">
      <c r="A20" s="277" t="s">
        <v>176</v>
      </c>
      <c r="B20" s="295">
        <v>901</v>
      </c>
      <c r="C20" s="296" t="s">
        <v>159</v>
      </c>
      <c r="D20" s="296" t="s">
        <v>161</v>
      </c>
      <c r="E20" s="296" t="s">
        <v>167</v>
      </c>
      <c r="F20" s="296" t="s">
        <v>177</v>
      </c>
      <c r="G20" s="297">
        <f>G21</f>
        <v>28</v>
      </c>
      <c r="J20" s="130"/>
    </row>
    <row r="21" spans="1:10" ht="15.75">
      <c r="A21" s="277" t="s">
        <v>610</v>
      </c>
      <c r="B21" s="295">
        <v>901</v>
      </c>
      <c r="C21" s="296" t="s">
        <v>159</v>
      </c>
      <c r="D21" s="296" t="s">
        <v>161</v>
      </c>
      <c r="E21" s="296" t="s">
        <v>167</v>
      </c>
      <c r="F21" s="296" t="s">
        <v>179</v>
      </c>
      <c r="G21" s="297">
        <v>28</v>
      </c>
      <c r="J21" s="130"/>
    </row>
    <row r="22" spans="1:10" ht="18.75" customHeight="1" hidden="1">
      <c r="A22" s="310" t="s">
        <v>180</v>
      </c>
      <c r="B22" s="308">
        <v>901</v>
      </c>
      <c r="C22" s="311" t="s">
        <v>159</v>
      </c>
      <c r="D22" s="311" t="s">
        <v>181</v>
      </c>
      <c r="E22" s="311"/>
      <c r="F22" s="311"/>
      <c r="G22" s="309">
        <f>G23</f>
        <v>0</v>
      </c>
      <c r="J22" s="130"/>
    </row>
    <row r="23" spans="1:10" ht="15.75" hidden="1">
      <c r="A23" s="277" t="s">
        <v>182</v>
      </c>
      <c r="B23" s="295">
        <v>901</v>
      </c>
      <c r="C23" s="296" t="s">
        <v>159</v>
      </c>
      <c r="D23" s="296" t="s">
        <v>181</v>
      </c>
      <c r="E23" s="296" t="s">
        <v>183</v>
      </c>
      <c r="F23" s="296"/>
      <c r="G23" s="297">
        <f>G24</f>
        <v>0</v>
      </c>
      <c r="J23" s="130"/>
    </row>
    <row r="24" spans="1:10" ht="15.75" hidden="1">
      <c r="A24" s="277" t="s">
        <v>240</v>
      </c>
      <c r="B24" s="295">
        <v>901</v>
      </c>
      <c r="C24" s="296" t="s">
        <v>159</v>
      </c>
      <c r="D24" s="296" t="s">
        <v>181</v>
      </c>
      <c r="E24" s="296" t="s">
        <v>241</v>
      </c>
      <c r="F24" s="296"/>
      <c r="G24" s="297">
        <f>G25</f>
        <v>0</v>
      </c>
      <c r="J24" s="130"/>
    </row>
    <row r="25" spans="1:10" ht="15.75" hidden="1">
      <c r="A25" s="277" t="s">
        <v>176</v>
      </c>
      <c r="B25" s="295">
        <v>901</v>
      </c>
      <c r="C25" s="296" t="s">
        <v>159</v>
      </c>
      <c r="D25" s="296" t="s">
        <v>181</v>
      </c>
      <c r="E25" s="296" t="s">
        <v>241</v>
      </c>
      <c r="F25" s="296" t="s">
        <v>186</v>
      </c>
      <c r="G25" s="297">
        <f>G26</f>
        <v>0</v>
      </c>
      <c r="J25" s="130"/>
    </row>
    <row r="26" spans="1:10" ht="15.75" hidden="1">
      <c r="A26" s="277" t="s">
        <v>1053</v>
      </c>
      <c r="B26" s="295">
        <v>901</v>
      </c>
      <c r="C26" s="296" t="s">
        <v>159</v>
      </c>
      <c r="D26" s="296" t="s">
        <v>181</v>
      </c>
      <c r="E26" s="296" t="s">
        <v>241</v>
      </c>
      <c r="F26" s="296" t="s">
        <v>1054</v>
      </c>
      <c r="G26" s="297">
        <f>18357.9-18357.9</f>
        <v>0</v>
      </c>
      <c r="H26" s="352"/>
      <c r="I26" s="339"/>
      <c r="J26" s="281"/>
    </row>
    <row r="27" spans="1:10" ht="15.75">
      <c r="A27" s="307" t="s">
        <v>189</v>
      </c>
      <c r="B27" s="308">
        <v>902</v>
      </c>
      <c r="C27" s="296"/>
      <c r="D27" s="296"/>
      <c r="E27" s="296"/>
      <c r="F27" s="296"/>
      <c r="G27" s="309">
        <f>G28+G170+G188+G220+G159</f>
        <v>83781.2</v>
      </c>
      <c r="J27" s="130"/>
    </row>
    <row r="28" spans="1:10" ht="15.75">
      <c r="A28" s="310" t="s">
        <v>158</v>
      </c>
      <c r="B28" s="308">
        <v>902</v>
      </c>
      <c r="C28" s="311" t="s">
        <v>159</v>
      </c>
      <c r="D28" s="296"/>
      <c r="E28" s="296"/>
      <c r="F28" s="296"/>
      <c r="G28" s="309">
        <f>G29+G58+G66</f>
        <v>62071</v>
      </c>
      <c r="J28" s="130"/>
    </row>
    <row r="29" spans="1:10" ht="63">
      <c r="A29" s="310" t="s">
        <v>190</v>
      </c>
      <c r="B29" s="308">
        <v>902</v>
      </c>
      <c r="C29" s="311" t="s">
        <v>159</v>
      </c>
      <c r="D29" s="311" t="s">
        <v>191</v>
      </c>
      <c r="E29" s="311"/>
      <c r="F29" s="311"/>
      <c r="G29" s="309">
        <f>G30</f>
        <v>51127.6</v>
      </c>
      <c r="J29" s="130"/>
    </row>
    <row r="30" spans="1:10" ht="15.75">
      <c r="A30" s="277" t="s">
        <v>162</v>
      </c>
      <c r="B30" s="295">
        <v>902</v>
      </c>
      <c r="C30" s="296" t="s">
        <v>159</v>
      </c>
      <c r="D30" s="296" t="s">
        <v>191</v>
      </c>
      <c r="E30" s="296" t="s">
        <v>163</v>
      </c>
      <c r="F30" s="296"/>
      <c r="G30" s="298">
        <f>G31+G52</f>
        <v>51127.6</v>
      </c>
      <c r="J30" s="130"/>
    </row>
    <row r="31" spans="1:10" ht="31.5">
      <c r="A31" s="277" t="s">
        <v>164</v>
      </c>
      <c r="B31" s="295">
        <v>902</v>
      </c>
      <c r="C31" s="296" t="s">
        <v>159</v>
      </c>
      <c r="D31" s="296" t="s">
        <v>191</v>
      </c>
      <c r="E31" s="296" t="s">
        <v>165</v>
      </c>
      <c r="F31" s="296"/>
      <c r="G31" s="298">
        <f>G32+G41+G47+G53+G44</f>
        <v>51127.6</v>
      </c>
      <c r="J31" s="130"/>
    </row>
    <row r="32" spans="1:10" ht="31.5">
      <c r="A32" s="277" t="s">
        <v>166</v>
      </c>
      <c r="B32" s="295">
        <v>902</v>
      </c>
      <c r="C32" s="296" t="s">
        <v>159</v>
      </c>
      <c r="D32" s="296" t="s">
        <v>191</v>
      </c>
      <c r="E32" s="296" t="s">
        <v>167</v>
      </c>
      <c r="F32" s="296"/>
      <c r="G32" s="297">
        <f>G33+G35+G39+G37</f>
        <v>42077.49999999999</v>
      </c>
      <c r="I32" s="340"/>
      <c r="J32" s="130"/>
    </row>
    <row r="33" spans="1:10" ht="63">
      <c r="A33" s="277" t="s">
        <v>168</v>
      </c>
      <c r="B33" s="295">
        <v>902</v>
      </c>
      <c r="C33" s="296" t="s">
        <v>159</v>
      </c>
      <c r="D33" s="296" t="s">
        <v>191</v>
      </c>
      <c r="E33" s="296" t="s">
        <v>167</v>
      </c>
      <c r="F33" s="296" t="s">
        <v>169</v>
      </c>
      <c r="G33" s="297">
        <f>G34</f>
        <v>34600.19999999999</v>
      </c>
      <c r="J33" s="130"/>
    </row>
    <row r="34" spans="1:11" ht="31.5">
      <c r="A34" s="26" t="s">
        <v>170</v>
      </c>
      <c r="B34" s="367">
        <v>902</v>
      </c>
      <c r="C34" s="207" t="s">
        <v>159</v>
      </c>
      <c r="D34" s="207" t="s">
        <v>191</v>
      </c>
      <c r="E34" s="207" t="s">
        <v>167</v>
      </c>
      <c r="F34" s="207" t="s">
        <v>171</v>
      </c>
      <c r="G34" s="28">
        <f>35964.2+85.1-1559.3+5374.6-1280.1-836.3-120+250-1236.4-100-141.6-300-800-700</f>
        <v>34600.19999999999</v>
      </c>
      <c r="H34" s="352" t="s">
        <v>1199</v>
      </c>
      <c r="I34" s="339" t="s">
        <v>1200</v>
      </c>
      <c r="J34" s="130"/>
      <c r="K34" s="291"/>
    </row>
    <row r="35" spans="1:11" ht="31.5">
      <c r="A35" s="26" t="s">
        <v>172</v>
      </c>
      <c r="B35" s="367">
        <v>902</v>
      </c>
      <c r="C35" s="207" t="s">
        <v>159</v>
      </c>
      <c r="D35" s="207" t="s">
        <v>191</v>
      </c>
      <c r="E35" s="207" t="s">
        <v>167</v>
      </c>
      <c r="F35" s="207" t="s">
        <v>173</v>
      </c>
      <c r="G35" s="27">
        <f>G36</f>
        <v>6647</v>
      </c>
      <c r="I35" s="341"/>
      <c r="J35" s="130"/>
      <c r="K35" s="292"/>
    </row>
    <row r="36" spans="1:11" ht="31.5">
      <c r="A36" s="26" t="s">
        <v>174</v>
      </c>
      <c r="B36" s="367">
        <v>902</v>
      </c>
      <c r="C36" s="207" t="s">
        <v>159</v>
      </c>
      <c r="D36" s="207" t="s">
        <v>191</v>
      </c>
      <c r="E36" s="207" t="s">
        <v>167</v>
      </c>
      <c r="F36" s="207" t="s">
        <v>175</v>
      </c>
      <c r="G36" s="28">
        <f>5462.9+144-193.5+1013.6+220</f>
        <v>6647</v>
      </c>
      <c r="H36" s="353"/>
      <c r="I36" s="338"/>
      <c r="J36" s="130"/>
      <c r="K36" s="282"/>
    </row>
    <row r="37" spans="1:11" s="286" customFormat="1" ht="15.75">
      <c r="A37" s="26" t="s">
        <v>289</v>
      </c>
      <c r="B37" s="367">
        <v>902</v>
      </c>
      <c r="C37" s="207" t="s">
        <v>159</v>
      </c>
      <c r="D37" s="207" t="s">
        <v>191</v>
      </c>
      <c r="E37" s="207" t="s">
        <v>167</v>
      </c>
      <c r="F37" s="207" t="s">
        <v>290</v>
      </c>
      <c r="G37" s="28">
        <f>G38</f>
        <v>755</v>
      </c>
      <c r="H37" s="353"/>
      <c r="I37" s="280"/>
      <c r="J37" s="130"/>
      <c r="K37" s="281"/>
    </row>
    <row r="38" spans="1:11" s="286" customFormat="1" ht="31.5">
      <c r="A38" s="26" t="s">
        <v>291</v>
      </c>
      <c r="B38" s="367">
        <v>902</v>
      </c>
      <c r="C38" s="207" t="s">
        <v>159</v>
      </c>
      <c r="D38" s="207" t="s">
        <v>191</v>
      </c>
      <c r="E38" s="207" t="s">
        <v>167</v>
      </c>
      <c r="F38" s="207" t="s">
        <v>292</v>
      </c>
      <c r="G38" s="28">
        <f>300+455</f>
        <v>755</v>
      </c>
      <c r="H38" s="353" t="s">
        <v>1131</v>
      </c>
      <c r="I38" s="313" t="s">
        <v>1131</v>
      </c>
      <c r="J38" s="130"/>
      <c r="K38" s="281"/>
    </row>
    <row r="39" spans="1:12" ht="15.75">
      <c r="A39" s="26" t="s">
        <v>176</v>
      </c>
      <c r="B39" s="367">
        <v>902</v>
      </c>
      <c r="C39" s="207" t="s">
        <v>159</v>
      </c>
      <c r="D39" s="207" t="s">
        <v>191</v>
      </c>
      <c r="E39" s="207" t="s">
        <v>167</v>
      </c>
      <c r="F39" s="207" t="s">
        <v>186</v>
      </c>
      <c r="G39" s="27">
        <f>G40</f>
        <v>75.30000000000001</v>
      </c>
      <c r="J39" s="278"/>
      <c r="L39" s="283"/>
    </row>
    <row r="40" spans="1:10" ht="15.75">
      <c r="A40" s="26" t="s">
        <v>610</v>
      </c>
      <c r="B40" s="367">
        <v>902</v>
      </c>
      <c r="C40" s="207" t="s">
        <v>159</v>
      </c>
      <c r="D40" s="207" t="s">
        <v>191</v>
      </c>
      <c r="E40" s="207" t="s">
        <v>167</v>
      </c>
      <c r="F40" s="207" t="s">
        <v>179</v>
      </c>
      <c r="G40" s="28">
        <f>219.3-144</f>
        <v>75.30000000000001</v>
      </c>
      <c r="H40" s="352"/>
      <c r="I40" s="339"/>
      <c r="J40" s="130"/>
    </row>
    <row r="41" spans="1:10" ht="31.5">
      <c r="A41" s="26" t="s">
        <v>192</v>
      </c>
      <c r="B41" s="367">
        <v>902</v>
      </c>
      <c r="C41" s="207" t="s">
        <v>159</v>
      </c>
      <c r="D41" s="207" t="s">
        <v>191</v>
      </c>
      <c r="E41" s="207" t="s">
        <v>193</v>
      </c>
      <c r="F41" s="207"/>
      <c r="G41" s="27">
        <f>G42</f>
        <v>3727.9</v>
      </c>
      <c r="J41" s="278"/>
    </row>
    <row r="42" spans="1:10" ht="63">
      <c r="A42" s="26" t="s">
        <v>168</v>
      </c>
      <c r="B42" s="367">
        <v>902</v>
      </c>
      <c r="C42" s="207" t="s">
        <v>159</v>
      </c>
      <c r="D42" s="207" t="s">
        <v>191</v>
      </c>
      <c r="E42" s="207" t="s">
        <v>193</v>
      </c>
      <c r="F42" s="207" t="s">
        <v>169</v>
      </c>
      <c r="G42" s="27">
        <f>G43</f>
        <v>3727.9</v>
      </c>
      <c r="J42" s="130"/>
    </row>
    <row r="43" spans="1:10" ht="31.5">
      <c r="A43" s="26" t="s">
        <v>170</v>
      </c>
      <c r="B43" s="367">
        <v>902</v>
      </c>
      <c r="C43" s="207" t="s">
        <v>159</v>
      </c>
      <c r="D43" s="207" t="s">
        <v>191</v>
      </c>
      <c r="E43" s="207" t="s">
        <v>193</v>
      </c>
      <c r="F43" s="207" t="s">
        <v>171</v>
      </c>
      <c r="G43" s="28">
        <f>3545.6+71.3+111</f>
        <v>3727.9</v>
      </c>
      <c r="H43" s="352"/>
      <c r="J43" s="281"/>
    </row>
    <row r="44" spans="1:10" ht="31.5">
      <c r="A44" s="26" t="s">
        <v>194</v>
      </c>
      <c r="B44" s="367">
        <v>902</v>
      </c>
      <c r="C44" s="207" t="s">
        <v>159</v>
      </c>
      <c r="D44" s="207" t="s">
        <v>191</v>
      </c>
      <c r="E44" s="207" t="s">
        <v>987</v>
      </c>
      <c r="F44" s="207"/>
      <c r="G44" s="28">
        <f>G45</f>
        <v>2437.8</v>
      </c>
      <c r="J44" s="278"/>
    </row>
    <row r="45" spans="1:10" ht="63">
      <c r="A45" s="26" t="s">
        <v>168</v>
      </c>
      <c r="B45" s="367">
        <v>902</v>
      </c>
      <c r="C45" s="207" t="s">
        <v>159</v>
      </c>
      <c r="D45" s="207" t="s">
        <v>191</v>
      </c>
      <c r="E45" s="207" t="s">
        <v>987</v>
      </c>
      <c r="F45" s="207" t="s">
        <v>169</v>
      </c>
      <c r="G45" s="28">
        <f>G46</f>
        <v>2437.8</v>
      </c>
      <c r="J45" s="130"/>
    </row>
    <row r="46" spans="1:10" ht="31.5">
      <c r="A46" s="26" t="s">
        <v>170</v>
      </c>
      <c r="B46" s="367">
        <v>902</v>
      </c>
      <c r="C46" s="207" t="s">
        <v>159</v>
      </c>
      <c r="D46" s="207" t="s">
        <v>191</v>
      </c>
      <c r="E46" s="207" t="s">
        <v>987</v>
      </c>
      <c r="F46" s="207" t="s">
        <v>171</v>
      </c>
      <c r="G46" s="298">
        <f>2553.5-63.7-95.5+43.5</f>
        <v>2437.8</v>
      </c>
      <c r="H46" s="352"/>
      <c r="I46" s="339"/>
      <c r="J46" s="281"/>
    </row>
    <row r="47" spans="1:10" ht="31.5">
      <c r="A47" s="26" t="s">
        <v>251</v>
      </c>
      <c r="B47" s="367">
        <v>902</v>
      </c>
      <c r="C47" s="207" t="s">
        <v>159</v>
      </c>
      <c r="D47" s="207" t="s">
        <v>191</v>
      </c>
      <c r="E47" s="207" t="s">
        <v>934</v>
      </c>
      <c r="F47" s="207"/>
      <c r="G47" s="28">
        <f>G48+G50</f>
        <v>2884.3999999999996</v>
      </c>
      <c r="J47" s="278"/>
    </row>
    <row r="48" spans="1:10" ht="63">
      <c r="A48" s="26" t="s">
        <v>168</v>
      </c>
      <c r="B48" s="367">
        <v>902</v>
      </c>
      <c r="C48" s="207" t="s">
        <v>159</v>
      </c>
      <c r="D48" s="207" t="s">
        <v>191</v>
      </c>
      <c r="E48" s="207" t="s">
        <v>934</v>
      </c>
      <c r="F48" s="207" t="s">
        <v>169</v>
      </c>
      <c r="G48" s="28">
        <f>G49</f>
        <v>2269.3999999999996</v>
      </c>
      <c r="J48" s="130"/>
    </row>
    <row r="49" spans="1:10" ht="31.5">
      <c r="A49" s="26" t="s">
        <v>170</v>
      </c>
      <c r="B49" s="367">
        <v>902</v>
      </c>
      <c r="C49" s="207" t="s">
        <v>159</v>
      </c>
      <c r="D49" s="207" t="s">
        <v>191</v>
      </c>
      <c r="E49" s="207" t="s">
        <v>934</v>
      </c>
      <c r="F49" s="207" t="s">
        <v>171</v>
      </c>
      <c r="G49" s="28">
        <f>2326.2-21.4-158+122.6</f>
        <v>2269.3999999999996</v>
      </c>
      <c r="H49" s="354"/>
      <c r="I49" s="339"/>
      <c r="J49" s="281"/>
    </row>
    <row r="50" spans="1:10" ht="31.5">
      <c r="A50" s="26" t="s">
        <v>239</v>
      </c>
      <c r="B50" s="367">
        <v>902</v>
      </c>
      <c r="C50" s="207" t="s">
        <v>159</v>
      </c>
      <c r="D50" s="207" t="s">
        <v>191</v>
      </c>
      <c r="E50" s="207" t="s">
        <v>934</v>
      </c>
      <c r="F50" s="207" t="s">
        <v>173</v>
      </c>
      <c r="G50" s="27">
        <f>G51</f>
        <v>615</v>
      </c>
      <c r="J50" s="278"/>
    </row>
    <row r="51" spans="1:10" ht="31.5">
      <c r="A51" s="26" t="s">
        <v>174</v>
      </c>
      <c r="B51" s="367">
        <v>902</v>
      </c>
      <c r="C51" s="207" t="s">
        <v>159</v>
      </c>
      <c r="D51" s="207" t="s">
        <v>191</v>
      </c>
      <c r="E51" s="207" t="s">
        <v>934</v>
      </c>
      <c r="F51" s="207" t="s">
        <v>175</v>
      </c>
      <c r="G51" s="27">
        <f>625.4-10.4</f>
        <v>615</v>
      </c>
      <c r="H51" s="352"/>
      <c r="J51" s="281"/>
    </row>
    <row r="52" spans="1:10" ht="15.75" hidden="1">
      <c r="A52" s="26" t="s">
        <v>182</v>
      </c>
      <c r="B52" s="367">
        <v>902</v>
      </c>
      <c r="C52" s="207" t="s">
        <v>159</v>
      </c>
      <c r="D52" s="207" t="s">
        <v>191</v>
      </c>
      <c r="E52" s="207" t="s">
        <v>183</v>
      </c>
      <c r="F52" s="207"/>
      <c r="G52" s="30">
        <f>G53</f>
        <v>0</v>
      </c>
      <c r="J52" s="278"/>
    </row>
    <row r="53" spans="1:10" ht="31.5" hidden="1">
      <c r="A53" s="26" t="s">
        <v>194</v>
      </c>
      <c r="B53" s="367">
        <v>902</v>
      </c>
      <c r="C53" s="207" t="s">
        <v>159</v>
      </c>
      <c r="D53" s="207" t="s">
        <v>191</v>
      </c>
      <c r="E53" s="207" t="s">
        <v>195</v>
      </c>
      <c r="F53" s="207"/>
      <c r="G53" s="27">
        <f>G54+G56</f>
        <v>0</v>
      </c>
      <c r="J53" s="130"/>
    </row>
    <row r="54" spans="1:10" ht="63" hidden="1">
      <c r="A54" s="26" t="s">
        <v>168</v>
      </c>
      <c r="B54" s="367">
        <v>902</v>
      </c>
      <c r="C54" s="207" t="s">
        <v>159</v>
      </c>
      <c r="D54" s="207" t="s">
        <v>191</v>
      </c>
      <c r="E54" s="207" t="s">
        <v>195</v>
      </c>
      <c r="F54" s="207" t="s">
        <v>169</v>
      </c>
      <c r="G54" s="27">
        <f>G55</f>
        <v>0</v>
      </c>
      <c r="J54" s="130"/>
    </row>
    <row r="55" spans="1:10" ht="31.5" hidden="1">
      <c r="A55" s="26" t="s">
        <v>170</v>
      </c>
      <c r="B55" s="367">
        <v>902</v>
      </c>
      <c r="C55" s="207" t="s">
        <v>159</v>
      </c>
      <c r="D55" s="207" t="s">
        <v>191</v>
      </c>
      <c r="E55" s="207" t="s">
        <v>195</v>
      </c>
      <c r="F55" s="207" t="s">
        <v>171</v>
      </c>
      <c r="G55" s="28">
        <v>0</v>
      </c>
      <c r="J55" s="130"/>
    </row>
    <row r="56" spans="1:10" ht="31.5" hidden="1">
      <c r="A56" s="26" t="s">
        <v>172</v>
      </c>
      <c r="B56" s="367">
        <v>902</v>
      </c>
      <c r="C56" s="207" t="s">
        <v>159</v>
      </c>
      <c r="D56" s="207" t="s">
        <v>191</v>
      </c>
      <c r="E56" s="207" t="s">
        <v>195</v>
      </c>
      <c r="F56" s="207" t="s">
        <v>173</v>
      </c>
      <c r="G56" s="27">
        <f>G57</f>
        <v>0</v>
      </c>
      <c r="J56" s="130"/>
    </row>
    <row r="57" spans="1:10" ht="31.5" hidden="1">
      <c r="A57" s="26" t="s">
        <v>174</v>
      </c>
      <c r="B57" s="367">
        <v>902</v>
      </c>
      <c r="C57" s="207" t="s">
        <v>159</v>
      </c>
      <c r="D57" s="207" t="s">
        <v>191</v>
      </c>
      <c r="E57" s="207" t="s">
        <v>195</v>
      </c>
      <c r="F57" s="207" t="s">
        <v>175</v>
      </c>
      <c r="G57" s="28">
        <v>0</v>
      </c>
      <c r="J57" s="130"/>
    </row>
    <row r="58" spans="1:10" ht="47.25">
      <c r="A58" s="24" t="s">
        <v>160</v>
      </c>
      <c r="B58" s="382">
        <v>902</v>
      </c>
      <c r="C58" s="383" t="s">
        <v>159</v>
      </c>
      <c r="D58" s="383" t="s">
        <v>161</v>
      </c>
      <c r="E58" s="383"/>
      <c r="F58" s="207"/>
      <c r="G58" s="22">
        <f>G59</f>
        <v>1238.5</v>
      </c>
      <c r="J58" s="278"/>
    </row>
    <row r="59" spans="1:10" ht="21" customHeight="1">
      <c r="A59" s="26" t="s">
        <v>162</v>
      </c>
      <c r="B59" s="367">
        <v>902</v>
      </c>
      <c r="C59" s="207" t="s">
        <v>159</v>
      </c>
      <c r="D59" s="207" t="s">
        <v>161</v>
      </c>
      <c r="E59" s="207" t="s">
        <v>163</v>
      </c>
      <c r="F59" s="207"/>
      <c r="G59" s="27">
        <f>G60</f>
        <v>1238.5</v>
      </c>
      <c r="J59" s="130"/>
    </row>
    <row r="60" spans="1:10" ht="31.5">
      <c r="A60" s="26" t="s">
        <v>164</v>
      </c>
      <c r="B60" s="367">
        <v>902</v>
      </c>
      <c r="C60" s="207" t="s">
        <v>159</v>
      </c>
      <c r="D60" s="207" t="s">
        <v>161</v>
      </c>
      <c r="E60" s="207" t="s">
        <v>165</v>
      </c>
      <c r="F60" s="207"/>
      <c r="G60" s="27">
        <f>G61</f>
        <v>1238.5</v>
      </c>
      <c r="J60" s="130"/>
    </row>
    <row r="61" spans="1:10" ht="31.5">
      <c r="A61" s="26" t="s">
        <v>166</v>
      </c>
      <c r="B61" s="367">
        <v>902</v>
      </c>
      <c r="C61" s="207" t="s">
        <v>159</v>
      </c>
      <c r="D61" s="207" t="s">
        <v>161</v>
      </c>
      <c r="E61" s="207" t="s">
        <v>167</v>
      </c>
      <c r="F61" s="207"/>
      <c r="G61" s="27">
        <f>G62+G64</f>
        <v>1238.5</v>
      </c>
      <c r="J61" s="130"/>
    </row>
    <row r="62" spans="1:10" ht="63">
      <c r="A62" s="26" t="s">
        <v>168</v>
      </c>
      <c r="B62" s="367">
        <v>902</v>
      </c>
      <c r="C62" s="207" t="s">
        <v>159</v>
      </c>
      <c r="D62" s="207" t="s">
        <v>161</v>
      </c>
      <c r="E62" s="207" t="s">
        <v>167</v>
      </c>
      <c r="F62" s="207" t="s">
        <v>169</v>
      </c>
      <c r="G62" s="27">
        <f>G63</f>
        <v>1238.5</v>
      </c>
      <c r="J62" s="130"/>
    </row>
    <row r="63" spans="1:10" ht="31.5">
      <c r="A63" s="26" t="s">
        <v>170</v>
      </c>
      <c r="B63" s="367">
        <v>902</v>
      </c>
      <c r="C63" s="207" t="s">
        <v>159</v>
      </c>
      <c r="D63" s="207" t="s">
        <v>161</v>
      </c>
      <c r="E63" s="207" t="s">
        <v>167</v>
      </c>
      <c r="F63" s="207" t="s">
        <v>171</v>
      </c>
      <c r="G63" s="28">
        <f>1081.7+9.4+1602.4-455-800-200</f>
        <v>1238.5</v>
      </c>
      <c r="H63" s="352" t="s">
        <v>1198</v>
      </c>
      <c r="I63" s="280" t="s">
        <v>1197</v>
      </c>
      <c r="J63" s="281"/>
    </row>
    <row r="64" spans="1:10" ht="31.5" customHeight="1" hidden="1">
      <c r="A64" s="26" t="s">
        <v>172</v>
      </c>
      <c r="B64" s="367">
        <v>902</v>
      </c>
      <c r="C64" s="207" t="s">
        <v>159</v>
      </c>
      <c r="D64" s="207" t="s">
        <v>161</v>
      </c>
      <c r="E64" s="207" t="s">
        <v>167</v>
      </c>
      <c r="F64" s="207" t="s">
        <v>173</v>
      </c>
      <c r="G64" s="28">
        <f>G65</f>
        <v>0</v>
      </c>
      <c r="J64" s="278"/>
    </row>
    <row r="65" spans="1:10" ht="47.25" customHeight="1" hidden="1">
      <c r="A65" s="26" t="s">
        <v>174</v>
      </c>
      <c r="B65" s="367">
        <v>902</v>
      </c>
      <c r="C65" s="207" t="s">
        <v>159</v>
      </c>
      <c r="D65" s="207" t="s">
        <v>161</v>
      </c>
      <c r="E65" s="207" t="s">
        <v>167</v>
      </c>
      <c r="F65" s="207" t="s">
        <v>175</v>
      </c>
      <c r="G65" s="28"/>
      <c r="J65" s="130"/>
    </row>
    <row r="66" spans="1:10" ht="15.75">
      <c r="A66" s="24" t="s">
        <v>180</v>
      </c>
      <c r="B66" s="382">
        <v>902</v>
      </c>
      <c r="C66" s="383" t="s">
        <v>159</v>
      </c>
      <c r="D66" s="383" t="s">
        <v>181</v>
      </c>
      <c r="E66" s="383"/>
      <c r="F66" s="383"/>
      <c r="G66" s="22">
        <f>G67+G71+G87+G105+G91+G101+G166</f>
        <v>9704.900000000001</v>
      </c>
      <c r="H66" s="353"/>
      <c r="I66" s="340"/>
      <c r="J66" s="130"/>
    </row>
    <row r="67" spans="1:10" ht="51" customHeight="1" hidden="1">
      <c r="A67" s="26" t="s">
        <v>196</v>
      </c>
      <c r="B67" s="367">
        <v>902</v>
      </c>
      <c r="C67" s="207" t="s">
        <v>159</v>
      </c>
      <c r="D67" s="207" t="s">
        <v>181</v>
      </c>
      <c r="E67" s="207" t="s">
        <v>197</v>
      </c>
      <c r="F67" s="207"/>
      <c r="G67" s="27">
        <f>G68</f>
        <v>0</v>
      </c>
      <c r="J67" s="130"/>
    </row>
    <row r="68" spans="1:10" ht="31.5" hidden="1">
      <c r="A68" s="26" t="s">
        <v>198</v>
      </c>
      <c r="B68" s="367">
        <v>902</v>
      </c>
      <c r="C68" s="207" t="s">
        <v>159</v>
      </c>
      <c r="D68" s="207" t="s">
        <v>181</v>
      </c>
      <c r="E68" s="207" t="s">
        <v>199</v>
      </c>
      <c r="F68" s="207"/>
      <c r="G68" s="27">
        <f>G69</f>
        <v>0</v>
      </c>
      <c r="J68" s="130"/>
    </row>
    <row r="69" spans="1:10" ht="15.75" hidden="1">
      <c r="A69" s="26" t="s">
        <v>176</v>
      </c>
      <c r="B69" s="367">
        <v>902</v>
      </c>
      <c r="C69" s="207" t="s">
        <v>159</v>
      </c>
      <c r="D69" s="207" t="s">
        <v>181</v>
      </c>
      <c r="E69" s="207" t="s">
        <v>199</v>
      </c>
      <c r="F69" s="207" t="s">
        <v>186</v>
      </c>
      <c r="G69" s="27">
        <f>G70</f>
        <v>0</v>
      </c>
      <c r="J69" s="130"/>
    </row>
    <row r="70" spans="1:10" ht="66.75" customHeight="1" hidden="1">
      <c r="A70" s="26" t="s">
        <v>200</v>
      </c>
      <c r="B70" s="367">
        <v>902</v>
      </c>
      <c r="C70" s="207" t="s">
        <v>159</v>
      </c>
      <c r="D70" s="207" t="s">
        <v>181</v>
      </c>
      <c r="E70" s="207" t="s">
        <v>199</v>
      </c>
      <c r="F70" s="207" t="s">
        <v>201</v>
      </c>
      <c r="G70" s="27">
        <v>0</v>
      </c>
      <c r="J70" s="278"/>
    </row>
    <row r="71" spans="1:10" ht="31.5">
      <c r="A71" s="26" t="s">
        <v>966</v>
      </c>
      <c r="B71" s="367">
        <v>902</v>
      </c>
      <c r="C71" s="207" t="s">
        <v>159</v>
      </c>
      <c r="D71" s="207" t="s">
        <v>181</v>
      </c>
      <c r="E71" s="207" t="s">
        <v>203</v>
      </c>
      <c r="F71" s="207"/>
      <c r="G71" s="27">
        <f>G72+G75+G80</f>
        <v>740.5</v>
      </c>
      <c r="J71" s="130"/>
    </row>
    <row r="72" spans="1:10" ht="15.75">
      <c r="A72" s="31" t="s">
        <v>204</v>
      </c>
      <c r="B72" s="367">
        <v>902</v>
      </c>
      <c r="C72" s="207" t="s">
        <v>159</v>
      </c>
      <c r="D72" s="207" t="s">
        <v>181</v>
      </c>
      <c r="E72" s="377" t="s">
        <v>205</v>
      </c>
      <c r="F72" s="207"/>
      <c r="G72" s="27">
        <f>G73</f>
        <v>491</v>
      </c>
      <c r="J72" s="130"/>
    </row>
    <row r="73" spans="1:10" ht="31.5">
      <c r="A73" s="26" t="s">
        <v>172</v>
      </c>
      <c r="B73" s="367">
        <v>902</v>
      </c>
      <c r="C73" s="207" t="s">
        <v>159</v>
      </c>
      <c r="D73" s="207" t="s">
        <v>181</v>
      </c>
      <c r="E73" s="377" t="s">
        <v>205</v>
      </c>
      <c r="F73" s="207" t="s">
        <v>173</v>
      </c>
      <c r="G73" s="27">
        <f>G74</f>
        <v>491</v>
      </c>
      <c r="J73" s="130"/>
    </row>
    <row r="74" spans="1:10" ht="31.5">
      <c r="A74" s="26" t="s">
        <v>174</v>
      </c>
      <c r="B74" s="367">
        <v>902</v>
      </c>
      <c r="C74" s="207" t="s">
        <v>159</v>
      </c>
      <c r="D74" s="207" t="s">
        <v>181</v>
      </c>
      <c r="E74" s="377" t="s">
        <v>205</v>
      </c>
      <c r="F74" s="207" t="s">
        <v>175</v>
      </c>
      <c r="G74" s="27">
        <f>428.1+62.9</f>
        <v>491</v>
      </c>
      <c r="J74" s="130"/>
    </row>
    <row r="75" spans="1:10" ht="47.25">
      <c r="A75" s="203" t="s">
        <v>206</v>
      </c>
      <c r="B75" s="367">
        <v>902</v>
      </c>
      <c r="C75" s="207" t="s">
        <v>159</v>
      </c>
      <c r="D75" s="207" t="s">
        <v>181</v>
      </c>
      <c r="E75" s="377" t="s">
        <v>207</v>
      </c>
      <c r="F75" s="207"/>
      <c r="G75" s="27">
        <f>G76+G78</f>
        <v>249</v>
      </c>
      <c r="J75" s="130"/>
    </row>
    <row r="76" spans="1:10" ht="63">
      <c r="A76" s="26" t="s">
        <v>168</v>
      </c>
      <c r="B76" s="367">
        <v>902</v>
      </c>
      <c r="C76" s="207" t="s">
        <v>159</v>
      </c>
      <c r="D76" s="207" t="s">
        <v>181</v>
      </c>
      <c r="E76" s="377" t="s">
        <v>207</v>
      </c>
      <c r="F76" s="207" t="s">
        <v>169</v>
      </c>
      <c r="G76" s="27">
        <f>G77</f>
        <v>159.7</v>
      </c>
      <c r="J76" s="130"/>
    </row>
    <row r="77" spans="1:10" ht="31.5">
      <c r="A77" s="26" t="s">
        <v>170</v>
      </c>
      <c r="B77" s="367">
        <v>902</v>
      </c>
      <c r="C77" s="207" t="s">
        <v>159</v>
      </c>
      <c r="D77" s="207" t="s">
        <v>181</v>
      </c>
      <c r="E77" s="377" t="s">
        <v>207</v>
      </c>
      <c r="F77" s="207" t="s">
        <v>171</v>
      </c>
      <c r="G77" s="27">
        <v>159.7</v>
      </c>
      <c r="J77" s="130"/>
    </row>
    <row r="78" spans="1:10" ht="31.5">
      <c r="A78" s="26" t="s">
        <v>172</v>
      </c>
      <c r="B78" s="367">
        <v>902</v>
      </c>
      <c r="C78" s="207" t="s">
        <v>159</v>
      </c>
      <c r="D78" s="207" t="s">
        <v>181</v>
      </c>
      <c r="E78" s="377" t="s">
        <v>207</v>
      </c>
      <c r="F78" s="207" t="s">
        <v>173</v>
      </c>
      <c r="G78" s="27">
        <f>G79</f>
        <v>89.30000000000001</v>
      </c>
      <c r="J78" s="130"/>
    </row>
    <row r="79" spans="1:10" ht="31.5">
      <c r="A79" s="26" t="s">
        <v>174</v>
      </c>
      <c r="B79" s="367">
        <v>902</v>
      </c>
      <c r="C79" s="207" t="s">
        <v>159</v>
      </c>
      <c r="D79" s="207" t="s">
        <v>181</v>
      </c>
      <c r="E79" s="377" t="s">
        <v>207</v>
      </c>
      <c r="F79" s="207" t="s">
        <v>175</v>
      </c>
      <c r="G79" s="27">
        <f>65.2+24.6-0.5</f>
        <v>89.30000000000001</v>
      </c>
      <c r="H79" s="352"/>
      <c r="J79" s="130"/>
    </row>
    <row r="80" spans="1:10" ht="31.5">
      <c r="A80" s="33" t="s">
        <v>232</v>
      </c>
      <c r="B80" s="367">
        <v>902</v>
      </c>
      <c r="C80" s="207" t="s">
        <v>159</v>
      </c>
      <c r="D80" s="207" t="s">
        <v>181</v>
      </c>
      <c r="E80" s="377" t="s">
        <v>747</v>
      </c>
      <c r="F80" s="207"/>
      <c r="G80" s="27">
        <f>G81</f>
        <v>0.5</v>
      </c>
      <c r="J80" s="130"/>
    </row>
    <row r="81" spans="1:10" ht="31.5">
      <c r="A81" s="26" t="s">
        <v>172</v>
      </c>
      <c r="B81" s="367">
        <v>902</v>
      </c>
      <c r="C81" s="207" t="s">
        <v>159</v>
      </c>
      <c r="D81" s="207" t="s">
        <v>181</v>
      </c>
      <c r="E81" s="377" t="s">
        <v>747</v>
      </c>
      <c r="F81" s="207" t="s">
        <v>173</v>
      </c>
      <c r="G81" s="27">
        <f>G82</f>
        <v>0.5</v>
      </c>
      <c r="J81" s="130"/>
    </row>
    <row r="82" spans="1:10" ht="31.5">
      <c r="A82" s="26" t="s">
        <v>174</v>
      </c>
      <c r="B82" s="367">
        <v>902</v>
      </c>
      <c r="C82" s="207" t="s">
        <v>159</v>
      </c>
      <c r="D82" s="207" t="s">
        <v>181</v>
      </c>
      <c r="E82" s="377" t="s">
        <v>747</v>
      </c>
      <c r="F82" s="207" t="s">
        <v>175</v>
      </c>
      <c r="G82" s="27">
        <v>0.5</v>
      </c>
      <c r="H82" s="352"/>
      <c r="J82" s="130"/>
    </row>
    <row r="83" spans="1:10" ht="31.5" hidden="1">
      <c r="A83" s="26" t="s">
        <v>218</v>
      </c>
      <c r="B83" s="367">
        <v>902</v>
      </c>
      <c r="C83" s="384" t="s">
        <v>159</v>
      </c>
      <c r="D83" s="384" t="s">
        <v>181</v>
      </c>
      <c r="E83" s="385" t="s">
        <v>219</v>
      </c>
      <c r="F83" s="384"/>
      <c r="G83" s="27">
        <f>G84</f>
        <v>0</v>
      </c>
      <c r="J83" s="130"/>
    </row>
    <row r="84" spans="1:10" ht="15.75" hidden="1">
      <c r="A84" s="47" t="s">
        <v>220</v>
      </c>
      <c r="B84" s="367">
        <v>902</v>
      </c>
      <c r="C84" s="384" t="s">
        <v>159</v>
      </c>
      <c r="D84" s="384" t="s">
        <v>181</v>
      </c>
      <c r="E84" s="385" t="s">
        <v>221</v>
      </c>
      <c r="F84" s="384"/>
      <c r="G84" s="27">
        <f>G85</f>
        <v>0</v>
      </c>
      <c r="J84" s="130"/>
    </row>
    <row r="85" spans="1:10" ht="31.5" hidden="1">
      <c r="A85" s="26" t="s">
        <v>172</v>
      </c>
      <c r="B85" s="367">
        <v>902</v>
      </c>
      <c r="C85" s="384" t="s">
        <v>159</v>
      </c>
      <c r="D85" s="384" t="s">
        <v>181</v>
      </c>
      <c r="E85" s="385" t="s">
        <v>221</v>
      </c>
      <c r="F85" s="384" t="s">
        <v>173</v>
      </c>
      <c r="G85" s="27">
        <f>G86</f>
        <v>0</v>
      </c>
      <c r="J85" s="130"/>
    </row>
    <row r="86" spans="1:10" ht="31.5" hidden="1">
      <c r="A86" s="26" t="s">
        <v>174</v>
      </c>
      <c r="B86" s="367">
        <v>902</v>
      </c>
      <c r="C86" s="384" t="s">
        <v>159</v>
      </c>
      <c r="D86" s="384" t="s">
        <v>181</v>
      </c>
      <c r="E86" s="385" t="s">
        <v>221</v>
      </c>
      <c r="F86" s="384" t="s">
        <v>175</v>
      </c>
      <c r="G86" s="27">
        <v>0</v>
      </c>
      <c r="J86" s="130"/>
    </row>
    <row r="87" spans="1:10" ht="47.25" hidden="1">
      <c r="A87" s="33" t="s">
        <v>222</v>
      </c>
      <c r="B87" s="367">
        <v>902</v>
      </c>
      <c r="C87" s="207" t="s">
        <v>159</v>
      </c>
      <c r="D87" s="207" t="s">
        <v>181</v>
      </c>
      <c r="E87" s="385" t="s">
        <v>223</v>
      </c>
      <c r="F87" s="386"/>
      <c r="G87" s="27">
        <f>G88</f>
        <v>0</v>
      </c>
      <c r="J87" s="130"/>
    </row>
    <row r="88" spans="1:10" ht="31.5" hidden="1">
      <c r="A88" s="26" t="s">
        <v>198</v>
      </c>
      <c r="B88" s="367">
        <v>902</v>
      </c>
      <c r="C88" s="207" t="s">
        <v>159</v>
      </c>
      <c r="D88" s="207" t="s">
        <v>181</v>
      </c>
      <c r="E88" s="207" t="s">
        <v>224</v>
      </c>
      <c r="F88" s="386"/>
      <c r="G88" s="27">
        <f>G89</f>
        <v>0</v>
      </c>
      <c r="J88" s="130"/>
    </row>
    <row r="89" spans="1:10" ht="15.75" hidden="1">
      <c r="A89" s="31" t="s">
        <v>176</v>
      </c>
      <c r="B89" s="367">
        <v>902</v>
      </c>
      <c r="C89" s="207" t="s">
        <v>159</v>
      </c>
      <c r="D89" s="207" t="s">
        <v>181</v>
      </c>
      <c r="E89" s="207" t="s">
        <v>224</v>
      </c>
      <c r="F89" s="386" t="s">
        <v>186</v>
      </c>
      <c r="G89" s="27">
        <f>G90</f>
        <v>0</v>
      </c>
      <c r="J89" s="130"/>
    </row>
    <row r="90" spans="1:10" ht="51.75" customHeight="1" hidden="1">
      <c r="A90" s="31" t="s">
        <v>225</v>
      </c>
      <c r="B90" s="367">
        <v>902</v>
      </c>
      <c r="C90" s="207" t="s">
        <v>159</v>
      </c>
      <c r="D90" s="207" t="s">
        <v>181</v>
      </c>
      <c r="E90" s="207" t="s">
        <v>224</v>
      </c>
      <c r="F90" s="386" t="s">
        <v>201</v>
      </c>
      <c r="G90" s="27">
        <v>0</v>
      </c>
      <c r="J90" s="130"/>
    </row>
    <row r="91" spans="1:10" ht="47.25">
      <c r="A91" s="31" t="s">
        <v>921</v>
      </c>
      <c r="B91" s="367">
        <v>902</v>
      </c>
      <c r="C91" s="207" t="s">
        <v>159</v>
      </c>
      <c r="D91" s="207" t="s">
        <v>181</v>
      </c>
      <c r="E91" s="207" t="s">
        <v>780</v>
      </c>
      <c r="F91" s="386"/>
      <c r="G91" s="27">
        <f>G92+G98</f>
        <v>40</v>
      </c>
      <c r="J91" s="130"/>
    </row>
    <row r="92" spans="1:10" ht="31.5">
      <c r="A92" s="120" t="s">
        <v>911</v>
      </c>
      <c r="B92" s="367">
        <v>902</v>
      </c>
      <c r="C92" s="207" t="s">
        <v>159</v>
      </c>
      <c r="D92" s="207" t="s">
        <v>181</v>
      </c>
      <c r="E92" s="207" t="s">
        <v>910</v>
      </c>
      <c r="F92" s="386"/>
      <c r="G92" s="27">
        <f>G93</f>
        <v>25</v>
      </c>
      <c r="J92" s="130"/>
    </row>
    <row r="93" spans="1:10" ht="31.5">
      <c r="A93" s="26" t="s">
        <v>172</v>
      </c>
      <c r="B93" s="367">
        <v>902</v>
      </c>
      <c r="C93" s="207" t="s">
        <v>159</v>
      </c>
      <c r="D93" s="207" t="s">
        <v>181</v>
      </c>
      <c r="E93" s="207" t="s">
        <v>910</v>
      </c>
      <c r="F93" s="386" t="s">
        <v>173</v>
      </c>
      <c r="G93" s="27">
        <f>G94</f>
        <v>25</v>
      </c>
      <c r="J93" s="130"/>
    </row>
    <row r="94" spans="1:10" ht="31.5">
      <c r="A94" s="26" t="s">
        <v>174</v>
      </c>
      <c r="B94" s="367">
        <v>902</v>
      </c>
      <c r="C94" s="207" t="s">
        <v>159</v>
      </c>
      <c r="D94" s="207" t="s">
        <v>181</v>
      </c>
      <c r="E94" s="207" t="s">
        <v>910</v>
      </c>
      <c r="F94" s="386" t="s">
        <v>175</v>
      </c>
      <c r="G94" s="27">
        <v>25</v>
      </c>
      <c r="J94" s="130"/>
    </row>
    <row r="95" spans="1:10" ht="15.75" customHeight="1" hidden="1">
      <c r="A95" s="31"/>
      <c r="B95" s="367"/>
      <c r="C95" s="207"/>
      <c r="D95" s="207"/>
      <c r="E95" s="207"/>
      <c r="F95" s="386"/>
      <c r="G95" s="27"/>
      <c r="J95" s="130"/>
    </row>
    <row r="96" spans="1:10" ht="15.75" customHeight="1" hidden="1">
      <c r="A96" s="26"/>
      <c r="B96" s="367"/>
      <c r="C96" s="207"/>
      <c r="D96" s="207"/>
      <c r="E96" s="207"/>
      <c r="F96" s="386"/>
      <c r="G96" s="27"/>
      <c r="J96" s="130"/>
    </row>
    <row r="97" spans="1:10" ht="15.75" customHeight="1" hidden="1">
      <c r="A97" s="26"/>
      <c r="B97" s="367"/>
      <c r="C97" s="207"/>
      <c r="D97" s="207"/>
      <c r="E97" s="207"/>
      <c r="F97" s="386"/>
      <c r="G97" s="27"/>
      <c r="J97" s="130"/>
    </row>
    <row r="98" spans="1:10" ht="34.5" customHeight="1">
      <c r="A98" s="120" t="s">
        <v>913</v>
      </c>
      <c r="B98" s="367">
        <v>902</v>
      </c>
      <c r="C98" s="207" t="s">
        <v>159</v>
      </c>
      <c r="D98" s="207" t="s">
        <v>181</v>
      </c>
      <c r="E98" s="207" t="s">
        <v>912</v>
      </c>
      <c r="F98" s="386"/>
      <c r="G98" s="27">
        <f>G99</f>
        <v>15</v>
      </c>
      <c r="J98" s="130"/>
    </row>
    <row r="99" spans="1:10" ht="31.5" customHeight="1">
      <c r="A99" s="26" t="s">
        <v>172</v>
      </c>
      <c r="B99" s="367">
        <v>902</v>
      </c>
      <c r="C99" s="207" t="s">
        <v>159</v>
      </c>
      <c r="D99" s="207" t="s">
        <v>181</v>
      </c>
      <c r="E99" s="207" t="s">
        <v>912</v>
      </c>
      <c r="F99" s="386" t="s">
        <v>173</v>
      </c>
      <c r="G99" s="27">
        <f>G100</f>
        <v>15</v>
      </c>
      <c r="J99" s="130"/>
    </row>
    <row r="100" spans="1:10" ht="32.25" customHeight="1">
      <c r="A100" s="26" t="s">
        <v>174</v>
      </c>
      <c r="B100" s="367">
        <v>902</v>
      </c>
      <c r="C100" s="207" t="s">
        <v>159</v>
      </c>
      <c r="D100" s="207" t="s">
        <v>181</v>
      </c>
      <c r="E100" s="207" t="s">
        <v>912</v>
      </c>
      <c r="F100" s="386" t="s">
        <v>175</v>
      </c>
      <c r="G100" s="27">
        <v>15</v>
      </c>
      <c r="J100" s="130"/>
    </row>
    <row r="101" spans="1:10" ht="68.25" customHeight="1">
      <c r="A101" s="31" t="s">
        <v>1046</v>
      </c>
      <c r="B101" s="367">
        <v>902</v>
      </c>
      <c r="C101" s="384" t="s">
        <v>159</v>
      </c>
      <c r="D101" s="384" t="s">
        <v>181</v>
      </c>
      <c r="E101" s="385" t="s">
        <v>1043</v>
      </c>
      <c r="F101" s="384"/>
      <c r="G101" s="27">
        <f>G102</f>
        <v>20</v>
      </c>
      <c r="J101" s="130"/>
    </row>
    <row r="102" spans="1:10" ht="31.5" customHeight="1">
      <c r="A102" s="119" t="s">
        <v>212</v>
      </c>
      <c r="B102" s="367">
        <v>902</v>
      </c>
      <c r="C102" s="384" t="s">
        <v>159</v>
      </c>
      <c r="D102" s="384" t="s">
        <v>181</v>
      </c>
      <c r="E102" s="385" t="s">
        <v>1047</v>
      </c>
      <c r="F102" s="384"/>
      <c r="G102" s="27">
        <f>G103</f>
        <v>20</v>
      </c>
      <c r="J102" s="130"/>
    </row>
    <row r="103" spans="1:10" ht="35.25" customHeight="1">
      <c r="A103" s="26" t="s">
        <v>172</v>
      </c>
      <c r="B103" s="367">
        <v>902</v>
      </c>
      <c r="C103" s="384" t="s">
        <v>159</v>
      </c>
      <c r="D103" s="384" t="s">
        <v>181</v>
      </c>
      <c r="E103" s="385" t="s">
        <v>1047</v>
      </c>
      <c r="F103" s="384" t="s">
        <v>173</v>
      </c>
      <c r="G103" s="27">
        <f>G104</f>
        <v>20</v>
      </c>
      <c r="J103" s="130"/>
    </row>
    <row r="104" spans="1:10" ht="33" customHeight="1">
      <c r="A104" s="26" t="s">
        <v>174</v>
      </c>
      <c r="B104" s="367">
        <v>902</v>
      </c>
      <c r="C104" s="384" t="s">
        <v>159</v>
      </c>
      <c r="D104" s="384" t="s">
        <v>181</v>
      </c>
      <c r="E104" s="385" t="s">
        <v>1047</v>
      </c>
      <c r="F104" s="384" t="s">
        <v>175</v>
      </c>
      <c r="G104" s="27">
        <v>20</v>
      </c>
      <c r="H104" s="355"/>
      <c r="J104" s="130"/>
    </row>
    <row r="105" spans="1:10" ht="15.75">
      <c r="A105" s="26" t="s">
        <v>162</v>
      </c>
      <c r="B105" s="367">
        <v>902</v>
      </c>
      <c r="C105" s="207" t="s">
        <v>159</v>
      </c>
      <c r="D105" s="207" t="s">
        <v>181</v>
      </c>
      <c r="E105" s="207" t="s">
        <v>163</v>
      </c>
      <c r="F105" s="207"/>
      <c r="G105" s="27">
        <f>G106+G133</f>
        <v>8844.400000000001</v>
      </c>
      <c r="J105" s="130"/>
    </row>
    <row r="106" spans="1:10" ht="15.75">
      <c r="A106" s="26" t="s">
        <v>226</v>
      </c>
      <c r="B106" s="367">
        <v>902</v>
      </c>
      <c r="C106" s="207" t="s">
        <v>159</v>
      </c>
      <c r="D106" s="207" t="s">
        <v>181</v>
      </c>
      <c r="E106" s="207" t="s">
        <v>227</v>
      </c>
      <c r="F106" s="207"/>
      <c r="G106" s="27">
        <f>G112+G117+G123+G128+G107</f>
        <v>3231.8</v>
      </c>
      <c r="H106" s="353"/>
      <c r="I106" s="340"/>
      <c r="J106" s="135"/>
    </row>
    <row r="107" spans="1:10" ht="47.25" customHeight="1" hidden="1">
      <c r="A107" s="26" t="s">
        <v>920</v>
      </c>
      <c r="B107" s="367">
        <v>902</v>
      </c>
      <c r="C107" s="207" t="s">
        <v>159</v>
      </c>
      <c r="D107" s="207" t="s">
        <v>181</v>
      </c>
      <c r="E107" s="207" t="s">
        <v>229</v>
      </c>
      <c r="F107" s="383"/>
      <c r="G107" s="27">
        <f>G108+G110</f>
        <v>0</v>
      </c>
      <c r="J107" s="130"/>
    </row>
    <row r="108" spans="1:10" ht="94.5" customHeight="1" hidden="1">
      <c r="A108" s="26" t="s">
        <v>168</v>
      </c>
      <c r="B108" s="367">
        <v>902</v>
      </c>
      <c r="C108" s="207" t="s">
        <v>159</v>
      </c>
      <c r="D108" s="207" t="s">
        <v>181</v>
      </c>
      <c r="E108" s="207" t="s">
        <v>229</v>
      </c>
      <c r="F108" s="207" t="s">
        <v>169</v>
      </c>
      <c r="G108" s="27">
        <f>G109</f>
        <v>0</v>
      </c>
      <c r="J108" s="130"/>
    </row>
    <row r="109" spans="1:10" ht="31.5" customHeight="1" hidden="1">
      <c r="A109" s="26" t="s">
        <v>170</v>
      </c>
      <c r="B109" s="367">
        <v>902</v>
      </c>
      <c r="C109" s="207" t="s">
        <v>159</v>
      </c>
      <c r="D109" s="207" t="s">
        <v>181</v>
      </c>
      <c r="E109" s="207" t="s">
        <v>229</v>
      </c>
      <c r="F109" s="207" t="s">
        <v>171</v>
      </c>
      <c r="G109" s="27">
        <v>0</v>
      </c>
      <c r="J109" s="130"/>
    </row>
    <row r="110" spans="1:10" ht="31.5" customHeight="1" hidden="1">
      <c r="A110" s="26" t="s">
        <v>172</v>
      </c>
      <c r="B110" s="367">
        <v>902</v>
      </c>
      <c r="C110" s="207" t="s">
        <v>159</v>
      </c>
      <c r="D110" s="207" t="s">
        <v>181</v>
      </c>
      <c r="E110" s="207" t="s">
        <v>229</v>
      </c>
      <c r="F110" s="207" t="s">
        <v>173</v>
      </c>
      <c r="G110" s="27">
        <f>G111</f>
        <v>0</v>
      </c>
      <c r="J110" s="130"/>
    </row>
    <row r="111" spans="1:10" ht="47.25" customHeight="1" hidden="1">
      <c r="A111" s="26" t="s">
        <v>174</v>
      </c>
      <c r="B111" s="367">
        <v>902</v>
      </c>
      <c r="C111" s="207" t="s">
        <v>159</v>
      </c>
      <c r="D111" s="207" t="s">
        <v>181</v>
      </c>
      <c r="E111" s="207" t="s">
        <v>229</v>
      </c>
      <c r="F111" s="207" t="s">
        <v>175</v>
      </c>
      <c r="G111" s="27">
        <v>0</v>
      </c>
      <c r="J111" s="130"/>
    </row>
    <row r="112" spans="1:10" ht="47.25">
      <c r="A112" s="33" t="s">
        <v>230</v>
      </c>
      <c r="B112" s="367">
        <v>902</v>
      </c>
      <c r="C112" s="207" t="s">
        <v>159</v>
      </c>
      <c r="D112" s="207" t="s">
        <v>181</v>
      </c>
      <c r="E112" s="207" t="s">
        <v>231</v>
      </c>
      <c r="F112" s="207"/>
      <c r="G112" s="297">
        <f>G113+G115</f>
        <v>741.4000000000001</v>
      </c>
      <c r="J112" s="130"/>
    </row>
    <row r="113" spans="1:10" ht="63">
      <c r="A113" s="26" t="s">
        <v>168</v>
      </c>
      <c r="B113" s="367">
        <v>902</v>
      </c>
      <c r="C113" s="207" t="s">
        <v>159</v>
      </c>
      <c r="D113" s="207" t="s">
        <v>181</v>
      </c>
      <c r="E113" s="207" t="s">
        <v>231</v>
      </c>
      <c r="F113" s="207" t="s">
        <v>169</v>
      </c>
      <c r="G113" s="27">
        <f>G114</f>
        <v>528.7</v>
      </c>
      <c r="J113" s="130"/>
    </row>
    <row r="114" spans="1:10" ht="31.5">
      <c r="A114" s="26" t="s">
        <v>170</v>
      </c>
      <c r="B114" s="367">
        <v>902</v>
      </c>
      <c r="C114" s="207" t="s">
        <v>159</v>
      </c>
      <c r="D114" s="207" t="s">
        <v>181</v>
      </c>
      <c r="E114" s="207" t="s">
        <v>231</v>
      </c>
      <c r="F114" s="207" t="s">
        <v>171</v>
      </c>
      <c r="G114" s="27">
        <f>715.9-223+10.3+25.5</f>
        <v>528.7</v>
      </c>
      <c r="H114" s="352" t="s">
        <v>1241</v>
      </c>
      <c r="J114" s="130"/>
    </row>
    <row r="115" spans="1:10" ht="31.5">
      <c r="A115" s="26" t="s">
        <v>172</v>
      </c>
      <c r="B115" s="367">
        <v>902</v>
      </c>
      <c r="C115" s="207" t="s">
        <v>159</v>
      </c>
      <c r="D115" s="207" t="s">
        <v>181</v>
      </c>
      <c r="E115" s="207" t="s">
        <v>231</v>
      </c>
      <c r="F115" s="207" t="s">
        <v>173</v>
      </c>
      <c r="G115" s="27">
        <f>G116</f>
        <v>212.7</v>
      </c>
      <c r="J115" s="130"/>
    </row>
    <row r="116" spans="1:10" ht="31.5">
      <c r="A116" s="26" t="s">
        <v>174</v>
      </c>
      <c r="B116" s="367">
        <v>902</v>
      </c>
      <c r="C116" s="207" t="s">
        <v>159</v>
      </c>
      <c r="D116" s="207" t="s">
        <v>181</v>
      </c>
      <c r="E116" s="207" t="s">
        <v>231</v>
      </c>
      <c r="F116" s="207" t="s">
        <v>175</v>
      </c>
      <c r="G116" s="297">
        <f>223-20.7+20.7-10.3</f>
        <v>212.7</v>
      </c>
      <c r="H116" s="352"/>
      <c r="J116" s="130"/>
    </row>
    <row r="117" spans="1:10" ht="31.5">
      <c r="A117" s="33" t="s">
        <v>232</v>
      </c>
      <c r="B117" s="367">
        <v>902</v>
      </c>
      <c r="C117" s="207" t="s">
        <v>159</v>
      </c>
      <c r="D117" s="207" t="s">
        <v>181</v>
      </c>
      <c r="E117" s="207" t="s">
        <v>233</v>
      </c>
      <c r="F117" s="207"/>
      <c r="G117" s="27">
        <f>G118</f>
        <v>40</v>
      </c>
      <c r="J117" s="130"/>
    </row>
    <row r="118" spans="1:10" ht="31.5">
      <c r="A118" s="26" t="s">
        <v>172</v>
      </c>
      <c r="B118" s="367">
        <v>902</v>
      </c>
      <c r="C118" s="207" t="s">
        <v>159</v>
      </c>
      <c r="D118" s="207" t="s">
        <v>181</v>
      </c>
      <c r="E118" s="207" t="s">
        <v>233</v>
      </c>
      <c r="F118" s="207" t="s">
        <v>173</v>
      </c>
      <c r="G118" s="27">
        <f>G119</f>
        <v>40</v>
      </c>
      <c r="J118" s="130"/>
    </row>
    <row r="119" spans="1:10" ht="31.5">
      <c r="A119" s="26" t="s">
        <v>174</v>
      </c>
      <c r="B119" s="367">
        <v>902</v>
      </c>
      <c r="C119" s="207" t="s">
        <v>159</v>
      </c>
      <c r="D119" s="207" t="s">
        <v>181</v>
      </c>
      <c r="E119" s="207" t="s">
        <v>233</v>
      </c>
      <c r="F119" s="207" t="s">
        <v>175</v>
      </c>
      <c r="G119" s="27">
        <v>40</v>
      </c>
      <c r="H119" s="352"/>
      <c r="J119" s="130"/>
    </row>
    <row r="120" spans="1:10" ht="31.5" customHeight="1" hidden="1">
      <c r="A120" s="33" t="s">
        <v>234</v>
      </c>
      <c r="B120" s="367">
        <v>902</v>
      </c>
      <c r="C120" s="207" t="s">
        <v>159</v>
      </c>
      <c r="D120" s="207" t="s">
        <v>181</v>
      </c>
      <c r="E120" s="207" t="s">
        <v>233</v>
      </c>
      <c r="F120" s="207"/>
      <c r="G120" s="27">
        <f>G121</f>
        <v>0</v>
      </c>
      <c r="J120" s="130"/>
    </row>
    <row r="121" spans="1:10" ht="31.5" customHeight="1" hidden="1">
      <c r="A121" s="26" t="s">
        <v>172</v>
      </c>
      <c r="B121" s="367">
        <v>902</v>
      </c>
      <c r="C121" s="207" t="s">
        <v>159</v>
      </c>
      <c r="D121" s="207" t="s">
        <v>181</v>
      </c>
      <c r="E121" s="207" t="s">
        <v>233</v>
      </c>
      <c r="F121" s="207" t="s">
        <v>173</v>
      </c>
      <c r="G121" s="27">
        <f>G122</f>
        <v>0</v>
      </c>
      <c r="J121" s="130"/>
    </row>
    <row r="122" spans="1:10" ht="47.25" customHeight="1" hidden="1">
      <c r="A122" s="26" t="s">
        <v>174</v>
      </c>
      <c r="B122" s="367">
        <v>902</v>
      </c>
      <c r="C122" s="207" t="s">
        <v>159</v>
      </c>
      <c r="D122" s="207" t="s">
        <v>181</v>
      </c>
      <c r="E122" s="207" t="s">
        <v>233</v>
      </c>
      <c r="F122" s="207" t="s">
        <v>175</v>
      </c>
      <c r="G122" s="27">
        <v>0</v>
      </c>
      <c r="J122" s="130"/>
    </row>
    <row r="123" spans="1:10" ht="47.25">
      <c r="A123" s="33" t="s">
        <v>235</v>
      </c>
      <c r="B123" s="367">
        <v>902</v>
      </c>
      <c r="C123" s="207" t="s">
        <v>159</v>
      </c>
      <c r="D123" s="207" t="s">
        <v>181</v>
      </c>
      <c r="E123" s="207" t="s">
        <v>236</v>
      </c>
      <c r="F123" s="207"/>
      <c r="G123" s="27">
        <f>G124+G126</f>
        <v>1333.1</v>
      </c>
      <c r="J123" s="130"/>
    </row>
    <row r="124" spans="1:10" ht="63">
      <c r="A124" s="26" t="s">
        <v>168</v>
      </c>
      <c r="B124" s="367">
        <v>902</v>
      </c>
      <c r="C124" s="207" t="s">
        <v>159</v>
      </c>
      <c r="D124" s="207" t="s">
        <v>181</v>
      </c>
      <c r="E124" s="207" t="s">
        <v>236</v>
      </c>
      <c r="F124" s="207" t="s">
        <v>169</v>
      </c>
      <c r="G124" s="27">
        <f>G125</f>
        <v>1271.8999999999999</v>
      </c>
      <c r="J124" s="130"/>
    </row>
    <row r="125" spans="1:10" ht="31.5">
      <c r="A125" s="26" t="s">
        <v>170</v>
      </c>
      <c r="B125" s="367">
        <v>902</v>
      </c>
      <c r="C125" s="207" t="s">
        <v>159</v>
      </c>
      <c r="D125" s="207" t="s">
        <v>181</v>
      </c>
      <c r="E125" s="207" t="s">
        <v>236</v>
      </c>
      <c r="F125" s="207" t="s">
        <v>171</v>
      </c>
      <c r="G125" s="27">
        <f>1333.1-39.7-21.5</f>
        <v>1271.8999999999999</v>
      </c>
      <c r="H125" s="352"/>
      <c r="J125" s="130"/>
    </row>
    <row r="126" spans="1:10" ht="31.5">
      <c r="A126" s="26" t="s">
        <v>172</v>
      </c>
      <c r="B126" s="367">
        <v>902</v>
      </c>
      <c r="C126" s="207" t="s">
        <v>159</v>
      </c>
      <c r="D126" s="207" t="s">
        <v>181</v>
      </c>
      <c r="E126" s="207" t="s">
        <v>236</v>
      </c>
      <c r="F126" s="207" t="s">
        <v>173</v>
      </c>
      <c r="G126" s="27">
        <f>G127</f>
        <v>61.2</v>
      </c>
      <c r="J126" s="130"/>
    </row>
    <row r="127" spans="1:10" ht="31.5">
      <c r="A127" s="26" t="s">
        <v>174</v>
      </c>
      <c r="B127" s="367">
        <v>902</v>
      </c>
      <c r="C127" s="207" t="s">
        <v>159</v>
      </c>
      <c r="D127" s="207" t="s">
        <v>181</v>
      </c>
      <c r="E127" s="207" t="s">
        <v>236</v>
      </c>
      <c r="F127" s="207" t="s">
        <v>175</v>
      </c>
      <c r="G127" s="27">
        <f>156.9-116.5-0.7+21.5</f>
        <v>61.2</v>
      </c>
      <c r="H127" s="352"/>
      <c r="J127" s="130"/>
    </row>
    <row r="128" spans="1:10" ht="31.5">
      <c r="A128" s="33" t="s">
        <v>237</v>
      </c>
      <c r="B128" s="367">
        <v>902</v>
      </c>
      <c r="C128" s="207" t="s">
        <v>159</v>
      </c>
      <c r="D128" s="207" t="s">
        <v>181</v>
      </c>
      <c r="E128" s="207" t="s">
        <v>238</v>
      </c>
      <c r="F128" s="207"/>
      <c r="G128" s="27">
        <f>G129+G131</f>
        <v>1117.3</v>
      </c>
      <c r="J128" s="130"/>
    </row>
    <row r="129" spans="1:10" ht="63">
      <c r="A129" s="26" t="s">
        <v>168</v>
      </c>
      <c r="B129" s="367">
        <v>902</v>
      </c>
      <c r="C129" s="207" t="s">
        <v>159</v>
      </c>
      <c r="D129" s="207" t="s">
        <v>181</v>
      </c>
      <c r="E129" s="207" t="s">
        <v>238</v>
      </c>
      <c r="F129" s="207" t="s">
        <v>169</v>
      </c>
      <c r="G129" s="27">
        <f>G130</f>
        <v>1100.5</v>
      </c>
      <c r="J129" s="130"/>
    </row>
    <row r="130" spans="1:10" ht="31.5">
      <c r="A130" s="26" t="s">
        <v>170</v>
      </c>
      <c r="B130" s="367">
        <v>902</v>
      </c>
      <c r="C130" s="207" t="s">
        <v>159</v>
      </c>
      <c r="D130" s="207" t="s">
        <v>181</v>
      </c>
      <c r="E130" s="207" t="s">
        <v>238</v>
      </c>
      <c r="F130" s="207" t="s">
        <v>171</v>
      </c>
      <c r="G130" s="27">
        <f>1537-463.9-47.6+17.7-16.7+74</f>
        <v>1100.5</v>
      </c>
      <c r="H130" s="352" t="s">
        <v>1245</v>
      </c>
      <c r="I130" s="280" t="s">
        <v>1244</v>
      </c>
      <c r="J130" s="130"/>
    </row>
    <row r="131" spans="1:10" ht="31.5">
      <c r="A131" s="26" t="s">
        <v>239</v>
      </c>
      <c r="B131" s="367">
        <v>902</v>
      </c>
      <c r="C131" s="207" t="s">
        <v>159</v>
      </c>
      <c r="D131" s="207" t="s">
        <v>181</v>
      </c>
      <c r="E131" s="207" t="s">
        <v>238</v>
      </c>
      <c r="F131" s="207" t="s">
        <v>173</v>
      </c>
      <c r="G131" s="27">
        <f>G132</f>
        <v>16.800000000000004</v>
      </c>
      <c r="J131" s="130"/>
    </row>
    <row r="132" spans="1:10" ht="31.5">
      <c r="A132" s="26" t="s">
        <v>174</v>
      </c>
      <c r="B132" s="367">
        <v>902</v>
      </c>
      <c r="C132" s="207" t="s">
        <v>159</v>
      </c>
      <c r="D132" s="207" t="s">
        <v>181</v>
      </c>
      <c r="E132" s="207" t="s">
        <v>238</v>
      </c>
      <c r="F132" s="207" t="s">
        <v>175</v>
      </c>
      <c r="G132" s="27">
        <f>33.1+47.6-17.7+16.7-62.9</f>
        <v>16.800000000000004</v>
      </c>
      <c r="H132" s="352" t="s">
        <v>1243</v>
      </c>
      <c r="I132" s="280" t="s">
        <v>1242</v>
      </c>
      <c r="J132" s="130"/>
    </row>
    <row r="133" spans="1:10" ht="15.75">
      <c r="A133" s="26" t="s">
        <v>182</v>
      </c>
      <c r="B133" s="367">
        <v>902</v>
      </c>
      <c r="C133" s="207" t="s">
        <v>159</v>
      </c>
      <c r="D133" s="207" t="s">
        <v>181</v>
      </c>
      <c r="E133" s="207" t="s">
        <v>183</v>
      </c>
      <c r="F133" s="207"/>
      <c r="G133" s="27">
        <f>G146+G151+G156</f>
        <v>5612.6</v>
      </c>
      <c r="J133" s="130"/>
    </row>
    <row r="134" spans="1:10" ht="15.75" customHeight="1" hidden="1">
      <c r="A134" s="26" t="s">
        <v>240</v>
      </c>
      <c r="B134" s="367">
        <v>902</v>
      </c>
      <c r="C134" s="207" t="s">
        <v>159</v>
      </c>
      <c r="D134" s="207" t="s">
        <v>181</v>
      </c>
      <c r="E134" s="207" t="s">
        <v>241</v>
      </c>
      <c r="F134" s="207"/>
      <c r="G134" s="27">
        <f>G135</f>
        <v>0</v>
      </c>
      <c r="J134" s="130"/>
    </row>
    <row r="135" spans="1:10" ht="33" customHeight="1" hidden="1">
      <c r="A135" s="26" t="s">
        <v>239</v>
      </c>
      <c r="B135" s="367">
        <v>902</v>
      </c>
      <c r="C135" s="207" t="s">
        <v>159</v>
      </c>
      <c r="D135" s="207" t="s">
        <v>181</v>
      </c>
      <c r="E135" s="207" t="s">
        <v>241</v>
      </c>
      <c r="F135" s="207" t="s">
        <v>173</v>
      </c>
      <c r="G135" s="27">
        <f>G136</f>
        <v>0</v>
      </c>
      <c r="J135" s="130"/>
    </row>
    <row r="136" spans="1:10" ht="47.25" customHeight="1" hidden="1">
      <c r="A136" s="26" t="s">
        <v>174</v>
      </c>
      <c r="B136" s="367">
        <v>902</v>
      </c>
      <c r="C136" s="207" t="s">
        <v>159</v>
      </c>
      <c r="D136" s="207" t="s">
        <v>181</v>
      </c>
      <c r="E136" s="207" t="s">
        <v>241</v>
      </c>
      <c r="F136" s="207" t="s">
        <v>175</v>
      </c>
      <c r="G136" s="27">
        <v>0</v>
      </c>
      <c r="J136" s="130"/>
    </row>
    <row r="137" spans="1:10" ht="15.75" customHeight="1" hidden="1">
      <c r="A137" s="26" t="s">
        <v>242</v>
      </c>
      <c r="B137" s="367">
        <v>902</v>
      </c>
      <c r="C137" s="207" t="s">
        <v>159</v>
      </c>
      <c r="D137" s="207" t="s">
        <v>181</v>
      </c>
      <c r="E137" s="207" t="s">
        <v>243</v>
      </c>
      <c r="F137" s="383"/>
      <c r="G137" s="27">
        <f>G138</f>
        <v>0</v>
      </c>
      <c r="J137" s="130"/>
    </row>
    <row r="138" spans="1:10" ht="47.25" customHeight="1" hidden="1">
      <c r="A138" s="26" t="s">
        <v>239</v>
      </c>
      <c r="B138" s="367">
        <v>902</v>
      </c>
      <c r="C138" s="207" t="s">
        <v>159</v>
      </c>
      <c r="D138" s="207" t="s">
        <v>181</v>
      </c>
      <c r="E138" s="207" t="s">
        <v>243</v>
      </c>
      <c r="F138" s="207" t="s">
        <v>173</v>
      </c>
      <c r="G138" s="27">
        <f>G139</f>
        <v>0</v>
      </c>
      <c r="J138" s="130"/>
    </row>
    <row r="139" spans="1:10" ht="47.25" customHeight="1" hidden="1">
      <c r="A139" s="26" t="s">
        <v>174</v>
      </c>
      <c r="B139" s="367">
        <v>902</v>
      </c>
      <c r="C139" s="207" t="s">
        <v>159</v>
      </c>
      <c r="D139" s="207" t="s">
        <v>181</v>
      </c>
      <c r="E139" s="207" t="s">
        <v>243</v>
      </c>
      <c r="F139" s="207" t="s">
        <v>175</v>
      </c>
      <c r="G139" s="27">
        <v>0</v>
      </c>
      <c r="J139" s="130"/>
    </row>
    <row r="140" spans="1:10" ht="31.5" customHeight="1" hidden="1">
      <c r="A140" s="26" t="s">
        <v>244</v>
      </c>
      <c r="B140" s="367">
        <v>902</v>
      </c>
      <c r="C140" s="207" t="s">
        <v>159</v>
      </c>
      <c r="D140" s="207" t="s">
        <v>181</v>
      </c>
      <c r="E140" s="207" t="s">
        <v>245</v>
      </c>
      <c r="F140" s="207"/>
      <c r="G140" s="27">
        <f>G141</f>
        <v>0</v>
      </c>
      <c r="J140" s="130"/>
    </row>
    <row r="141" spans="1:10" ht="47.25" customHeight="1" hidden="1">
      <c r="A141" s="26" t="s">
        <v>239</v>
      </c>
      <c r="B141" s="367">
        <v>902</v>
      </c>
      <c r="C141" s="207" t="s">
        <v>159</v>
      </c>
      <c r="D141" s="207" t="s">
        <v>181</v>
      </c>
      <c r="E141" s="207" t="s">
        <v>245</v>
      </c>
      <c r="F141" s="207" t="s">
        <v>173</v>
      </c>
      <c r="G141" s="27">
        <f>G142</f>
        <v>0</v>
      </c>
      <c r="J141" s="130"/>
    </row>
    <row r="142" spans="1:10" ht="47.25" customHeight="1" hidden="1">
      <c r="A142" s="26" t="s">
        <v>174</v>
      </c>
      <c r="B142" s="367">
        <v>902</v>
      </c>
      <c r="C142" s="207" t="s">
        <v>159</v>
      </c>
      <c r="D142" s="207" t="s">
        <v>181</v>
      </c>
      <c r="E142" s="207" t="s">
        <v>245</v>
      </c>
      <c r="F142" s="207" t="s">
        <v>175</v>
      </c>
      <c r="G142" s="27">
        <v>0</v>
      </c>
      <c r="J142" s="130"/>
    </row>
    <row r="143" spans="1:10" ht="15.75" customHeight="1" hidden="1">
      <c r="A143" s="26" t="s">
        <v>220</v>
      </c>
      <c r="B143" s="367">
        <v>902</v>
      </c>
      <c r="C143" s="207" t="s">
        <v>159</v>
      </c>
      <c r="D143" s="207" t="s">
        <v>181</v>
      </c>
      <c r="E143" s="207" t="s">
        <v>246</v>
      </c>
      <c r="F143" s="207"/>
      <c r="G143" s="27">
        <f>G144</f>
        <v>0</v>
      </c>
      <c r="J143" s="130"/>
    </row>
    <row r="144" spans="1:10" ht="47.25" customHeight="1" hidden="1">
      <c r="A144" s="26" t="s">
        <v>239</v>
      </c>
      <c r="B144" s="367">
        <v>902</v>
      </c>
      <c r="C144" s="207" t="s">
        <v>159</v>
      </c>
      <c r="D144" s="207" t="s">
        <v>181</v>
      </c>
      <c r="E144" s="207" t="s">
        <v>246</v>
      </c>
      <c r="F144" s="207" t="s">
        <v>173</v>
      </c>
      <c r="G144" s="27">
        <f>G145</f>
        <v>0</v>
      </c>
      <c r="J144" s="130"/>
    </row>
    <row r="145" spans="1:10" ht="47.25" customHeight="1" hidden="1">
      <c r="A145" s="26" t="s">
        <v>174</v>
      </c>
      <c r="B145" s="367">
        <v>902</v>
      </c>
      <c r="C145" s="207" t="s">
        <v>159</v>
      </c>
      <c r="D145" s="207" t="s">
        <v>181</v>
      </c>
      <c r="E145" s="207" t="s">
        <v>246</v>
      </c>
      <c r="F145" s="207" t="s">
        <v>175</v>
      </c>
      <c r="G145" s="27">
        <v>0</v>
      </c>
      <c r="J145" s="130"/>
    </row>
    <row r="146" spans="1:10" ht="21" customHeight="1">
      <c r="A146" s="26" t="s">
        <v>247</v>
      </c>
      <c r="B146" s="367">
        <v>902</v>
      </c>
      <c r="C146" s="207" t="s">
        <v>159</v>
      </c>
      <c r="D146" s="207" t="s">
        <v>181</v>
      </c>
      <c r="E146" s="207" t="s">
        <v>248</v>
      </c>
      <c r="F146" s="207"/>
      <c r="G146" s="27">
        <f>G147+G149</f>
        <v>5612.6</v>
      </c>
      <c r="J146" s="130"/>
    </row>
    <row r="147" spans="1:10" ht="63">
      <c r="A147" s="26" t="s">
        <v>168</v>
      </c>
      <c r="B147" s="367">
        <v>902</v>
      </c>
      <c r="C147" s="207" t="s">
        <v>159</v>
      </c>
      <c r="D147" s="207" t="s">
        <v>181</v>
      </c>
      <c r="E147" s="207" t="s">
        <v>248</v>
      </c>
      <c r="F147" s="207" t="s">
        <v>169</v>
      </c>
      <c r="G147" s="27">
        <f>G148</f>
        <v>4401.6</v>
      </c>
      <c r="J147" s="130"/>
    </row>
    <row r="148" spans="1:10" ht="15.75">
      <c r="A148" s="26" t="s">
        <v>249</v>
      </c>
      <c r="B148" s="367">
        <v>902</v>
      </c>
      <c r="C148" s="207" t="s">
        <v>159</v>
      </c>
      <c r="D148" s="207" t="s">
        <v>181</v>
      </c>
      <c r="E148" s="207" t="s">
        <v>248</v>
      </c>
      <c r="F148" s="207" t="s">
        <v>250</v>
      </c>
      <c r="G148" s="28">
        <f>5183-256.4-735.3+210.3</f>
        <v>4401.6</v>
      </c>
      <c r="H148" s="352"/>
      <c r="I148" s="339"/>
      <c r="J148" s="130"/>
    </row>
    <row r="149" spans="1:10" ht="32.25" customHeight="1">
      <c r="A149" s="26" t="s">
        <v>239</v>
      </c>
      <c r="B149" s="367">
        <v>902</v>
      </c>
      <c r="C149" s="207" t="s">
        <v>159</v>
      </c>
      <c r="D149" s="207" t="s">
        <v>181</v>
      </c>
      <c r="E149" s="207" t="s">
        <v>248</v>
      </c>
      <c r="F149" s="207" t="s">
        <v>173</v>
      </c>
      <c r="G149" s="27">
        <f>G150</f>
        <v>1211</v>
      </c>
      <c r="J149" s="130"/>
    </row>
    <row r="150" spans="1:10" ht="31.5">
      <c r="A150" s="26" t="s">
        <v>174</v>
      </c>
      <c r="B150" s="367">
        <v>902</v>
      </c>
      <c r="C150" s="207" t="s">
        <v>159</v>
      </c>
      <c r="D150" s="207" t="s">
        <v>181</v>
      </c>
      <c r="E150" s="207" t="s">
        <v>248</v>
      </c>
      <c r="F150" s="207" t="s">
        <v>175</v>
      </c>
      <c r="G150" s="28">
        <f>1174.7+113.8-77.5</f>
        <v>1211</v>
      </c>
      <c r="H150" s="352"/>
      <c r="I150" s="339"/>
      <c r="J150" s="130"/>
    </row>
    <row r="151" spans="1:10" ht="31.5" hidden="1">
      <c r="A151" s="26" t="s">
        <v>251</v>
      </c>
      <c r="B151" s="367">
        <v>902</v>
      </c>
      <c r="C151" s="207" t="s">
        <v>159</v>
      </c>
      <c r="D151" s="207" t="s">
        <v>181</v>
      </c>
      <c r="E151" s="207" t="s">
        <v>252</v>
      </c>
      <c r="F151" s="207"/>
      <c r="G151" s="27">
        <f>G152+G154</f>
        <v>0</v>
      </c>
      <c r="J151" s="130"/>
    </row>
    <row r="152" spans="1:10" ht="63" hidden="1">
      <c r="A152" s="26" t="s">
        <v>168</v>
      </c>
      <c r="B152" s="367">
        <v>902</v>
      </c>
      <c r="C152" s="207" t="s">
        <v>159</v>
      </c>
      <c r="D152" s="207" t="s">
        <v>181</v>
      </c>
      <c r="E152" s="207" t="s">
        <v>252</v>
      </c>
      <c r="F152" s="207" t="s">
        <v>169</v>
      </c>
      <c r="G152" s="27">
        <f>G153</f>
        <v>0</v>
      </c>
      <c r="J152" s="130"/>
    </row>
    <row r="153" spans="1:10" ht="31.5" hidden="1">
      <c r="A153" s="26" t="s">
        <v>170</v>
      </c>
      <c r="B153" s="367">
        <v>902</v>
      </c>
      <c r="C153" s="207" t="s">
        <v>159</v>
      </c>
      <c r="D153" s="207" t="s">
        <v>181</v>
      </c>
      <c r="E153" s="207" t="s">
        <v>252</v>
      </c>
      <c r="F153" s="207" t="s">
        <v>171</v>
      </c>
      <c r="G153" s="28"/>
      <c r="J153" s="130"/>
    </row>
    <row r="154" spans="1:10" ht="31.5" hidden="1">
      <c r="A154" s="26" t="s">
        <v>239</v>
      </c>
      <c r="B154" s="367">
        <v>902</v>
      </c>
      <c r="C154" s="207" t="s">
        <v>159</v>
      </c>
      <c r="D154" s="207" t="s">
        <v>181</v>
      </c>
      <c r="E154" s="207" t="s">
        <v>252</v>
      </c>
      <c r="F154" s="207" t="s">
        <v>173</v>
      </c>
      <c r="G154" s="27">
        <f>G155</f>
        <v>0</v>
      </c>
      <c r="J154" s="130"/>
    </row>
    <row r="155" spans="1:10" ht="31.5" hidden="1">
      <c r="A155" s="26" t="s">
        <v>174</v>
      </c>
      <c r="B155" s="367">
        <v>902</v>
      </c>
      <c r="C155" s="207" t="s">
        <v>159</v>
      </c>
      <c r="D155" s="207" t="s">
        <v>181</v>
      </c>
      <c r="E155" s="207" t="s">
        <v>252</v>
      </c>
      <c r="F155" s="207" t="s">
        <v>175</v>
      </c>
      <c r="G155" s="27"/>
      <c r="J155" s="130"/>
    </row>
    <row r="156" spans="1:10" ht="15.75" hidden="1">
      <c r="A156" s="47" t="s">
        <v>184</v>
      </c>
      <c r="B156" s="367">
        <v>902</v>
      </c>
      <c r="C156" s="207" t="s">
        <v>159</v>
      </c>
      <c r="D156" s="207" t="s">
        <v>181</v>
      </c>
      <c r="E156" s="207" t="s">
        <v>185</v>
      </c>
      <c r="F156" s="207"/>
      <c r="G156" s="27">
        <f>G157</f>
        <v>0</v>
      </c>
      <c r="J156" s="130"/>
    </row>
    <row r="157" spans="1:10" ht="15.75" hidden="1">
      <c r="A157" s="26" t="s">
        <v>176</v>
      </c>
      <c r="B157" s="367">
        <v>902</v>
      </c>
      <c r="C157" s="207" t="s">
        <v>159</v>
      </c>
      <c r="D157" s="207" t="s">
        <v>181</v>
      </c>
      <c r="E157" s="207" t="s">
        <v>185</v>
      </c>
      <c r="F157" s="207" t="s">
        <v>186</v>
      </c>
      <c r="G157" s="27">
        <f>G158</f>
        <v>0</v>
      </c>
      <c r="J157" s="130"/>
    </row>
    <row r="158" spans="1:10" ht="15.75" hidden="1">
      <c r="A158" s="26" t="s">
        <v>187</v>
      </c>
      <c r="B158" s="367">
        <v>902</v>
      </c>
      <c r="C158" s="207" t="s">
        <v>159</v>
      </c>
      <c r="D158" s="207" t="s">
        <v>181</v>
      </c>
      <c r="E158" s="207" t="s">
        <v>185</v>
      </c>
      <c r="F158" s="207" t="s">
        <v>188</v>
      </c>
      <c r="G158" s="27">
        <v>0</v>
      </c>
      <c r="J158" s="130"/>
    </row>
    <row r="159" spans="1:10" ht="15.75" customHeight="1" hidden="1">
      <c r="A159" s="24" t="s">
        <v>253</v>
      </c>
      <c r="B159" s="382">
        <v>902</v>
      </c>
      <c r="C159" s="383" t="s">
        <v>254</v>
      </c>
      <c r="D159" s="383"/>
      <c r="E159" s="383"/>
      <c r="F159" s="383"/>
      <c r="G159" s="22">
        <f aca="true" t="shared" si="0" ref="G159:G164">G160</f>
        <v>0</v>
      </c>
      <c r="J159" s="130"/>
    </row>
    <row r="160" spans="1:10" ht="31.5" customHeight="1" hidden="1">
      <c r="A160" s="24" t="s">
        <v>259</v>
      </c>
      <c r="B160" s="382">
        <v>902</v>
      </c>
      <c r="C160" s="383" t="s">
        <v>254</v>
      </c>
      <c r="D160" s="383" t="s">
        <v>260</v>
      </c>
      <c r="E160" s="383"/>
      <c r="F160" s="383"/>
      <c r="G160" s="22">
        <f t="shared" si="0"/>
        <v>0</v>
      </c>
      <c r="J160" s="130"/>
    </row>
    <row r="161" spans="1:10" ht="15.75" customHeight="1" hidden="1">
      <c r="A161" s="26" t="s">
        <v>162</v>
      </c>
      <c r="B161" s="367">
        <v>902</v>
      </c>
      <c r="C161" s="207" t="s">
        <v>254</v>
      </c>
      <c r="D161" s="207" t="s">
        <v>260</v>
      </c>
      <c r="E161" s="207" t="s">
        <v>163</v>
      </c>
      <c r="F161" s="207"/>
      <c r="G161" s="27">
        <f t="shared" si="0"/>
        <v>0</v>
      </c>
      <c r="J161" s="130"/>
    </row>
    <row r="162" spans="1:10" ht="21.75" customHeight="1" hidden="1">
      <c r="A162" s="26" t="s">
        <v>182</v>
      </c>
      <c r="B162" s="367">
        <v>902</v>
      </c>
      <c r="C162" s="207" t="s">
        <v>254</v>
      </c>
      <c r="D162" s="207" t="s">
        <v>256</v>
      </c>
      <c r="E162" s="207" t="s">
        <v>183</v>
      </c>
      <c r="F162" s="207"/>
      <c r="G162" s="27">
        <f t="shared" si="0"/>
        <v>0</v>
      </c>
      <c r="J162" s="130"/>
    </row>
    <row r="163" spans="1:10" ht="15.75" customHeight="1" hidden="1">
      <c r="A163" s="26" t="s">
        <v>261</v>
      </c>
      <c r="B163" s="367">
        <v>902</v>
      </c>
      <c r="C163" s="207" t="s">
        <v>254</v>
      </c>
      <c r="D163" s="207" t="s">
        <v>260</v>
      </c>
      <c r="E163" s="207" t="s">
        <v>262</v>
      </c>
      <c r="F163" s="207"/>
      <c r="G163" s="27">
        <f t="shared" si="0"/>
        <v>0</v>
      </c>
      <c r="J163" s="130"/>
    </row>
    <row r="164" spans="1:10" ht="33.75" customHeight="1" hidden="1">
      <c r="A164" s="26" t="s">
        <v>239</v>
      </c>
      <c r="B164" s="367">
        <v>902</v>
      </c>
      <c r="C164" s="207" t="s">
        <v>254</v>
      </c>
      <c r="D164" s="207" t="s">
        <v>260</v>
      </c>
      <c r="E164" s="207" t="s">
        <v>262</v>
      </c>
      <c r="F164" s="207" t="s">
        <v>173</v>
      </c>
      <c r="G164" s="27">
        <f t="shared" si="0"/>
        <v>0</v>
      </c>
      <c r="J164" s="130"/>
    </row>
    <row r="165" spans="1:10" ht="59.25" customHeight="1" hidden="1">
      <c r="A165" s="26" t="s">
        <v>174</v>
      </c>
      <c r="B165" s="367">
        <v>902</v>
      </c>
      <c r="C165" s="207" t="s">
        <v>254</v>
      </c>
      <c r="D165" s="207" t="s">
        <v>260</v>
      </c>
      <c r="E165" s="207" t="s">
        <v>262</v>
      </c>
      <c r="F165" s="207" t="s">
        <v>175</v>
      </c>
      <c r="G165" s="28">
        <v>0</v>
      </c>
      <c r="J165" s="130"/>
    </row>
    <row r="166" spans="1:10" ht="59.25" customHeight="1">
      <c r="A166" s="31" t="s">
        <v>1045</v>
      </c>
      <c r="B166" s="367">
        <v>902</v>
      </c>
      <c r="C166" s="384" t="s">
        <v>159</v>
      </c>
      <c r="D166" s="384" t="s">
        <v>181</v>
      </c>
      <c r="E166" s="385" t="s">
        <v>1044</v>
      </c>
      <c r="F166" s="384"/>
      <c r="G166" s="27">
        <f>G167</f>
        <v>60</v>
      </c>
      <c r="J166" s="278"/>
    </row>
    <row r="167" spans="1:10" ht="21" customHeight="1">
      <c r="A167" s="47" t="s">
        <v>1059</v>
      </c>
      <c r="B167" s="367">
        <v>902</v>
      </c>
      <c r="C167" s="384" t="s">
        <v>159</v>
      </c>
      <c r="D167" s="384" t="s">
        <v>181</v>
      </c>
      <c r="E167" s="385" t="s">
        <v>1048</v>
      </c>
      <c r="F167" s="384"/>
      <c r="G167" s="27">
        <f>G168</f>
        <v>60</v>
      </c>
      <c r="J167" s="130"/>
    </row>
    <row r="168" spans="1:10" ht="38.25" customHeight="1">
      <c r="A168" s="26" t="s">
        <v>172</v>
      </c>
      <c r="B168" s="367">
        <v>902</v>
      </c>
      <c r="C168" s="384" t="s">
        <v>159</v>
      </c>
      <c r="D168" s="384" t="s">
        <v>181</v>
      </c>
      <c r="E168" s="385" t="s">
        <v>1048</v>
      </c>
      <c r="F168" s="384" t="s">
        <v>173</v>
      </c>
      <c r="G168" s="27">
        <f>G169</f>
        <v>60</v>
      </c>
      <c r="J168" s="130"/>
    </row>
    <row r="169" spans="1:10" ht="36.75" customHeight="1">
      <c r="A169" s="26" t="s">
        <v>174</v>
      </c>
      <c r="B169" s="367">
        <v>902</v>
      </c>
      <c r="C169" s="384" t="s">
        <v>159</v>
      </c>
      <c r="D169" s="384" t="s">
        <v>181</v>
      </c>
      <c r="E169" s="385" t="s">
        <v>1048</v>
      </c>
      <c r="F169" s="384" t="s">
        <v>175</v>
      </c>
      <c r="G169" s="27">
        <v>60</v>
      </c>
      <c r="H169" s="355"/>
      <c r="J169" s="130"/>
    </row>
    <row r="170" spans="1:10" ht="31.5">
      <c r="A170" s="24" t="s">
        <v>263</v>
      </c>
      <c r="B170" s="382">
        <v>902</v>
      </c>
      <c r="C170" s="383" t="s">
        <v>256</v>
      </c>
      <c r="D170" s="383"/>
      <c r="E170" s="383"/>
      <c r="F170" s="383"/>
      <c r="G170" s="22">
        <f>G171</f>
        <v>8309.9</v>
      </c>
      <c r="J170" s="130"/>
    </row>
    <row r="171" spans="1:10" ht="47.25">
      <c r="A171" s="24" t="s">
        <v>264</v>
      </c>
      <c r="B171" s="382">
        <v>902</v>
      </c>
      <c r="C171" s="383" t="s">
        <v>256</v>
      </c>
      <c r="D171" s="383" t="s">
        <v>260</v>
      </c>
      <c r="E171" s="207"/>
      <c r="F171" s="207"/>
      <c r="G171" s="22">
        <f>G172</f>
        <v>8309.9</v>
      </c>
      <c r="J171" s="130"/>
    </row>
    <row r="172" spans="1:10" ht="15.75">
      <c r="A172" s="26" t="s">
        <v>162</v>
      </c>
      <c r="B172" s="367">
        <v>902</v>
      </c>
      <c r="C172" s="207" t="s">
        <v>256</v>
      </c>
      <c r="D172" s="207" t="s">
        <v>260</v>
      </c>
      <c r="E172" s="207" t="s">
        <v>163</v>
      </c>
      <c r="F172" s="207"/>
      <c r="G172" s="27">
        <f>G173</f>
        <v>8309.9</v>
      </c>
      <c r="J172" s="130"/>
    </row>
    <row r="173" spans="1:10" ht="15.75">
      <c r="A173" s="26" t="s">
        <v>182</v>
      </c>
      <c r="B173" s="367">
        <v>902</v>
      </c>
      <c r="C173" s="207" t="s">
        <v>256</v>
      </c>
      <c r="D173" s="207" t="s">
        <v>260</v>
      </c>
      <c r="E173" s="207" t="s">
        <v>183</v>
      </c>
      <c r="F173" s="207"/>
      <c r="G173" s="27">
        <f>G174+G180+G185+G177</f>
        <v>8309.9</v>
      </c>
      <c r="H173" s="353"/>
      <c r="J173" s="130"/>
    </row>
    <row r="174" spans="1:10" ht="31.5">
      <c r="A174" s="26" t="s">
        <v>265</v>
      </c>
      <c r="B174" s="367">
        <v>902</v>
      </c>
      <c r="C174" s="207" t="s">
        <v>256</v>
      </c>
      <c r="D174" s="207" t="s">
        <v>260</v>
      </c>
      <c r="E174" s="207" t="s">
        <v>266</v>
      </c>
      <c r="F174" s="207"/>
      <c r="G174" s="27">
        <f>G175</f>
        <v>2053.5</v>
      </c>
      <c r="J174" s="130"/>
    </row>
    <row r="175" spans="1:10" ht="31.5">
      <c r="A175" s="26" t="s">
        <v>239</v>
      </c>
      <c r="B175" s="367">
        <v>902</v>
      </c>
      <c r="C175" s="207" t="s">
        <v>256</v>
      </c>
      <c r="D175" s="207" t="s">
        <v>260</v>
      </c>
      <c r="E175" s="207" t="s">
        <v>266</v>
      </c>
      <c r="F175" s="207" t="s">
        <v>173</v>
      </c>
      <c r="G175" s="27">
        <f>G176</f>
        <v>2053.5</v>
      </c>
      <c r="J175" s="130"/>
    </row>
    <row r="176" spans="1:10" ht="31.5">
      <c r="A176" s="26" t="s">
        <v>174</v>
      </c>
      <c r="B176" s="367">
        <v>902</v>
      </c>
      <c r="C176" s="207" t="s">
        <v>256</v>
      </c>
      <c r="D176" s="207" t="s">
        <v>260</v>
      </c>
      <c r="E176" s="207" t="s">
        <v>266</v>
      </c>
      <c r="F176" s="207" t="s">
        <v>175</v>
      </c>
      <c r="G176" s="30">
        <f>519.8+1750-216.3</f>
        <v>2053.5</v>
      </c>
      <c r="H176" s="353" t="s">
        <v>1159</v>
      </c>
      <c r="J176" s="130"/>
    </row>
    <row r="177" spans="1:10" ht="15.75" customHeight="1" hidden="1">
      <c r="A177" s="26" t="s">
        <v>267</v>
      </c>
      <c r="B177" s="367">
        <v>902</v>
      </c>
      <c r="C177" s="207" t="s">
        <v>256</v>
      </c>
      <c r="D177" s="207" t="s">
        <v>260</v>
      </c>
      <c r="E177" s="207" t="s">
        <v>268</v>
      </c>
      <c r="F177" s="207"/>
      <c r="G177" s="27">
        <f>G178</f>
        <v>0</v>
      </c>
      <c r="J177" s="130"/>
    </row>
    <row r="178" spans="1:10" ht="47.25" customHeight="1" hidden="1">
      <c r="A178" s="26" t="s">
        <v>239</v>
      </c>
      <c r="B178" s="367">
        <v>902</v>
      </c>
      <c r="C178" s="207" t="s">
        <v>256</v>
      </c>
      <c r="D178" s="207" t="s">
        <v>260</v>
      </c>
      <c r="E178" s="207" t="s">
        <v>268</v>
      </c>
      <c r="F178" s="207" t="s">
        <v>173</v>
      </c>
      <c r="G178" s="27">
        <f>G179</f>
        <v>0</v>
      </c>
      <c r="J178" s="130"/>
    </row>
    <row r="179" spans="1:10" ht="47.25" customHeight="1" hidden="1">
      <c r="A179" s="26" t="s">
        <v>174</v>
      </c>
      <c r="B179" s="367">
        <v>902</v>
      </c>
      <c r="C179" s="207" t="s">
        <v>256</v>
      </c>
      <c r="D179" s="207" t="s">
        <v>260</v>
      </c>
      <c r="E179" s="207" t="s">
        <v>268</v>
      </c>
      <c r="F179" s="207" t="s">
        <v>175</v>
      </c>
      <c r="G179" s="27">
        <f>764.4-764.4</f>
        <v>0</v>
      </c>
      <c r="J179" s="130"/>
    </row>
    <row r="180" spans="1:10" ht="31.5">
      <c r="A180" s="26" t="s">
        <v>269</v>
      </c>
      <c r="B180" s="367">
        <v>902</v>
      </c>
      <c r="C180" s="207" t="s">
        <v>256</v>
      </c>
      <c r="D180" s="207" t="s">
        <v>260</v>
      </c>
      <c r="E180" s="207" t="s">
        <v>270</v>
      </c>
      <c r="F180" s="207"/>
      <c r="G180" s="27">
        <f>G181+G183</f>
        <v>6059.4</v>
      </c>
      <c r="J180" s="130"/>
    </row>
    <row r="181" spans="1:10" ht="63">
      <c r="A181" s="26" t="s">
        <v>168</v>
      </c>
      <c r="B181" s="367">
        <v>902</v>
      </c>
      <c r="C181" s="207" t="s">
        <v>256</v>
      </c>
      <c r="D181" s="207" t="s">
        <v>260</v>
      </c>
      <c r="E181" s="207" t="s">
        <v>270</v>
      </c>
      <c r="F181" s="207" t="s">
        <v>169</v>
      </c>
      <c r="G181" s="27">
        <f>G182</f>
        <v>4817.5</v>
      </c>
      <c r="J181" s="130"/>
    </row>
    <row r="182" spans="1:10" ht="15.75">
      <c r="A182" s="26" t="s">
        <v>249</v>
      </c>
      <c r="B182" s="367">
        <v>902</v>
      </c>
      <c r="C182" s="207" t="s">
        <v>256</v>
      </c>
      <c r="D182" s="207" t="s">
        <v>260</v>
      </c>
      <c r="E182" s="207" t="s">
        <v>270</v>
      </c>
      <c r="F182" s="207" t="s">
        <v>250</v>
      </c>
      <c r="G182" s="28">
        <f>4620+142.6-241.1+11.1+284.9</f>
        <v>4817.5</v>
      </c>
      <c r="H182" s="352"/>
      <c r="I182" s="339"/>
      <c r="J182" s="130"/>
    </row>
    <row r="183" spans="1:10" ht="31.5">
      <c r="A183" s="26" t="s">
        <v>239</v>
      </c>
      <c r="B183" s="367">
        <v>902</v>
      </c>
      <c r="C183" s="207" t="s">
        <v>256</v>
      </c>
      <c r="D183" s="207" t="s">
        <v>260</v>
      </c>
      <c r="E183" s="207" t="s">
        <v>270</v>
      </c>
      <c r="F183" s="207" t="s">
        <v>173</v>
      </c>
      <c r="G183" s="27">
        <f>G184</f>
        <v>1241.9</v>
      </c>
      <c r="J183" s="130"/>
    </row>
    <row r="184" spans="1:10" ht="31.5">
      <c r="A184" s="26" t="s">
        <v>174</v>
      </c>
      <c r="B184" s="367">
        <v>902</v>
      </c>
      <c r="C184" s="207" t="s">
        <v>256</v>
      </c>
      <c r="D184" s="207" t="s">
        <v>260</v>
      </c>
      <c r="E184" s="207" t="s">
        <v>270</v>
      </c>
      <c r="F184" s="207" t="s">
        <v>175</v>
      </c>
      <c r="G184" s="28">
        <f>3101-1859.1</f>
        <v>1241.9</v>
      </c>
      <c r="H184" s="352"/>
      <c r="I184" s="339"/>
      <c r="J184" s="130"/>
    </row>
    <row r="185" spans="1:10" ht="15.75">
      <c r="A185" s="26" t="s">
        <v>271</v>
      </c>
      <c r="B185" s="367">
        <v>902</v>
      </c>
      <c r="C185" s="207" t="s">
        <v>256</v>
      </c>
      <c r="D185" s="207" t="s">
        <v>260</v>
      </c>
      <c r="E185" s="207" t="s">
        <v>272</v>
      </c>
      <c r="F185" s="207"/>
      <c r="G185" s="28">
        <f>G186</f>
        <v>197</v>
      </c>
      <c r="J185" s="130"/>
    </row>
    <row r="186" spans="1:10" ht="31.5">
      <c r="A186" s="26" t="s">
        <v>239</v>
      </c>
      <c r="B186" s="367">
        <v>902</v>
      </c>
      <c r="C186" s="207" t="s">
        <v>256</v>
      </c>
      <c r="D186" s="207" t="s">
        <v>260</v>
      </c>
      <c r="E186" s="207" t="s">
        <v>272</v>
      </c>
      <c r="F186" s="207" t="s">
        <v>173</v>
      </c>
      <c r="G186" s="28">
        <f>G187</f>
        <v>197</v>
      </c>
      <c r="J186" s="130"/>
    </row>
    <row r="187" spans="1:10" ht="31.5">
      <c r="A187" s="26" t="s">
        <v>174</v>
      </c>
      <c r="B187" s="367">
        <v>902</v>
      </c>
      <c r="C187" s="207" t="s">
        <v>256</v>
      </c>
      <c r="D187" s="207" t="s">
        <v>260</v>
      </c>
      <c r="E187" s="207" t="s">
        <v>272</v>
      </c>
      <c r="F187" s="207" t="s">
        <v>175</v>
      </c>
      <c r="G187" s="28">
        <f>99+98</f>
        <v>197</v>
      </c>
      <c r="H187" s="352"/>
      <c r="J187" s="130"/>
    </row>
    <row r="188" spans="1:10" ht="15.75">
      <c r="A188" s="24" t="s">
        <v>273</v>
      </c>
      <c r="B188" s="382">
        <v>902</v>
      </c>
      <c r="C188" s="383" t="s">
        <v>191</v>
      </c>
      <c r="D188" s="383"/>
      <c r="E188" s="383"/>
      <c r="F188" s="207"/>
      <c r="G188" s="22">
        <f>G205+G189</f>
        <v>1060</v>
      </c>
      <c r="J188" s="130"/>
    </row>
    <row r="189" spans="1:10" ht="15.75">
      <c r="A189" s="24" t="s">
        <v>274</v>
      </c>
      <c r="B189" s="382">
        <v>902</v>
      </c>
      <c r="C189" s="383" t="s">
        <v>191</v>
      </c>
      <c r="D189" s="383" t="s">
        <v>275</v>
      </c>
      <c r="E189" s="383"/>
      <c r="F189" s="207"/>
      <c r="G189" s="22">
        <f>G197+G190</f>
        <v>355</v>
      </c>
      <c r="J189" s="130"/>
    </row>
    <row r="190" spans="1:10" ht="47.25">
      <c r="A190" s="33" t="s">
        <v>222</v>
      </c>
      <c r="B190" s="367">
        <v>902</v>
      </c>
      <c r="C190" s="207" t="s">
        <v>191</v>
      </c>
      <c r="D190" s="207" t="s">
        <v>275</v>
      </c>
      <c r="E190" s="385" t="s">
        <v>223</v>
      </c>
      <c r="F190" s="386"/>
      <c r="G190" s="27">
        <f>G191+G194</f>
        <v>100</v>
      </c>
      <c r="J190" s="130"/>
    </row>
    <row r="191" spans="1:10" ht="31.5">
      <c r="A191" s="26" t="s">
        <v>198</v>
      </c>
      <c r="B191" s="367">
        <v>902</v>
      </c>
      <c r="C191" s="207" t="s">
        <v>191</v>
      </c>
      <c r="D191" s="207" t="s">
        <v>275</v>
      </c>
      <c r="E191" s="207" t="s">
        <v>224</v>
      </c>
      <c r="F191" s="386"/>
      <c r="G191" s="27">
        <f>G192</f>
        <v>100</v>
      </c>
      <c r="J191" s="130"/>
    </row>
    <row r="192" spans="1:10" ht="15.75">
      <c r="A192" s="31" t="s">
        <v>176</v>
      </c>
      <c r="B192" s="367">
        <v>902</v>
      </c>
      <c r="C192" s="207" t="s">
        <v>191</v>
      </c>
      <c r="D192" s="207" t="s">
        <v>275</v>
      </c>
      <c r="E192" s="207" t="s">
        <v>224</v>
      </c>
      <c r="F192" s="386" t="s">
        <v>186</v>
      </c>
      <c r="G192" s="27">
        <f>G193</f>
        <v>100</v>
      </c>
      <c r="J192" s="130"/>
    </row>
    <row r="193" spans="1:10" ht="47.25">
      <c r="A193" s="31" t="s">
        <v>225</v>
      </c>
      <c r="B193" s="367">
        <v>902</v>
      </c>
      <c r="C193" s="207" t="s">
        <v>191</v>
      </c>
      <c r="D193" s="207" t="s">
        <v>275</v>
      </c>
      <c r="E193" s="207" t="s">
        <v>224</v>
      </c>
      <c r="F193" s="386" t="s">
        <v>201</v>
      </c>
      <c r="G193" s="27">
        <f>120-20</f>
        <v>100</v>
      </c>
      <c r="H193" s="352"/>
      <c r="J193" s="130"/>
    </row>
    <row r="194" spans="1:10" ht="31.5" hidden="1">
      <c r="A194" s="26" t="s">
        <v>939</v>
      </c>
      <c r="B194" s="367">
        <v>902</v>
      </c>
      <c r="C194" s="207" t="s">
        <v>191</v>
      </c>
      <c r="D194" s="207" t="s">
        <v>275</v>
      </c>
      <c r="E194" s="207" t="s">
        <v>941</v>
      </c>
      <c r="F194" s="386"/>
      <c r="G194" s="27">
        <f>G195</f>
        <v>0</v>
      </c>
      <c r="J194" s="130"/>
    </row>
    <row r="195" spans="1:10" ht="15.75" hidden="1">
      <c r="A195" s="31" t="s">
        <v>176</v>
      </c>
      <c r="B195" s="367">
        <v>902</v>
      </c>
      <c r="C195" s="207" t="s">
        <v>191</v>
      </c>
      <c r="D195" s="207" t="s">
        <v>275</v>
      </c>
      <c r="E195" s="207" t="s">
        <v>941</v>
      </c>
      <c r="F195" s="386" t="s">
        <v>186</v>
      </c>
      <c r="G195" s="27">
        <f>G196</f>
        <v>0</v>
      </c>
      <c r="J195" s="130"/>
    </row>
    <row r="196" spans="1:10" ht="47.25" hidden="1">
      <c r="A196" s="31" t="s">
        <v>225</v>
      </c>
      <c r="B196" s="367">
        <v>902</v>
      </c>
      <c r="C196" s="207" t="s">
        <v>191</v>
      </c>
      <c r="D196" s="207" t="s">
        <v>275</v>
      </c>
      <c r="E196" s="207" t="s">
        <v>941</v>
      </c>
      <c r="F196" s="386" t="s">
        <v>201</v>
      </c>
      <c r="G196" s="27">
        <v>0</v>
      </c>
      <c r="J196" s="130"/>
    </row>
    <row r="197" spans="1:10" ht="15.75">
      <c r="A197" s="26" t="s">
        <v>162</v>
      </c>
      <c r="B197" s="367">
        <v>902</v>
      </c>
      <c r="C197" s="207" t="s">
        <v>191</v>
      </c>
      <c r="D197" s="207" t="s">
        <v>275</v>
      </c>
      <c r="E197" s="207" t="s">
        <v>163</v>
      </c>
      <c r="F197" s="207"/>
      <c r="G197" s="27">
        <f>G198</f>
        <v>255</v>
      </c>
      <c r="J197" s="130"/>
    </row>
    <row r="198" spans="1:10" ht="15.75">
      <c r="A198" s="26" t="s">
        <v>226</v>
      </c>
      <c r="B198" s="367">
        <v>902</v>
      </c>
      <c r="C198" s="207" t="s">
        <v>191</v>
      </c>
      <c r="D198" s="207" t="s">
        <v>275</v>
      </c>
      <c r="E198" s="207" t="s">
        <v>227</v>
      </c>
      <c r="F198" s="207"/>
      <c r="G198" s="27">
        <f>G202+G199</f>
        <v>255</v>
      </c>
      <c r="J198" s="130"/>
    </row>
    <row r="199" spans="1:10" ht="31.5" hidden="1">
      <c r="A199" s="26" t="s">
        <v>939</v>
      </c>
      <c r="B199" s="367">
        <v>902</v>
      </c>
      <c r="C199" s="207" t="s">
        <v>191</v>
      </c>
      <c r="D199" s="207" t="s">
        <v>275</v>
      </c>
      <c r="E199" s="207" t="s">
        <v>940</v>
      </c>
      <c r="F199" s="207"/>
      <c r="G199" s="27">
        <f>G200</f>
        <v>0</v>
      </c>
      <c r="J199" s="130"/>
    </row>
    <row r="200" spans="1:10" ht="15.75" hidden="1">
      <c r="A200" s="31" t="s">
        <v>176</v>
      </c>
      <c r="B200" s="367">
        <v>902</v>
      </c>
      <c r="C200" s="207" t="s">
        <v>191</v>
      </c>
      <c r="D200" s="207" t="s">
        <v>275</v>
      </c>
      <c r="E200" s="207" t="s">
        <v>940</v>
      </c>
      <c r="F200" s="207" t="s">
        <v>186</v>
      </c>
      <c r="G200" s="27">
        <f>G201</f>
        <v>0</v>
      </c>
      <c r="J200" s="130"/>
    </row>
    <row r="201" spans="1:10" ht="47.25" hidden="1">
      <c r="A201" s="31" t="s">
        <v>225</v>
      </c>
      <c r="B201" s="367">
        <v>902</v>
      </c>
      <c r="C201" s="207" t="s">
        <v>191</v>
      </c>
      <c r="D201" s="207" t="s">
        <v>275</v>
      </c>
      <c r="E201" s="207" t="s">
        <v>940</v>
      </c>
      <c r="F201" s="207" t="s">
        <v>201</v>
      </c>
      <c r="G201" s="27">
        <v>0</v>
      </c>
      <c r="J201" s="130"/>
    </row>
    <row r="202" spans="1:10" ht="31.5">
      <c r="A202" s="26" t="s">
        <v>276</v>
      </c>
      <c r="B202" s="367">
        <v>902</v>
      </c>
      <c r="C202" s="207" t="s">
        <v>191</v>
      </c>
      <c r="D202" s="207" t="s">
        <v>275</v>
      </c>
      <c r="E202" s="207" t="s">
        <v>277</v>
      </c>
      <c r="F202" s="207"/>
      <c r="G202" s="27">
        <f>G203</f>
        <v>255</v>
      </c>
      <c r="J202" s="130"/>
    </row>
    <row r="203" spans="1:10" ht="15.75">
      <c r="A203" s="26" t="s">
        <v>176</v>
      </c>
      <c r="B203" s="367">
        <v>902</v>
      </c>
      <c r="C203" s="207" t="s">
        <v>191</v>
      </c>
      <c r="D203" s="207" t="s">
        <v>275</v>
      </c>
      <c r="E203" s="207" t="s">
        <v>277</v>
      </c>
      <c r="F203" s="207" t="s">
        <v>186</v>
      </c>
      <c r="G203" s="27">
        <f>G204</f>
        <v>255</v>
      </c>
      <c r="J203" s="130"/>
    </row>
    <row r="204" spans="1:10" ht="50.25" customHeight="1">
      <c r="A204" s="26" t="s">
        <v>225</v>
      </c>
      <c r="B204" s="367">
        <v>902</v>
      </c>
      <c r="C204" s="207" t="s">
        <v>191</v>
      </c>
      <c r="D204" s="207" t="s">
        <v>275</v>
      </c>
      <c r="E204" s="207" t="s">
        <v>277</v>
      </c>
      <c r="F204" s="207" t="s">
        <v>201</v>
      </c>
      <c r="G204" s="27">
        <f>'прил.№1 доходы'!I115</f>
        <v>255</v>
      </c>
      <c r="J204" s="130"/>
    </row>
    <row r="205" spans="1:10" ht="15.75">
      <c r="A205" s="24" t="s">
        <v>278</v>
      </c>
      <c r="B205" s="382">
        <v>902</v>
      </c>
      <c r="C205" s="383" t="s">
        <v>191</v>
      </c>
      <c r="D205" s="383" t="s">
        <v>279</v>
      </c>
      <c r="E205" s="383"/>
      <c r="F205" s="383"/>
      <c r="G205" s="22">
        <f>G210+G206</f>
        <v>705</v>
      </c>
      <c r="J205" s="130"/>
    </row>
    <row r="206" spans="1:10" ht="51.75" customHeight="1">
      <c r="A206" s="26" t="s">
        <v>949</v>
      </c>
      <c r="B206" s="367">
        <v>902</v>
      </c>
      <c r="C206" s="207" t="s">
        <v>191</v>
      </c>
      <c r="D206" s="207" t="s">
        <v>279</v>
      </c>
      <c r="E206" s="207" t="s">
        <v>197</v>
      </c>
      <c r="F206" s="207"/>
      <c r="G206" s="27">
        <f>G207</f>
        <v>100</v>
      </c>
      <c r="J206" s="130"/>
    </row>
    <row r="207" spans="1:10" ht="31.5">
      <c r="A207" s="26" t="s">
        <v>198</v>
      </c>
      <c r="B207" s="367">
        <v>902</v>
      </c>
      <c r="C207" s="207" t="s">
        <v>191</v>
      </c>
      <c r="D207" s="207" t="s">
        <v>279</v>
      </c>
      <c r="E207" s="207" t="s">
        <v>199</v>
      </c>
      <c r="F207" s="207"/>
      <c r="G207" s="27">
        <f>G208</f>
        <v>100</v>
      </c>
      <c r="J207" s="130"/>
    </row>
    <row r="208" spans="1:10" ht="15.75">
      <c r="A208" s="26" t="s">
        <v>176</v>
      </c>
      <c r="B208" s="367">
        <v>902</v>
      </c>
      <c r="C208" s="207" t="s">
        <v>191</v>
      </c>
      <c r="D208" s="207" t="s">
        <v>279</v>
      </c>
      <c r="E208" s="207" t="s">
        <v>199</v>
      </c>
      <c r="F208" s="207" t="s">
        <v>186</v>
      </c>
      <c r="G208" s="27">
        <f>G209</f>
        <v>100</v>
      </c>
      <c r="J208" s="130"/>
    </row>
    <row r="209" spans="1:10" ht="47.25">
      <c r="A209" s="26" t="s">
        <v>200</v>
      </c>
      <c r="B209" s="367">
        <v>902</v>
      </c>
      <c r="C209" s="207" t="s">
        <v>191</v>
      </c>
      <c r="D209" s="207" t="s">
        <v>279</v>
      </c>
      <c r="E209" s="207" t="s">
        <v>199</v>
      </c>
      <c r="F209" s="207" t="s">
        <v>201</v>
      </c>
      <c r="G209" s="27">
        <f>100+150-250+100</f>
        <v>100</v>
      </c>
      <c r="H209" s="352" t="s">
        <v>795</v>
      </c>
      <c r="J209" s="130"/>
    </row>
    <row r="210" spans="1:10" ht="15.75">
      <c r="A210" s="26" t="s">
        <v>162</v>
      </c>
      <c r="B210" s="367">
        <v>902</v>
      </c>
      <c r="C210" s="207" t="s">
        <v>191</v>
      </c>
      <c r="D210" s="207" t="s">
        <v>279</v>
      </c>
      <c r="E210" s="207" t="s">
        <v>163</v>
      </c>
      <c r="F210" s="383"/>
      <c r="G210" s="27">
        <f>G211</f>
        <v>605</v>
      </c>
      <c r="J210" s="130"/>
    </row>
    <row r="211" spans="1:10" ht="15.75">
      <c r="A211" s="26" t="s">
        <v>226</v>
      </c>
      <c r="B211" s="367">
        <v>902</v>
      </c>
      <c r="C211" s="207" t="s">
        <v>191</v>
      </c>
      <c r="D211" s="207" t="s">
        <v>279</v>
      </c>
      <c r="E211" s="207" t="s">
        <v>227</v>
      </c>
      <c r="F211" s="383"/>
      <c r="G211" s="27">
        <f>G215+G212</f>
        <v>605</v>
      </c>
      <c r="J211" s="130"/>
    </row>
    <row r="212" spans="1:10" ht="31.5" hidden="1">
      <c r="A212" s="26" t="s">
        <v>280</v>
      </c>
      <c r="B212" s="367">
        <v>902</v>
      </c>
      <c r="C212" s="207" t="s">
        <v>191</v>
      </c>
      <c r="D212" s="207" t="s">
        <v>279</v>
      </c>
      <c r="E212" s="207" t="s">
        <v>281</v>
      </c>
      <c r="F212" s="383"/>
      <c r="G212" s="27">
        <f>G213</f>
        <v>0</v>
      </c>
      <c r="J212" s="130"/>
    </row>
    <row r="213" spans="1:10" ht="15.75" hidden="1">
      <c r="A213" s="26" t="s">
        <v>176</v>
      </c>
      <c r="B213" s="367">
        <v>902</v>
      </c>
      <c r="C213" s="207" t="s">
        <v>191</v>
      </c>
      <c r="D213" s="207" t="s">
        <v>279</v>
      </c>
      <c r="E213" s="207" t="s">
        <v>281</v>
      </c>
      <c r="F213" s="207" t="s">
        <v>186</v>
      </c>
      <c r="G213" s="27">
        <f>G214</f>
        <v>0</v>
      </c>
      <c r="J213" s="130"/>
    </row>
    <row r="214" spans="1:10" ht="47.25" hidden="1">
      <c r="A214" s="26" t="s">
        <v>225</v>
      </c>
      <c r="B214" s="367">
        <v>902</v>
      </c>
      <c r="C214" s="207" t="s">
        <v>191</v>
      </c>
      <c r="D214" s="207" t="s">
        <v>279</v>
      </c>
      <c r="E214" s="207" t="s">
        <v>281</v>
      </c>
      <c r="F214" s="207" t="s">
        <v>201</v>
      </c>
      <c r="G214" s="27">
        <v>0</v>
      </c>
      <c r="J214" s="130"/>
    </row>
    <row r="215" spans="1:10" ht="63">
      <c r="A215" s="33" t="s">
        <v>282</v>
      </c>
      <c r="B215" s="367">
        <v>902</v>
      </c>
      <c r="C215" s="207" t="s">
        <v>191</v>
      </c>
      <c r="D215" s="207" t="s">
        <v>279</v>
      </c>
      <c r="E215" s="207" t="s">
        <v>283</v>
      </c>
      <c r="F215" s="207"/>
      <c r="G215" s="27">
        <f>G216+G218</f>
        <v>605</v>
      </c>
      <c r="H215" s="353"/>
      <c r="J215" s="130"/>
    </row>
    <row r="216" spans="1:10" ht="63">
      <c r="A216" s="26" t="s">
        <v>168</v>
      </c>
      <c r="B216" s="367">
        <v>902</v>
      </c>
      <c r="C216" s="207" t="s">
        <v>191</v>
      </c>
      <c r="D216" s="207" t="s">
        <v>279</v>
      </c>
      <c r="E216" s="207" t="s">
        <v>283</v>
      </c>
      <c r="F216" s="207" t="s">
        <v>169</v>
      </c>
      <c r="G216" s="27">
        <f>G217</f>
        <v>579.9599999999999</v>
      </c>
      <c r="J216" s="130"/>
    </row>
    <row r="217" spans="1:10" ht="31.5">
      <c r="A217" s="26" t="s">
        <v>170</v>
      </c>
      <c r="B217" s="367">
        <v>902</v>
      </c>
      <c r="C217" s="207" t="s">
        <v>191</v>
      </c>
      <c r="D217" s="207" t="s">
        <v>279</v>
      </c>
      <c r="E217" s="207" t="s">
        <v>283</v>
      </c>
      <c r="F217" s="207" t="s">
        <v>171</v>
      </c>
      <c r="G217" s="27">
        <f>901.3-361.1+239.5-90.34-109.4</f>
        <v>579.9599999999999</v>
      </c>
      <c r="H217" s="352" t="s">
        <v>1247</v>
      </c>
      <c r="J217" s="130"/>
    </row>
    <row r="218" spans="1:10" ht="31.5">
      <c r="A218" s="26" t="s">
        <v>172</v>
      </c>
      <c r="B218" s="367">
        <v>902</v>
      </c>
      <c r="C218" s="207" t="s">
        <v>191</v>
      </c>
      <c r="D218" s="207" t="s">
        <v>279</v>
      </c>
      <c r="E218" s="207" t="s">
        <v>283</v>
      </c>
      <c r="F218" s="207" t="s">
        <v>173</v>
      </c>
      <c r="G218" s="27">
        <f>G219</f>
        <v>25.04000000000002</v>
      </c>
      <c r="J218" s="130"/>
    </row>
    <row r="219" spans="1:10" ht="31.5">
      <c r="A219" s="26" t="s">
        <v>174</v>
      </c>
      <c r="B219" s="367">
        <v>902</v>
      </c>
      <c r="C219" s="207" t="s">
        <v>191</v>
      </c>
      <c r="D219" s="207" t="s">
        <v>279</v>
      </c>
      <c r="E219" s="207" t="s">
        <v>283</v>
      </c>
      <c r="F219" s="207" t="s">
        <v>175</v>
      </c>
      <c r="G219" s="27">
        <f>361.1-239.5+90.34-186.9</f>
        <v>25.04000000000002</v>
      </c>
      <c r="H219" s="352" t="s">
        <v>1246</v>
      </c>
      <c r="J219" s="130"/>
    </row>
    <row r="220" spans="1:10" ht="16.5" customHeight="1">
      <c r="A220" s="24" t="s">
        <v>284</v>
      </c>
      <c r="B220" s="382">
        <v>902</v>
      </c>
      <c r="C220" s="383" t="s">
        <v>285</v>
      </c>
      <c r="D220" s="383"/>
      <c r="E220" s="383"/>
      <c r="F220" s="383"/>
      <c r="G220" s="22">
        <f>G221+G227+G237</f>
        <v>12340.3</v>
      </c>
      <c r="J220" s="130"/>
    </row>
    <row r="221" spans="1:10" ht="15.75">
      <c r="A221" s="24" t="s">
        <v>286</v>
      </c>
      <c r="B221" s="382">
        <v>902</v>
      </c>
      <c r="C221" s="383" t="s">
        <v>285</v>
      </c>
      <c r="D221" s="383" t="s">
        <v>159</v>
      </c>
      <c r="E221" s="383"/>
      <c r="F221" s="383"/>
      <c r="G221" s="22">
        <f>G222</f>
        <v>9066.4</v>
      </c>
      <c r="J221" s="130"/>
    </row>
    <row r="222" spans="1:10" ht="15.75">
      <c r="A222" s="26" t="s">
        <v>162</v>
      </c>
      <c r="B222" s="367">
        <v>902</v>
      </c>
      <c r="C222" s="207" t="s">
        <v>285</v>
      </c>
      <c r="D222" s="207" t="s">
        <v>159</v>
      </c>
      <c r="E222" s="207" t="s">
        <v>163</v>
      </c>
      <c r="F222" s="207"/>
      <c r="G222" s="27">
        <f>G223</f>
        <v>9066.4</v>
      </c>
      <c r="J222" s="130"/>
    </row>
    <row r="223" spans="1:10" ht="15.75">
      <c r="A223" s="26" t="s">
        <v>182</v>
      </c>
      <c r="B223" s="367">
        <v>902</v>
      </c>
      <c r="C223" s="207" t="s">
        <v>285</v>
      </c>
      <c r="D223" s="207" t="s">
        <v>159</v>
      </c>
      <c r="E223" s="207" t="s">
        <v>183</v>
      </c>
      <c r="F223" s="207"/>
      <c r="G223" s="27">
        <f>G224</f>
        <v>9066.4</v>
      </c>
      <c r="J223" s="130"/>
    </row>
    <row r="224" spans="1:10" ht="15.75">
      <c r="A224" s="26" t="s">
        <v>287</v>
      </c>
      <c r="B224" s="367">
        <v>902</v>
      </c>
      <c r="C224" s="207" t="s">
        <v>285</v>
      </c>
      <c r="D224" s="207" t="s">
        <v>159</v>
      </c>
      <c r="E224" s="207" t="s">
        <v>288</v>
      </c>
      <c r="F224" s="207"/>
      <c r="G224" s="27">
        <f>G225</f>
        <v>9066.4</v>
      </c>
      <c r="J224" s="130"/>
    </row>
    <row r="225" spans="1:10" ht="15.75">
      <c r="A225" s="26" t="s">
        <v>289</v>
      </c>
      <c r="B225" s="367">
        <v>902</v>
      </c>
      <c r="C225" s="207" t="s">
        <v>285</v>
      </c>
      <c r="D225" s="207" t="s">
        <v>159</v>
      </c>
      <c r="E225" s="207" t="s">
        <v>288</v>
      </c>
      <c r="F225" s="207" t="s">
        <v>290</v>
      </c>
      <c r="G225" s="27">
        <f>G226</f>
        <v>9066.4</v>
      </c>
      <c r="J225" s="130"/>
    </row>
    <row r="226" spans="1:10" ht="31.5">
      <c r="A226" s="26" t="s">
        <v>291</v>
      </c>
      <c r="B226" s="367">
        <v>902</v>
      </c>
      <c r="C226" s="207" t="s">
        <v>285</v>
      </c>
      <c r="D226" s="207" t="s">
        <v>159</v>
      </c>
      <c r="E226" s="207" t="s">
        <v>288</v>
      </c>
      <c r="F226" s="207" t="s">
        <v>292</v>
      </c>
      <c r="G226" s="28">
        <v>9066.4</v>
      </c>
      <c r="J226" s="130"/>
    </row>
    <row r="227" spans="1:10" ht="15.75">
      <c r="A227" s="24" t="s">
        <v>293</v>
      </c>
      <c r="B227" s="382">
        <v>902</v>
      </c>
      <c r="C227" s="383" t="s">
        <v>285</v>
      </c>
      <c r="D227" s="383" t="s">
        <v>256</v>
      </c>
      <c r="E227" s="207"/>
      <c r="F227" s="207"/>
      <c r="G227" s="22">
        <f>G228+G232</f>
        <v>10</v>
      </c>
      <c r="J227" s="130"/>
    </row>
    <row r="228" spans="1:10" ht="47.25">
      <c r="A228" s="26" t="s">
        <v>294</v>
      </c>
      <c r="B228" s="367">
        <v>902</v>
      </c>
      <c r="C228" s="207" t="s">
        <v>285</v>
      </c>
      <c r="D228" s="207" t="s">
        <v>256</v>
      </c>
      <c r="E228" s="207" t="s">
        <v>295</v>
      </c>
      <c r="F228" s="207"/>
      <c r="G228" s="27">
        <f>G229</f>
        <v>10</v>
      </c>
      <c r="J228" s="130"/>
    </row>
    <row r="229" spans="1:10" ht="31.5">
      <c r="A229" s="26" t="s">
        <v>198</v>
      </c>
      <c r="B229" s="367">
        <v>902</v>
      </c>
      <c r="C229" s="207" t="s">
        <v>285</v>
      </c>
      <c r="D229" s="207" t="s">
        <v>256</v>
      </c>
      <c r="E229" s="207" t="s">
        <v>296</v>
      </c>
      <c r="F229" s="207"/>
      <c r="G229" s="27">
        <f>G230</f>
        <v>10</v>
      </c>
      <c r="J229" s="130"/>
    </row>
    <row r="230" spans="1:10" ht="15.75">
      <c r="A230" s="26" t="s">
        <v>289</v>
      </c>
      <c r="B230" s="367">
        <v>902</v>
      </c>
      <c r="C230" s="207" t="s">
        <v>285</v>
      </c>
      <c r="D230" s="207" t="s">
        <v>256</v>
      </c>
      <c r="E230" s="207" t="s">
        <v>296</v>
      </c>
      <c r="F230" s="207" t="s">
        <v>290</v>
      </c>
      <c r="G230" s="27">
        <f>G231</f>
        <v>10</v>
      </c>
      <c r="J230" s="130"/>
    </row>
    <row r="231" spans="1:10" ht="31.5">
      <c r="A231" s="26" t="s">
        <v>291</v>
      </c>
      <c r="B231" s="367">
        <v>902</v>
      </c>
      <c r="C231" s="207" t="s">
        <v>285</v>
      </c>
      <c r="D231" s="207" t="s">
        <v>256</v>
      </c>
      <c r="E231" s="207" t="s">
        <v>296</v>
      </c>
      <c r="F231" s="207" t="s">
        <v>292</v>
      </c>
      <c r="G231" s="27">
        <v>10</v>
      </c>
      <c r="J231" s="130"/>
    </row>
    <row r="232" spans="1:10" ht="15.75" customHeight="1" hidden="1">
      <c r="A232" s="26" t="s">
        <v>162</v>
      </c>
      <c r="B232" s="367">
        <v>902</v>
      </c>
      <c r="C232" s="207" t="s">
        <v>285</v>
      </c>
      <c r="D232" s="207" t="s">
        <v>256</v>
      </c>
      <c r="E232" s="207" t="s">
        <v>163</v>
      </c>
      <c r="F232" s="207"/>
      <c r="G232" s="27">
        <f>G233</f>
        <v>0</v>
      </c>
      <c r="J232" s="130"/>
    </row>
    <row r="233" spans="1:10" ht="31.5" customHeight="1" hidden="1">
      <c r="A233" s="26" t="s">
        <v>226</v>
      </c>
      <c r="B233" s="367">
        <v>902</v>
      </c>
      <c r="C233" s="207" t="s">
        <v>285</v>
      </c>
      <c r="D233" s="207" t="s">
        <v>256</v>
      </c>
      <c r="E233" s="207" t="s">
        <v>227</v>
      </c>
      <c r="F233" s="207"/>
      <c r="G233" s="27">
        <f>G234</f>
        <v>0</v>
      </c>
      <c r="J233" s="130"/>
    </row>
    <row r="234" spans="1:10" ht="47.25" customHeight="1" hidden="1">
      <c r="A234" s="33" t="s">
        <v>297</v>
      </c>
      <c r="B234" s="367">
        <v>902</v>
      </c>
      <c r="C234" s="207" t="s">
        <v>285</v>
      </c>
      <c r="D234" s="207" t="s">
        <v>256</v>
      </c>
      <c r="E234" s="207" t="s">
        <v>298</v>
      </c>
      <c r="F234" s="207"/>
      <c r="G234" s="27">
        <f>G235</f>
        <v>0</v>
      </c>
      <c r="J234" s="130"/>
    </row>
    <row r="235" spans="1:10" ht="31.5" customHeight="1" hidden="1">
      <c r="A235" s="26" t="s">
        <v>289</v>
      </c>
      <c r="B235" s="367">
        <v>902</v>
      </c>
      <c r="C235" s="207" t="s">
        <v>285</v>
      </c>
      <c r="D235" s="207" t="s">
        <v>256</v>
      </c>
      <c r="E235" s="207" t="s">
        <v>298</v>
      </c>
      <c r="F235" s="207" t="s">
        <v>290</v>
      </c>
      <c r="G235" s="27">
        <f>G236</f>
        <v>0</v>
      </c>
      <c r="J235" s="130"/>
    </row>
    <row r="236" spans="1:10" ht="31.5" customHeight="1" hidden="1">
      <c r="A236" s="26" t="s">
        <v>291</v>
      </c>
      <c r="B236" s="367">
        <v>902</v>
      </c>
      <c r="C236" s="207" t="s">
        <v>285</v>
      </c>
      <c r="D236" s="207" t="s">
        <v>256</v>
      </c>
      <c r="E236" s="207" t="s">
        <v>298</v>
      </c>
      <c r="F236" s="207" t="s">
        <v>292</v>
      </c>
      <c r="G236" s="27">
        <f>6250-6250</f>
        <v>0</v>
      </c>
      <c r="J236" s="130"/>
    </row>
    <row r="237" spans="1:10" ht="15.75">
      <c r="A237" s="24" t="s">
        <v>299</v>
      </c>
      <c r="B237" s="382">
        <v>902</v>
      </c>
      <c r="C237" s="383" t="s">
        <v>285</v>
      </c>
      <c r="D237" s="383" t="s">
        <v>161</v>
      </c>
      <c r="E237" s="383"/>
      <c r="F237" s="383"/>
      <c r="G237" s="22">
        <f>G238</f>
        <v>3263.9</v>
      </c>
      <c r="J237" s="130"/>
    </row>
    <row r="238" spans="1:10" ht="15.75">
      <c r="A238" s="26" t="s">
        <v>162</v>
      </c>
      <c r="B238" s="367">
        <v>902</v>
      </c>
      <c r="C238" s="207" t="s">
        <v>285</v>
      </c>
      <c r="D238" s="207" t="s">
        <v>161</v>
      </c>
      <c r="E238" s="207" t="s">
        <v>163</v>
      </c>
      <c r="F238" s="383"/>
      <c r="G238" s="27">
        <f>G239</f>
        <v>3263.9</v>
      </c>
      <c r="J238" s="130"/>
    </row>
    <row r="239" spans="1:10" ht="15.75">
      <c r="A239" s="26" t="s">
        <v>226</v>
      </c>
      <c r="B239" s="367">
        <v>902</v>
      </c>
      <c r="C239" s="207" t="s">
        <v>285</v>
      </c>
      <c r="D239" s="207" t="s">
        <v>161</v>
      </c>
      <c r="E239" s="207" t="s">
        <v>227</v>
      </c>
      <c r="F239" s="207"/>
      <c r="G239" s="27">
        <f>G240</f>
        <v>3263.9</v>
      </c>
      <c r="J239" s="130"/>
    </row>
    <row r="240" spans="1:10" ht="47.25">
      <c r="A240" s="33" t="s">
        <v>300</v>
      </c>
      <c r="B240" s="367">
        <v>902</v>
      </c>
      <c r="C240" s="207" t="s">
        <v>285</v>
      </c>
      <c r="D240" s="207" t="s">
        <v>161</v>
      </c>
      <c r="E240" s="207" t="s">
        <v>301</v>
      </c>
      <c r="F240" s="207"/>
      <c r="G240" s="27">
        <f>G241+G243</f>
        <v>3263.9</v>
      </c>
      <c r="J240" s="130"/>
    </row>
    <row r="241" spans="1:10" ht="63">
      <c r="A241" s="26" t="s">
        <v>168</v>
      </c>
      <c r="B241" s="367">
        <v>902</v>
      </c>
      <c r="C241" s="207" t="s">
        <v>285</v>
      </c>
      <c r="D241" s="207" t="s">
        <v>161</v>
      </c>
      <c r="E241" s="207" t="s">
        <v>301</v>
      </c>
      <c r="F241" s="207" t="s">
        <v>169</v>
      </c>
      <c r="G241" s="27">
        <f>G242</f>
        <v>2995.8</v>
      </c>
      <c r="J241" s="130"/>
    </row>
    <row r="242" spans="1:10" ht="31.5">
      <c r="A242" s="26" t="s">
        <v>170</v>
      </c>
      <c r="B242" s="367">
        <v>902</v>
      </c>
      <c r="C242" s="207" t="s">
        <v>285</v>
      </c>
      <c r="D242" s="207" t="s">
        <v>161</v>
      </c>
      <c r="E242" s="207" t="s">
        <v>301</v>
      </c>
      <c r="F242" s="207" t="s">
        <v>171</v>
      </c>
      <c r="G242" s="28">
        <f>2972.5+23.3</f>
        <v>2995.8</v>
      </c>
      <c r="H242" s="352"/>
      <c r="J242" s="130"/>
    </row>
    <row r="243" spans="1:10" ht="31.5">
      <c r="A243" s="26" t="s">
        <v>172</v>
      </c>
      <c r="B243" s="367">
        <v>902</v>
      </c>
      <c r="C243" s="207" t="s">
        <v>285</v>
      </c>
      <c r="D243" s="207" t="s">
        <v>161</v>
      </c>
      <c r="E243" s="207" t="s">
        <v>301</v>
      </c>
      <c r="F243" s="207" t="s">
        <v>173</v>
      </c>
      <c r="G243" s="27">
        <f>G244</f>
        <v>268.09999999999997</v>
      </c>
      <c r="J243" s="130"/>
    </row>
    <row r="244" spans="1:10" ht="31.5">
      <c r="A244" s="26" t="s">
        <v>174</v>
      </c>
      <c r="B244" s="367">
        <v>902</v>
      </c>
      <c r="C244" s="207" t="s">
        <v>285</v>
      </c>
      <c r="D244" s="207" t="s">
        <v>161</v>
      </c>
      <c r="E244" s="207" t="s">
        <v>301</v>
      </c>
      <c r="F244" s="207" t="s">
        <v>175</v>
      </c>
      <c r="G244" s="28">
        <f>291.4-23.3</f>
        <v>268.09999999999997</v>
      </c>
      <c r="H244" s="352"/>
      <c r="J244" s="130"/>
    </row>
    <row r="245" spans="1:10" ht="39.75" customHeight="1">
      <c r="A245" s="20" t="s">
        <v>302</v>
      </c>
      <c r="B245" s="382">
        <v>903</v>
      </c>
      <c r="C245" s="207"/>
      <c r="D245" s="207"/>
      <c r="E245" s="207"/>
      <c r="F245" s="207"/>
      <c r="G245" s="22">
        <f>G302+G379+G543+G246+G292</f>
        <v>89100.69999999998</v>
      </c>
      <c r="J245" s="130"/>
    </row>
    <row r="246" spans="1:10" ht="15.75">
      <c r="A246" s="24" t="s">
        <v>158</v>
      </c>
      <c r="B246" s="382">
        <v>903</v>
      </c>
      <c r="C246" s="383" t="s">
        <v>159</v>
      </c>
      <c r="D246" s="207"/>
      <c r="E246" s="207"/>
      <c r="F246" s="207"/>
      <c r="G246" s="22">
        <f>G247</f>
        <v>746</v>
      </c>
      <c r="J246" s="130"/>
    </row>
    <row r="247" spans="1:10" ht="15.75">
      <c r="A247" s="24" t="s">
        <v>180</v>
      </c>
      <c r="B247" s="382">
        <v>903</v>
      </c>
      <c r="C247" s="383" t="s">
        <v>159</v>
      </c>
      <c r="D247" s="383" t="s">
        <v>181</v>
      </c>
      <c r="E247" s="207"/>
      <c r="F247" s="207"/>
      <c r="G247" s="22">
        <f>G276+G256+G272+G281+G248+G288</f>
        <v>746</v>
      </c>
      <c r="J247" s="130"/>
    </row>
    <row r="248" spans="1:10" ht="31.5">
      <c r="A248" s="26" t="s">
        <v>384</v>
      </c>
      <c r="B248" s="367">
        <v>903</v>
      </c>
      <c r="C248" s="384" t="s">
        <v>159</v>
      </c>
      <c r="D248" s="384" t="s">
        <v>181</v>
      </c>
      <c r="E248" s="385" t="s">
        <v>385</v>
      </c>
      <c r="F248" s="384"/>
      <c r="G248" s="27">
        <f>G249</f>
        <v>350</v>
      </c>
      <c r="J248" s="130"/>
    </row>
    <row r="249" spans="1:10" ht="78.75">
      <c r="A249" s="31" t="s">
        <v>421</v>
      </c>
      <c r="B249" s="367">
        <v>903</v>
      </c>
      <c r="C249" s="377" t="s">
        <v>159</v>
      </c>
      <c r="D249" s="377" t="s">
        <v>181</v>
      </c>
      <c r="E249" s="377" t="s">
        <v>422</v>
      </c>
      <c r="F249" s="377"/>
      <c r="G249" s="27">
        <f>G250+G253</f>
        <v>350</v>
      </c>
      <c r="J249" s="130"/>
    </row>
    <row r="250" spans="1:10" ht="31.5">
      <c r="A250" s="31" t="s">
        <v>198</v>
      </c>
      <c r="B250" s="367">
        <v>903</v>
      </c>
      <c r="C250" s="377" t="s">
        <v>159</v>
      </c>
      <c r="D250" s="377" t="s">
        <v>181</v>
      </c>
      <c r="E250" s="377" t="s">
        <v>423</v>
      </c>
      <c r="F250" s="377"/>
      <c r="G250" s="27">
        <f>G251</f>
        <v>342.8</v>
      </c>
      <c r="J250" s="130"/>
    </row>
    <row r="251" spans="1:10" ht="31.5">
      <c r="A251" s="31" t="s">
        <v>172</v>
      </c>
      <c r="B251" s="367">
        <v>903</v>
      </c>
      <c r="C251" s="377" t="s">
        <v>159</v>
      </c>
      <c r="D251" s="377" t="s">
        <v>181</v>
      </c>
      <c r="E251" s="377" t="s">
        <v>423</v>
      </c>
      <c r="F251" s="377" t="s">
        <v>173</v>
      </c>
      <c r="G251" s="27">
        <f>G252</f>
        <v>342.8</v>
      </c>
      <c r="H251" s="356"/>
      <c r="J251" s="130"/>
    </row>
    <row r="252" spans="1:10" ht="31.5">
      <c r="A252" s="31" t="s">
        <v>174</v>
      </c>
      <c r="B252" s="367">
        <v>903</v>
      </c>
      <c r="C252" s="377" t="s">
        <v>159</v>
      </c>
      <c r="D252" s="377" t="s">
        <v>181</v>
      </c>
      <c r="E252" s="377" t="s">
        <v>423</v>
      </c>
      <c r="F252" s="377" t="s">
        <v>175</v>
      </c>
      <c r="G252" s="27">
        <f>200+150-7.2</f>
        <v>342.8</v>
      </c>
      <c r="H252" s="356" t="s">
        <v>1133</v>
      </c>
      <c r="J252" s="130"/>
    </row>
    <row r="253" spans="1:10" s="286" customFormat="1" ht="47.25">
      <c r="A253" s="31" t="s">
        <v>1134</v>
      </c>
      <c r="B253" s="367">
        <v>903</v>
      </c>
      <c r="C253" s="377" t="s">
        <v>159</v>
      </c>
      <c r="D253" s="377" t="s">
        <v>181</v>
      </c>
      <c r="E253" s="377" t="s">
        <v>1135</v>
      </c>
      <c r="F253" s="377"/>
      <c r="G253" s="27">
        <f>G254</f>
        <v>7.2</v>
      </c>
      <c r="H253" s="357"/>
      <c r="I253" s="280"/>
      <c r="J253" s="130"/>
    </row>
    <row r="254" spans="1:10" s="286" customFormat="1" ht="31.5">
      <c r="A254" s="31" t="s">
        <v>172</v>
      </c>
      <c r="B254" s="367">
        <v>903</v>
      </c>
      <c r="C254" s="377" t="s">
        <v>159</v>
      </c>
      <c r="D254" s="377" t="s">
        <v>181</v>
      </c>
      <c r="E254" s="377" t="s">
        <v>1135</v>
      </c>
      <c r="F254" s="377" t="s">
        <v>173</v>
      </c>
      <c r="G254" s="27">
        <f>G255</f>
        <v>7.2</v>
      </c>
      <c r="H254" s="357"/>
      <c r="I254" s="280"/>
      <c r="J254" s="130"/>
    </row>
    <row r="255" spans="1:10" s="286" customFormat="1" ht="31.5">
      <c r="A255" s="31" t="s">
        <v>174</v>
      </c>
      <c r="B255" s="367">
        <v>903</v>
      </c>
      <c r="C255" s="377" t="s">
        <v>159</v>
      </c>
      <c r="D255" s="377" t="s">
        <v>181</v>
      </c>
      <c r="E255" s="377" t="s">
        <v>1135</v>
      </c>
      <c r="F255" s="377" t="s">
        <v>175</v>
      </c>
      <c r="G255" s="27">
        <v>7.2</v>
      </c>
      <c r="H255" s="357" t="s">
        <v>1136</v>
      </c>
      <c r="I255" s="280"/>
      <c r="J255" s="130"/>
    </row>
    <row r="256" spans="1:10" ht="31.5">
      <c r="A256" s="26" t="s">
        <v>375</v>
      </c>
      <c r="B256" s="367">
        <v>903</v>
      </c>
      <c r="C256" s="207" t="s">
        <v>159</v>
      </c>
      <c r="D256" s="207" t="s">
        <v>181</v>
      </c>
      <c r="E256" s="207" t="s">
        <v>376</v>
      </c>
      <c r="F256" s="207"/>
      <c r="G256" s="27">
        <f>G260+G266+G257+G263+G269</f>
        <v>255</v>
      </c>
      <c r="J256" s="130"/>
    </row>
    <row r="257" spans="1:10" ht="31.5">
      <c r="A257" s="119" t="s">
        <v>902</v>
      </c>
      <c r="B257" s="367">
        <v>903</v>
      </c>
      <c r="C257" s="207" t="s">
        <v>159</v>
      </c>
      <c r="D257" s="207" t="s">
        <v>181</v>
      </c>
      <c r="E257" s="207" t="s">
        <v>378</v>
      </c>
      <c r="F257" s="207"/>
      <c r="G257" s="27">
        <f>G258</f>
        <v>230</v>
      </c>
      <c r="J257" s="130"/>
    </row>
    <row r="258" spans="1:10" ht="31.5">
      <c r="A258" s="26" t="s">
        <v>172</v>
      </c>
      <c r="B258" s="367">
        <v>903</v>
      </c>
      <c r="C258" s="207" t="s">
        <v>159</v>
      </c>
      <c r="D258" s="207" t="s">
        <v>181</v>
      </c>
      <c r="E258" s="207" t="s">
        <v>378</v>
      </c>
      <c r="F258" s="207" t="s">
        <v>173</v>
      </c>
      <c r="G258" s="27">
        <f>G259</f>
        <v>230</v>
      </c>
      <c r="J258" s="130"/>
    </row>
    <row r="259" spans="1:10" ht="31.5">
      <c r="A259" s="26" t="s">
        <v>174</v>
      </c>
      <c r="B259" s="367">
        <v>903</v>
      </c>
      <c r="C259" s="207" t="s">
        <v>159</v>
      </c>
      <c r="D259" s="207" t="s">
        <v>181</v>
      </c>
      <c r="E259" s="207" t="s">
        <v>378</v>
      </c>
      <c r="F259" s="207" t="s">
        <v>175</v>
      </c>
      <c r="G259" s="27">
        <f>90+140</f>
        <v>230</v>
      </c>
      <c r="H259" s="351" t="s">
        <v>1181</v>
      </c>
      <c r="J259" s="130"/>
    </row>
    <row r="260" spans="1:10" ht="15.75">
      <c r="A260" s="26" t="s">
        <v>379</v>
      </c>
      <c r="B260" s="367">
        <v>903</v>
      </c>
      <c r="C260" s="207" t="s">
        <v>159</v>
      </c>
      <c r="D260" s="207" t="s">
        <v>181</v>
      </c>
      <c r="E260" s="207" t="s">
        <v>380</v>
      </c>
      <c r="F260" s="207"/>
      <c r="G260" s="27">
        <f>G261</f>
        <v>25</v>
      </c>
      <c r="J260" s="130"/>
    </row>
    <row r="261" spans="1:10" ht="31.5">
      <c r="A261" s="26" t="s">
        <v>172</v>
      </c>
      <c r="B261" s="367">
        <v>903</v>
      </c>
      <c r="C261" s="207" t="s">
        <v>159</v>
      </c>
      <c r="D261" s="207" t="s">
        <v>181</v>
      </c>
      <c r="E261" s="207" t="s">
        <v>380</v>
      </c>
      <c r="F261" s="207" t="s">
        <v>173</v>
      </c>
      <c r="G261" s="27">
        <f>G262</f>
        <v>25</v>
      </c>
      <c r="J261" s="130"/>
    </row>
    <row r="262" spans="1:10" ht="31.5">
      <c r="A262" s="26" t="s">
        <v>174</v>
      </c>
      <c r="B262" s="367">
        <v>903</v>
      </c>
      <c r="C262" s="207" t="s">
        <v>159</v>
      </c>
      <c r="D262" s="207" t="s">
        <v>181</v>
      </c>
      <c r="E262" s="207" t="s">
        <v>380</v>
      </c>
      <c r="F262" s="207" t="s">
        <v>175</v>
      </c>
      <c r="G262" s="27">
        <v>25</v>
      </c>
      <c r="J262" s="130"/>
    </row>
    <row r="263" spans="1:10" ht="31.5" hidden="1">
      <c r="A263" s="33" t="s">
        <v>903</v>
      </c>
      <c r="B263" s="367">
        <v>903</v>
      </c>
      <c r="C263" s="207" t="s">
        <v>159</v>
      </c>
      <c r="D263" s="207" t="s">
        <v>181</v>
      </c>
      <c r="E263" s="207" t="s">
        <v>900</v>
      </c>
      <c r="F263" s="207"/>
      <c r="G263" s="27">
        <f>G264</f>
        <v>0</v>
      </c>
      <c r="J263" s="130"/>
    </row>
    <row r="264" spans="1:10" ht="31.5" hidden="1">
      <c r="A264" s="26" t="s">
        <v>172</v>
      </c>
      <c r="B264" s="367">
        <v>903</v>
      </c>
      <c r="C264" s="207" t="s">
        <v>159</v>
      </c>
      <c r="D264" s="207" t="s">
        <v>181</v>
      </c>
      <c r="E264" s="207" t="s">
        <v>900</v>
      </c>
      <c r="F264" s="207" t="s">
        <v>173</v>
      </c>
      <c r="G264" s="27">
        <f>G265</f>
        <v>0</v>
      </c>
      <c r="J264" s="130"/>
    </row>
    <row r="265" spans="1:10" ht="31.5" hidden="1">
      <c r="A265" s="26" t="s">
        <v>174</v>
      </c>
      <c r="B265" s="367">
        <v>903</v>
      </c>
      <c r="C265" s="207" t="s">
        <v>159</v>
      </c>
      <c r="D265" s="207" t="s">
        <v>181</v>
      </c>
      <c r="E265" s="207" t="s">
        <v>900</v>
      </c>
      <c r="F265" s="207" t="s">
        <v>175</v>
      </c>
      <c r="G265" s="27">
        <f>10-10</f>
        <v>0</v>
      </c>
      <c r="H265" s="351" t="s">
        <v>1110</v>
      </c>
      <c r="J265" s="130"/>
    </row>
    <row r="266" spans="1:10" ht="47.25" hidden="1">
      <c r="A266" s="26" t="s">
        <v>783</v>
      </c>
      <c r="B266" s="367">
        <v>903</v>
      </c>
      <c r="C266" s="207" t="s">
        <v>159</v>
      </c>
      <c r="D266" s="207" t="s">
        <v>181</v>
      </c>
      <c r="E266" s="207" t="s">
        <v>905</v>
      </c>
      <c r="F266" s="207"/>
      <c r="G266" s="27">
        <f>G267</f>
        <v>0</v>
      </c>
      <c r="J266" s="130"/>
    </row>
    <row r="267" spans="1:10" ht="31.5" hidden="1">
      <c r="A267" s="26" t="s">
        <v>172</v>
      </c>
      <c r="B267" s="367">
        <v>903</v>
      </c>
      <c r="C267" s="207" t="s">
        <v>159</v>
      </c>
      <c r="D267" s="207" t="s">
        <v>181</v>
      </c>
      <c r="E267" s="207" t="s">
        <v>905</v>
      </c>
      <c r="F267" s="207" t="s">
        <v>173</v>
      </c>
      <c r="G267" s="27">
        <f>G268</f>
        <v>0</v>
      </c>
      <c r="J267" s="130"/>
    </row>
    <row r="268" spans="1:10" ht="31.5" hidden="1">
      <c r="A268" s="26" t="s">
        <v>174</v>
      </c>
      <c r="B268" s="367">
        <v>903</v>
      </c>
      <c r="C268" s="207" t="s">
        <v>159</v>
      </c>
      <c r="D268" s="207" t="s">
        <v>181</v>
      </c>
      <c r="E268" s="207" t="s">
        <v>905</v>
      </c>
      <c r="F268" s="207" t="s">
        <v>175</v>
      </c>
      <c r="G268" s="27">
        <f>30-30</f>
        <v>0</v>
      </c>
      <c r="H268" s="351" t="s">
        <v>1105</v>
      </c>
      <c r="J268" s="130"/>
    </row>
    <row r="269" spans="1:10" ht="31.5" hidden="1">
      <c r="A269" s="33" t="s">
        <v>904</v>
      </c>
      <c r="B269" s="367">
        <v>903</v>
      </c>
      <c r="C269" s="207" t="s">
        <v>159</v>
      </c>
      <c r="D269" s="207" t="s">
        <v>181</v>
      </c>
      <c r="E269" s="207" t="s">
        <v>901</v>
      </c>
      <c r="F269" s="207"/>
      <c r="G269" s="27">
        <f>G270</f>
        <v>0</v>
      </c>
      <c r="J269" s="130"/>
    </row>
    <row r="270" spans="1:10" ht="31.5" hidden="1">
      <c r="A270" s="26" t="s">
        <v>172</v>
      </c>
      <c r="B270" s="367">
        <v>903</v>
      </c>
      <c r="C270" s="207" t="s">
        <v>159</v>
      </c>
      <c r="D270" s="207" t="s">
        <v>181</v>
      </c>
      <c r="E270" s="207" t="s">
        <v>901</v>
      </c>
      <c r="F270" s="207" t="s">
        <v>173</v>
      </c>
      <c r="G270" s="27">
        <f>G271</f>
        <v>0</v>
      </c>
      <c r="J270" s="130"/>
    </row>
    <row r="271" spans="1:10" ht="31.5" hidden="1">
      <c r="A271" s="26" t="s">
        <v>174</v>
      </c>
      <c r="B271" s="367">
        <v>903</v>
      </c>
      <c r="C271" s="207" t="s">
        <v>159</v>
      </c>
      <c r="D271" s="207" t="s">
        <v>181</v>
      </c>
      <c r="E271" s="207" t="s">
        <v>901</v>
      </c>
      <c r="F271" s="207" t="s">
        <v>175</v>
      </c>
      <c r="G271" s="27">
        <v>0</v>
      </c>
      <c r="J271" s="130"/>
    </row>
    <row r="272" spans="1:10" ht="47.25" hidden="1">
      <c r="A272" s="31" t="s">
        <v>782</v>
      </c>
      <c r="B272" s="367">
        <v>903</v>
      </c>
      <c r="C272" s="207" t="s">
        <v>159</v>
      </c>
      <c r="D272" s="207" t="s">
        <v>181</v>
      </c>
      <c r="E272" s="207" t="s">
        <v>780</v>
      </c>
      <c r="F272" s="207"/>
      <c r="G272" s="27">
        <f>G273</f>
        <v>0</v>
      </c>
      <c r="J272" s="130"/>
    </row>
    <row r="273" spans="1:10" ht="31.5" hidden="1">
      <c r="A273" s="26" t="s">
        <v>410</v>
      </c>
      <c r="B273" s="367">
        <v>903</v>
      </c>
      <c r="C273" s="207" t="s">
        <v>159</v>
      </c>
      <c r="D273" s="207" t="s">
        <v>181</v>
      </c>
      <c r="E273" s="207" t="s">
        <v>788</v>
      </c>
      <c r="F273" s="207"/>
      <c r="G273" s="27">
        <f>G274</f>
        <v>0</v>
      </c>
      <c r="J273" s="130"/>
    </row>
    <row r="274" spans="1:10" ht="31.5" hidden="1">
      <c r="A274" s="26" t="s">
        <v>172</v>
      </c>
      <c r="B274" s="367">
        <v>903</v>
      </c>
      <c r="C274" s="207" t="s">
        <v>159</v>
      </c>
      <c r="D274" s="207" t="s">
        <v>181</v>
      </c>
      <c r="E274" s="207" t="s">
        <v>788</v>
      </c>
      <c r="F274" s="207" t="s">
        <v>173</v>
      </c>
      <c r="G274" s="27">
        <f>G275</f>
        <v>0</v>
      </c>
      <c r="J274" s="130"/>
    </row>
    <row r="275" spans="1:10" ht="31.5" hidden="1">
      <c r="A275" s="26" t="s">
        <v>174</v>
      </c>
      <c r="B275" s="367">
        <v>903</v>
      </c>
      <c r="C275" s="207" t="s">
        <v>159</v>
      </c>
      <c r="D275" s="207" t="s">
        <v>181</v>
      </c>
      <c r="E275" s="207" t="s">
        <v>788</v>
      </c>
      <c r="F275" s="207" t="s">
        <v>175</v>
      </c>
      <c r="G275" s="27">
        <v>0</v>
      </c>
      <c r="J275" s="130"/>
    </row>
    <row r="276" spans="1:10" ht="15.75" hidden="1">
      <c r="A276" s="26" t="s">
        <v>162</v>
      </c>
      <c r="B276" s="367">
        <v>903</v>
      </c>
      <c r="C276" s="207" t="s">
        <v>159</v>
      </c>
      <c r="D276" s="207" t="s">
        <v>181</v>
      </c>
      <c r="E276" s="207" t="s">
        <v>163</v>
      </c>
      <c r="F276" s="207"/>
      <c r="G276" s="27">
        <f>G277</f>
        <v>0</v>
      </c>
      <c r="J276" s="130"/>
    </row>
    <row r="277" spans="1:10" ht="15.75" hidden="1">
      <c r="A277" s="26" t="s">
        <v>226</v>
      </c>
      <c r="B277" s="367">
        <v>903</v>
      </c>
      <c r="C277" s="207" t="s">
        <v>159</v>
      </c>
      <c r="D277" s="207" t="s">
        <v>181</v>
      </c>
      <c r="E277" s="207" t="s">
        <v>227</v>
      </c>
      <c r="F277" s="207"/>
      <c r="G277" s="27">
        <f>G278</f>
        <v>0</v>
      </c>
      <c r="J277" s="130"/>
    </row>
    <row r="278" spans="1:10" ht="31.5" hidden="1">
      <c r="A278" s="26" t="s">
        <v>810</v>
      </c>
      <c r="B278" s="367">
        <v>903</v>
      </c>
      <c r="C278" s="207" t="s">
        <v>159</v>
      </c>
      <c r="D278" s="207" t="s">
        <v>181</v>
      </c>
      <c r="E278" s="207" t="s">
        <v>809</v>
      </c>
      <c r="F278" s="383"/>
      <c r="G278" s="27">
        <f>G279</f>
        <v>0</v>
      </c>
      <c r="J278" s="130"/>
    </row>
    <row r="279" spans="1:10" ht="31.5" hidden="1">
      <c r="A279" s="26" t="s">
        <v>172</v>
      </c>
      <c r="B279" s="367">
        <v>903</v>
      </c>
      <c r="C279" s="207" t="s">
        <v>159</v>
      </c>
      <c r="D279" s="207" t="s">
        <v>181</v>
      </c>
      <c r="E279" s="207" t="s">
        <v>809</v>
      </c>
      <c r="F279" s="207" t="s">
        <v>173</v>
      </c>
      <c r="G279" s="27">
        <f>G280</f>
        <v>0</v>
      </c>
      <c r="J279" s="130"/>
    </row>
    <row r="280" spans="1:10" ht="39.75" customHeight="1" hidden="1">
      <c r="A280" s="26" t="s">
        <v>174</v>
      </c>
      <c r="B280" s="367">
        <v>903</v>
      </c>
      <c r="C280" s="207" t="s">
        <v>159</v>
      </c>
      <c r="D280" s="207" t="s">
        <v>181</v>
      </c>
      <c r="E280" s="207" t="s">
        <v>809</v>
      </c>
      <c r="F280" s="207" t="s">
        <v>175</v>
      </c>
      <c r="G280" s="187">
        <v>0</v>
      </c>
      <c r="J280" s="130"/>
    </row>
    <row r="281" spans="1:10" ht="48.75" customHeight="1">
      <c r="A281" s="31" t="s">
        <v>782</v>
      </c>
      <c r="B281" s="367">
        <v>903</v>
      </c>
      <c r="C281" s="207" t="s">
        <v>159</v>
      </c>
      <c r="D281" s="207" t="s">
        <v>181</v>
      </c>
      <c r="E281" s="207" t="s">
        <v>780</v>
      </c>
      <c r="F281" s="386"/>
      <c r="G281" s="27">
        <f>G282+G285</f>
        <v>5</v>
      </c>
      <c r="J281" s="130"/>
    </row>
    <row r="282" spans="1:10" ht="38.25" customHeight="1">
      <c r="A282" s="120" t="s">
        <v>911</v>
      </c>
      <c r="B282" s="367">
        <v>903</v>
      </c>
      <c r="C282" s="207" t="s">
        <v>159</v>
      </c>
      <c r="D282" s="207" t="s">
        <v>181</v>
      </c>
      <c r="E282" s="207" t="s">
        <v>910</v>
      </c>
      <c r="F282" s="386"/>
      <c r="G282" s="27">
        <f>G283</f>
        <v>5</v>
      </c>
      <c r="J282" s="130"/>
    </row>
    <row r="283" spans="1:10" ht="35.25" customHeight="1">
      <c r="A283" s="26" t="s">
        <v>172</v>
      </c>
      <c r="B283" s="367">
        <v>903</v>
      </c>
      <c r="C283" s="207" t="s">
        <v>159</v>
      </c>
      <c r="D283" s="207" t="s">
        <v>181</v>
      </c>
      <c r="E283" s="207" t="s">
        <v>910</v>
      </c>
      <c r="F283" s="386" t="s">
        <v>173</v>
      </c>
      <c r="G283" s="27">
        <f>G284</f>
        <v>5</v>
      </c>
      <c r="J283" s="130"/>
    </row>
    <row r="284" spans="1:10" ht="32.25" customHeight="1">
      <c r="A284" s="26" t="s">
        <v>174</v>
      </c>
      <c r="B284" s="367">
        <v>903</v>
      </c>
      <c r="C284" s="207" t="s">
        <v>159</v>
      </c>
      <c r="D284" s="207" t="s">
        <v>181</v>
      </c>
      <c r="E284" s="207" t="s">
        <v>910</v>
      </c>
      <c r="F284" s="386" t="s">
        <v>175</v>
      </c>
      <c r="G284" s="27">
        <v>5</v>
      </c>
      <c r="J284" s="130"/>
    </row>
    <row r="285" spans="1:10" ht="51" customHeight="1" hidden="1">
      <c r="A285" s="120" t="s">
        <v>922</v>
      </c>
      <c r="B285" s="207" t="s">
        <v>687</v>
      </c>
      <c r="C285" s="207" t="s">
        <v>159</v>
      </c>
      <c r="D285" s="207" t="s">
        <v>181</v>
      </c>
      <c r="E285" s="207" t="s">
        <v>923</v>
      </c>
      <c r="F285" s="386"/>
      <c r="G285" s="27">
        <f>G286</f>
        <v>0</v>
      </c>
      <c r="J285" s="130"/>
    </row>
    <row r="286" spans="1:10" ht="47.25" customHeight="1" hidden="1">
      <c r="A286" s="31" t="s">
        <v>313</v>
      </c>
      <c r="B286" s="367">
        <v>903</v>
      </c>
      <c r="C286" s="207" t="s">
        <v>159</v>
      </c>
      <c r="D286" s="207" t="s">
        <v>181</v>
      </c>
      <c r="E286" s="207" t="s">
        <v>923</v>
      </c>
      <c r="F286" s="386" t="s">
        <v>314</v>
      </c>
      <c r="G286" s="27">
        <f>G287</f>
        <v>0</v>
      </c>
      <c r="J286" s="130"/>
    </row>
    <row r="287" spans="1:10" ht="21" customHeight="1" hidden="1">
      <c r="A287" s="31" t="s">
        <v>315</v>
      </c>
      <c r="B287" s="367">
        <v>903</v>
      </c>
      <c r="C287" s="207" t="s">
        <v>159</v>
      </c>
      <c r="D287" s="207" t="s">
        <v>181</v>
      </c>
      <c r="E287" s="207" t="s">
        <v>923</v>
      </c>
      <c r="F287" s="386" t="s">
        <v>316</v>
      </c>
      <c r="G287" s="27">
        <v>0</v>
      </c>
      <c r="H287" s="358"/>
      <c r="J287" s="130"/>
    </row>
    <row r="288" spans="1:10" s="286" customFormat="1" ht="21" customHeight="1">
      <c r="A288" s="26" t="s">
        <v>226</v>
      </c>
      <c r="B288" s="367">
        <v>903</v>
      </c>
      <c r="C288" s="207" t="s">
        <v>159</v>
      </c>
      <c r="D288" s="207" t="s">
        <v>181</v>
      </c>
      <c r="E288" s="207" t="s">
        <v>227</v>
      </c>
      <c r="F288" s="386"/>
      <c r="G288" s="27">
        <f>G289</f>
        <v>136</v>
      </c>
      <c r="H288" s="359"/>
      <c r="I288" s="280"/>
      <c r="J288" s="130"/>
    </row>
    <row r="289" spans="1:10" s="286" customFormat="1" ht="33.75" customHeight="1">
      <c r="A289" s="26" t="s">
        <v>1195</v>
      </c>
      <c r="B289" s="367">
        <v>903</v>
      </c>
      <c r="C289" s="207" t="s">
        <v>159</v>
      </c>
      <c r="D289" s="207" t="s">
        <v>181</v>
      </c>
      <c r="E289" s="327" t="s">
        <v>809</v>
      </c>
      <c r="F289" s="386"/>
      <c r="G289" s="27">
        <f>G290</f>
        <v>136</v>
      </c>
      <c r="H289" s="359"/>
      <c r="I289" s="280"/>
      <c r="J289" s="130"/>
    </row>
    <row r="290" spans="1:10" s="286" customFormat="1" ht="37.5" customHeight="1">
      <c r="A290" s="26" t="s">
        <v>172</v>
      </c>
      <c r="B290" s="367">
        <v>903</v>
      </c>
      <c r="C290" s="207" t="s">
        <v>159</v>
      </c>
      <c r="D290" s="207" t="s">
        <v>181</v>
      </c>
      <c r="E290" s="327" t="s">
        <v>809</v>
      </c>
      <c r="F290" s="386" t="s">
        <v>173</v>
      </c>
      <c r="G290" s="27">
        <f>G291</f>
        <v>136</v>
      </c>
      <c r="H290" s="359"/>
      <c r="I290" s="280"/>
      <c r="J290" s="130"/>
    </row>
    <row r="291" spans="1:10" s="286" customFormat="1" ht="32.25" customHeight="1">
      <c r="A291" s="26" t="s">
        <v>174</v>
      </c>
      <c r="B291" s="367">
        <v>903</v>
      </c>
      <c r="C291" s="207" t="s">
        <v>159</v>
      </c>
      <c r="D291" s="207" t="s">
        <v>181</v>
      </c>
      <c r="E291" s="327" t="s">
        <v>809</v>
      </c>
      <c r="F291" s="386" t="s">
        <v>175</v>
      </c>
      <c r="G291" s="27">
        <v>136</v>
      </c>
      <c r="H291" s="360" t="s">
        <v>1095</v>
      </c>
      <c r="I291" s="280"/>
      <c r="J291" s="130"/>
    </row>
    <row r="292" spans="1:10" ht="21" customHeight="1">
      <c r="A292" s="43" t="s">
        <v>273</v>
      </c>
      <c r="B292" s="382">
        <v>903</v>
      </c>
      <c r="C292" s="383" t="s">
        <v>191</v>
      </c>
      <c r="D292" s="207"/>
      <c r="E292" s="207"/>
      <c r="F292" s="386"/>
      <c r="G292" s="22">
        <f>G293</f>
        <v>20</v>
      </c>
      <c r="H292" s="359"/>
      <c r="J292" s="130"/>
    </row>
    <row r="293" spans="1:10" ht="21" customHeight="1">
      <c r="A293" s="24" t="s">
        <v>278</v>
      </c>
      <c r="B293" s="382">
        <v>903</v>
      </c>
      <c r="C293" s="383" t="s">
        <v>191</v>
      </c>
      <c r="D293" s="383" t="s">
        <v>279</v>
      </c>
      <c r="E293" s="207"/>
      <c r="F293" s="386"/>
      <c r="G293" s="22">
        <f>G294</f>
        <v>20</v>
      </c>
      <c r="H293" s="359"/>
      <c r="J293" s="130"/>
    </row>
    <row r="294" spans="1:10" ht="37.5" customHeight="1">
      <c r="A294" s="26" t="s">
        <v>384</v>
      </c>
      <c r="B294" s="367">
        <v>903</v>
      </c>
      <c r="C294" s="207" t="s">
        <v>191</v>
      </c>
      <c r="D294" s="207" t="s">
        <v>279</v>
      </c>
      <c r="E294" s="207" t="s">
        <v>385</v>
      </c>
      <c r="F294" s="386"/>
      <c r="G294" s="27">
        <f>G295</f>
        <v>20</v>
      </c>
      <c r="H294" s="359"/>
      <c r="J294" s="130"/>
    </row>
    <row r="295" spans="1:10" ht="53.25" customHeight="1">
      <c r="A295" s="26" t="s">
        <v>408</v>
      </c>
      <c r="B295" s="367">
        <v>903</v>
      </c>
      <c r="C295" s="207" t="s">
        <v>191</v>
      </c>
      <c r="D295" s="207" t="s">
        <v>279</v>
      </c>
      <c r="E295" s="207" t="s">
        <v>409</v>
      </c>
      <c r="F295" s="207"/>
      <c r="G295" s="27">
        <f>G296+G299</f>
        <v>20</v>
      </c>
      <c r="H295" s="359"/>
      <c r="J295" s="130"/>
    </row>
    <row r="296" spans="1:10" ht="36.75" customHeight="1">
      <c r="A296" s="26" t="s">
        <v>410</v>
      </c>
      <c r="B296" s="367">
        <v>903</v>
      </c>
      <c r="C296" s="207" t="s">
        <v>191</v>
      </c>
      <c r="D296" s="207" t="s">
        <v>279</v>
      </c>
      <c r="E296" s="207" t="s">
        <v>411</v>
      </c>
      <c r="F296" s="207"/>
      <c r="G296" s="27">
        <f>G297</f>
        <v>10</v>
      </c>
      <c r="H296" s="359"/>
      <c r="J296" s="130"/>
    </row>
    <row r="297" spans="1:10" ht="37.5" customHeight="1">
      <c r="A297" s="26" t="s">
        <v>313</v>
      </c>
      <c r="B297" s="367">
        <v>903</v>
      </c>
      <c r="C297" s="207" t="s">
        <v>191</v>
      </c>
      <c r="D297" s="207" t="s">
        <v>279</v>
      </c>
      <c r="E297" s="207" t="s">
        <v>411</v>
      </c>
      <c r="F297" s="207" t="s">
        <v>314</v>
      </c>
      <c r="G297" s="27">
        <f>G298</f>
        <v>10</v>
      </c>
      <c r="H297" s="359"/>
      <c r="J297" s="130"/>
    </row>
    <row r="298" spans="1:10" ht="21" customHeight="1">
      <c r="A298" s="41" t="s">
        <v>412</v>
      </c>
      <c r="B298" s="367">
        <v>903</v>
      </c>
      <c r="C298" s="207" t="s">
        <v>191</v>
      </c>
      <c r="D298" s="207" t="s">
        <v>279</v>
      </c>
      <c r="E298" s="207" t="s">
        <v>411</v>
      </c>
      <c r="F298" s="207" t="s">
        <v>413</v>
      </c>
      <c r="G298" s="27">
        <v>10</v>
      </c>
      <c r="H298" s="359"/>
      <c r="J298" s="130"/>
    </row>
    <row r="299" spans="1:10" ht="47.25" customHeight="1">
      <c r="A299" s="26" t="s">
        <v>416</v>
      </c>
      <c r="B299" s="367">
        <v>903</v>
      </c>
      <c r="C299" s="207" t="s">
        <v>191</v>
      </c>
      <c r="D299" s="207" t="s">
        <v>279</v>
      </c>
      <c r="E299" s="207" t="s">
        <v>417</v>
      </c>
      <c r="F299" s="207"/>
      <c r="G299" s="27">
        <f>G300</f>
        <v>10</v>
      </c>
      <c r="H299" s="359"/>
      <c r="J299" s="130"/>
    </row>
    <row r="300" spans="1:10" ht="21" customHeight="1">
      <c r="A300" s="26" t="s">
        <v>289</v>
      </c>
      <c r="B300" s="367">
        <v>903</v>
      </c>
      <c r="C300" s="207" t="s">
        <v>191</v>
      </c>
      <c r="D300" s="207" t="s">
        <v>279</v>
      </c>
      <c r="E300" s="207" t="s">
        <v>417</v>
      </c>
      <c r="F300" s="207" t="s">
        <v>290</v>
      </c>
      <c r="G300" s="27">
        <f>G301</f>
        <v>10</v>
      </c>
      <c r="H300" s="359"/>
      <c r="J300" s="130"/>
    </row>
    <row r="301" spans="1:10" ht="29.25" customHeight="1">
      <c r="A301" s="26" t="s">
        <v>291</v>
      </c>
      <c r="B301" s="367">
        <v>903</v>
      </c>
      <c r="C301" s="207" t="s">
        <v>191</v>
      </c>
      <c r="D301" s="207" t="s">
        <v>279</v>
      </c>
      <c r="E301" s="207" t="s">
        <v>417</v>
      </c>
      <c r="F301" s="207" t="s">
        <v>292</v>
      </c>
      <c r="G301" s="27">
        <v>10</v>
      </c>
      <c r="H301" s="359"/>
      <c r="J301" s="130"/>
    </row>
    <row r="302" spans="1:10" ht="15.75">
      <c r="A302" s="24" t="s">
        <v>304</v>
      </c>
      <c r="B302" s="382">
        <v>903</v>
      </c>
      <c r="C302" s="383" t="s">
        <v>305</v>
      </c>
      <c r="D302" s="207"/>
      <c r="E302" s="207"/>
      <c r="F302" s="207"/>
      <c r="G302" s="22">
        <f>G303+G360+G366</f>
        <v>17722.4</v>
      </c>
      <c r="J302" s="130"/>
    </row>
    <row r="303" spans="1:10" ht="15.75">
      <c r="A303" s="24" t="s">
        <v>306</v>
      </c>
      <c r="B303" s="382">
        <v>903</v>
      </c>
      <c r="C303" s="383" t="s">
        <v>305</v>
      </c>
      <c r="D303" s="383" t="s">
        <v>256</v>
      </c>
      <c r="E303" s="383"/>
      <c r="F303" s="383"/>
      <c r="G303" s="22">
        <f>G304+G349+G345</f>
        <v>16822.4</v>
      </c>
      <c r="J303" s="130"/>
    </row>
    <row r="304" spans="1:10" ht="31.5">
      <c r="A304" s="26" t="s">
        <v>307</v>
      </c>
      <c r="B304" s="367">
        <v>903</v>
      </c>
      <c r="C304" s="207" t="s">
        <v>305</v>
      </c>
      <c r="D304" s="207" t="s">
        <v>256</v>
      </c>
      <c r="E304" s="207" t="s">
        <v>308</v>
      </c>
      <c r="F304" s="207"/>
      <c r="G304" s="27">
        <f>G305</f>
        <v>15654</v>
      </c>
      <c r="J304" s="130"/>
    </row>
    <row r="305" spans="1:10" ht="47.25">
      <c r="A305" s="26" t="s">
        <v>309</v>
      </c>
      <c r="B305" s="367">
        <v>903</v>
      </c>
      <c r="C305" s="207" t="s">
        <v>305</v>
      </c>
      <c r="D305" s="207" t="s">
        <v>256</v>
      </c>
      <c r="E305" s="207" t="s">
        <v>310</v>
      </c>
      <c r="F305" s="207"/>
      <c r="G305" s="27">
        <f>G309+G321+G324+G327+G330+G315+G306+G338+G333</f>
        <v>15654</v>
      </c>
      <c r="J305" s="130"/>
    </row>
    <row r="306" spans="1:10" ht="15.75">
      <c r="A306" s="265" t="s">
        <v>988</v>
      </c>
      <c r="B306" s="367">
        <v>903</v>
      </c>
      <c r="C306" s="207" t="s">
        <v>305</v>
      </c>
      <c r="D306" s="207" t="s">
        <v>256</v>
      </c>
      <c r="E306" s="207" t="s">
        <v>989</v>
      </c>
      <c r="F306" s="207"/>
      <c r="G306" s="28">
        <f>G307</f>
        <v>45</v>
      </c>
      <c r="J306" s="130"/>
    </row>
    <row r="307" spans="1:10" ht="15.75">
      <c r="A307" s="26" t="s">
        <v>289</v>
      </c>
      <c r="B307" s="367">
        <v>903</v>
      </c>
      <c r="C307" s="207" t="s">
        <v>305</v>
      </c>
      <c r="D307" s="207" t="s">
        <v>256</v>
      </c>
      <c r="E307" s="207" t="s">
        <v>989</v>
      </c>
      <c r="F307" s="207" t="s">
        <v>290</v>
      </c>
      <c r="G307" s="28">
        <f>G308</f>
        <v>45</v>
      </c>
      <c r="J307" s="130"/>
    </row>
    <row r="308" spans="1:10" ht="15.75">
      <c r="A308" s="26" t="s">
        <v>1056</v>
      </c>
      <c r="B308" s="367">
        <v>903</v>
      </c>
      <c r="C308" s="207" t="s">
        <v>305</v>
      </c>
      <c r="D308" s="207" t="s">
        <v>256</v>
      </c>
      <c r="E308" s="207" t="s">
        <v>989</v>
      </c>
      <c r="F308" s="207" t="s">
        <v>1055</v>
      </c>
      <c r="G308" s="28">
        <v>45</v>
      </c>
      <c r="J308" s="130"/>
    </row>
    <row r="309" spans="1:10" ht="31.5" hidden="1">
      <c r="A309" s="26" t="s">
        <v>311</v>
      </c>
      <c r="B309" s="367">
        <v>903</v>
      </c>
      <c r="C309" s="207" t="s">
        <v>305</v>
      </c>
      <c r="D309" s="207" t="s">
        <v>256</v>
      </c>
      <c r="E309" s="207" t="s">
        <v>312</v>
      </c>
      <c r="F309" s="207"/>
      <c r="G309" s="27">
        <f>G310</f>
        <v>0</v>
      </c>
      <c r="J309" s="130"/>
    </row>
    <row r="310" spans="1:10" ht="31.5" hidden="1">
      <c r="A310" s="26" t="s">
        <v>313</v>
      </c>
      <c r="B310" s="367">
        <v>903</v>
      </c>
      <c r="C310" s="207" t="s">
        <v>305</v>
      </c>
      <c r="D310" s="207" t="s">
        <v>256</v>
      </c>
      <c r="E310" s="207" t="s">
        <v>312</v>
      </c>
      <c r="F310" s="207" t="s">
        <v>314</v>
      </c>
      <c r="G310" s="27">
        <f>G311</f>
        <v>0</v>
      </c>
      <c r="J310" s="130"/>
    </row>
    <row r="311" spans="1:10" ht="15.75" hidden="1">
      <c r="A311" s="26" t="s">
        <v>315</v>
      </c>
      <c r="B311" s="367">
        <v>903</v>
      </c>
      <c r="C311" s="207" t="s">
        <v>305</v>
      </c>
      <c r="D311" s="207" t="s">
        <v>256</v>
      </c>
      <c r="E311" s="207" t="s">
        <v>312</v>
      </c>
      <c r="F311" s="207" t="s">
        <v>316</v>
      </c>
      <c r="G311" s="28">
        <v>0</v>
      </c>
      <c r="H311" s="354"/>
      <c r="J311" s="130"/>
    </row>
    <row r="312" spans="1:10" ht="47.25" customHeight="1" hidden="1">
      <c r="A312" s="26" t="s">
        <v>317</v>
      </c>
      <c r="B312" s="367">
        <v>903</v>
      </c>
      <c r="C312" s="207" t="s">
        <v>305</v>
      </c>
      <c r="D312" s="207" t="s">
        <v>256</v>
      </c>
      <c r="E312" s="207" t="s">
        <v>318</v>
      </c>
      <c r="F312" s="207"/>
      <c r="G312" s="27">
        <f>G313</f>
        <v>0</v>
      </c>
      <c r="J312" s="130"/>
    </row>
    <row r="313" spans="1:10" ht="47.25" customHeight="1" hidden="1">
      <c r="A313" s="26" t="s">
        <v>313</v>
      </c>
      <c r="B313" s="367">
        <v>903</v>
      </c>
      <c r="C313" s="207" t="s">
        <v>305</v>
      </c>
      <c r="D313" s="207" t="s">
        <v>256</v>
      </c>
      <c r="E313" s="207" t="s">
        <v>318</v>
      </c>
      <c r="F313" s="207" t="s">
        <v>314</v>
      </c>
      <c r="G313" s="27">
        <f>G314</f>
        <v>0</v>
      </c>
      <c r="J313" s="130"/>
    </row>
    <row r="314" spans="1:10" ht="15.75" customHeight="1" hidden="1">
      <c r="A314" s="26" t="s">
        <v>315</v>
      </c>
      <c r="B314" s="367">
        <v>903</v>
      </c>
      <c r="C314" s="207" t="s">
        <v>305</v>
      </c>
      <c r="D314" s="207" t="s">
        <v>256</v>
      </c>
      <c r="E314" s="207" t="s">
        <v>318</v>
      </c>
      <c r="F314" s="207" t="s">
        <v>316</v>
      </c>
      <c r="G314" s="27">
        <v>0</v>
      </c>
      <c r="J314" s="130"/>
    </row>
    <row r="315" spans="1:10" ht="47.25" customHeight="1" hidden="1">
      <c r="A315" s="26" t="s">
        <v>319</v>
      </c>
      <c r="B315" s="367">
        <v>903</v>
      </c>
      <c r="C315" s="207" t="s">
        <v>305</v>
      </c>
      <c r="D315" s="207" t="s">
        <v>256</v>
      </c>
      <c r="E315" s="207" t="s">
        <v>320</v>
      </c>
      <c r="F315" s="207"/>
      <c r="G315" s="27">
        <f>G316</f>
        <v>0</v>
      </c>
      <c r="J315" s="278"/>
    </row>
    <row r="316" spans="1:10" ht="47.25" customHeight="1" hidden="1">
      <c r="A316" s="26" t="s">
        <v>313</v>
      </c>
      <c r="B316" s="367">
        <v>903</v>
      </c>
      <c r="C316" s="207" t="s">
        <v>305</v>
      </c>
      <c r="D316" s="207" t="s">
        <v>256</v>
      </c>
      <c r="E316" s="207" t="s">
        <v>320</v>
      </c>
      <c r="F316" s="207" t="s">
        <v>314</v>
      </c>
      <c r="G316" s="27">
        <f>G317</f>
        <v>0</v>
      </c>
      <c r="J316" s="130"/>
    </row>
    <row r="317" spans="1:10" ht="15.75" customHeight="1" hidden="1">
      <c r="A317" s="26" t="s">
        <v>315</v>
      </c>
      <c r="B317" s="367">
        <v>903</v>
      </c>
      <c r="C317" s="207" t="s">
        <v>305</v>
      </c>
      <c r="D317" s="207" t="s">
        <v>256</v>
      </c>
      <c r="E317" s="207" t="s">
        <v>320</v>
      </c>
      <c r="F317" s="207" t="s">
        <v>316</v>
      </c>
      <c r="G317" s="27">
        <v>0</v>
      </c>
      <c r="J317" s="130"/>
    </row>
    <row r="318" spans="1:10" ht="31.5" customHeight="1" hidden="1">
      <c r="A318" s="26" t="s">
        <v>321</v>
      </c>
      <c r="B318" s="367">
        <v>903</v>
      </c>
      <c r="C318" s="207" t="s">
        <v>305</v>
      </c>
      <c r="D318" s="207" t="s">
        <v>256</v>
      </c>
      <c r="E318" s="207" t="s">
        <v>322</v>
      </c>
      <c r="F318" s="207"/>
      <c r="G318" s="27">
        <f>G319</f>
        <v>0</v>
      </c>
      <c r="J318" s="130"/>
    </row>
    <row r="319" spans="1:10" ht="47.25" customHeight="1" hidden="1">
      <c r="A319" s="26" t="s">
        <v>313</v>
      </c>
      <c r="B319" s="367">
        <v>903</v>
      </c>
      <c r="C319" s="207" t="s">
        <v>305</v>
      </c>
      <c r="D319" s="207" t="s">
        <v>256</v>
      </c>
      <c r="E319" s="207" t="s">
        <v>322</v>
      </c>
      <c r="F319" s="207" t="s">
        <v>314</v>
      </c>
      <c r="G319" s="27">
        <f>G320</f>
        <v>0</v>
      </c>
      <c r="J319" s="130"/>
    </row>
    <row r="320" spans="1:10" ht="15.75" customHeight="1" hidden="1">
      <c r="A320" s="26" t="s">
        <v>315</v>
      </c>
      <c r="B320" s="367">
        <v>903</v>
      </c>
      <c r="C320" s="207" t="s">
        <v>305</v>
      </c>
      <c r="D320" s="207" t="s">
        <v>256</v>
      </c>
      <c r="E320" s="207" t="s">
        <v>322</v>
      </c>
      <c r="F320" s="207" t="s">
        <v>316</v>
      </c>
      <c r="G320" s="27">
        <v>0</v>
      </c>
      <c r="J320" s="130"/>
    </row>
    <row r="321" spans="1:10" ht="39.75" customHeight="1" hidden="1">
      <c r="A321" s="26" t="s">
        <v>323</v>
      </c>
      <c r="B321" s="367">
        <v>903</v>
      </c>
      <c r="C321" s="207" t="s">
        <v>305</v>
      </c>
      <c r="D321" s="207" t="s">
        <v>256</v>
      </c>
      <c r="E321" s="207" t="s">
        <v>324</v>
      </c>
      <c r="F321" s="207"/>
      <c r="G321" s="27">
        <f>G322</f>
        <v>0</v>
      </c>
      <c r="J321" s="130"/>
    </row>
    <row r="322" spans="1:10" ht="31.5" hidden="1">
      <c r="A322" s="26" t="s">
        <v>313</v>
      </c>
      <c r="B322" s="367">
        <v>903</v>
      </c>
      <c r="C322" s="207" t="s">
        <v>305</v>
      </c>
      <c r="D322" s="207" t="s">
        <v>256</v>
      </c>
      <c r="E322" s="207" t="s">
        <v>324</v>
      </c>
      <c r="F322" s="207" t="s">
        <v>314</v>
      </c>
      <c r="G322" s="27">
        <f>G323</f>
        <v>0</v>
      </c>
      <c r="J322" s="130"/>
    </row>
    <row r="323" spans="1:10" ht="15.75" hidden="1">
      <c r="A323" s="26" t="s">
        <v>315</v>
      </c>
      <c r="B323" s="367">
        <v>903</v>
      </c>
      <c r="C323" s="207" t="s">
        <v>305</v>
      </c>
      <c r="D323" s="207" t="s">
        <v>256</v>
      </c>
      <c r="E323" s="207" t="s">
        <v>324</v>
      </c>
      <c r="F323" s="207" t="s">
        <v>316</v>
      </c>
      <c r="G323" s="27">
        <v>0</v>
      </c>
      <c r="J323" s="130"/>
    </row>
    <row r="324" spans="1:10" ht="31.5" customHeight="1" hidden="1">
      <c r="A324" s="26" t="s">
        <v>325</v>
      </c>
      <c r="B324" s="367">
        <v>903</v>
      </c>
      <c r="C324" s="207" t="s">
        <v>305</v>
      </c>
      <c r="D324" s="207" t="s">
        <v>256</v>
      </c>
      <c r="E324" s="207" t="s">
        <v>327</v>
      </c>
      <c r="F324" s="207"/>
      <c r="G324" s="27">
        <f>G325</f>
        <v>0</v>
      </c>
      <c r="J324" s="130"/>
    </row>
    <row r="325" spans="1:10" ht="47.25" customHeight="1" hidden="1">
      <c r="A325" s="26" t="s">
        <v>313</v>
      </c>
      <c r="B325" s="367">
        <v>903</v>
      </c>
      <c r="C325" s="207" t="s">
        <v>305</v>
      </c>
      <c r="D325" s="207" t="s">
        <v>256</v>
      </c>
      <c r="E325" s="207" t="s">
        <v>327</v>
      </c>
      <c r="F325" s="207" t="s">
        <v>314</v>
      </c>
      <c r="G325" s="27">
        <f>G326</f>
        <v>0</v>
      </c>
      <c r="J325" s="130"/>
    </row>
    <row r="326" spans="1:10" ht="15.75" customHeight="1" hidden="1">
      <c r="A326" s="26" t="s">
        <v>315</v>
      </c>
      <c r="B326" s="367">
        <v>903</v>
      </c>
      <c r="C326" s="207" t="s">
        <v>305</v>
      </c>
      <c r="D326" s="207" t="s">
        <v>256</v>
      </c>
      <c r="E326" s="207" t="s">
        <v>327</v>
      </c>
      <c r="F326" s="207" t="s">
        <v>316</v>
      </c>
      <c r="G326" s="27">
        <v>0</v>
      </c>
      <c r="J326" s="130"/>
    </row>
    <row r="327" spans="1:10" ht="47.25" customHeight="1" hidden="1">
      <c r="A327" s="31" t="s">
        <v>328</v>
      </c>
      <c r="B327" s="367">
        <v>903</v>
      </c>
      <c r="C327" s="207" t="s">
        <v>305</v>
      </c>
      <c r="D327" s="207" t="s">
        <v>256</v>
      </c>
      <c r="E327" s="207" t="s">
        <v>329</v>
      </c>
      <c r="F327" s="207"/>
      <c r="G327" s="27">
        <f>G328</f>
        <v>0</v>
      </c>
      <c r="J327" s="130"/>
    </row>
    <row r="328" spans="1:10" ht="47.25" customHeight="1" hidden="1">
      <c r="A328" s="31" t="s">
        <v>313</v>
      </c>
      <c r="B328" s="367">
        <v>903</v>
      </c>
      <c r="C328" s="207" t="s">
        <v>305</v>
      </c>
      <c r="D328" s="207" t="s">
        <v>256</v>
      </c>
      <c r="E328" s="207" t="s">
        <v>329</v>
      </c>
      <c r="F328" s="207" t="s">
        <v>314</v>
      </c>
      <c r="G328" s="27">
        <f>G329</f>
        <v>0</v>
      </c>
      <c r="J328" s="130"/>
    </row>
    <row r="329" spans="1:10" ht="15.75" customHeight="1" hidden="1">
      <c r="A329" s="31" t="s">
        <v>315</v>
      </c>
      <c r="B329" s="367">
        <v>903</v>
      </c>
      <c r="C329" s="207" t="s">
        <v>305</v>
      </c>
      <c r="D329" s="207" t="s">
        <v>256</v>
      </c>
      <c r="E329" s="207" t="s">
        <v>329</v>
      </c>
      <c r="F329" s="207" t="s">
        <v>316</v>
      </c>
      <c r="G329" s="27">
        <v>0</v>
      </c>
      <c r="J329" s="130"/>
    </row>
    <row r="330" spans="1:10" ht="48" customHeight="1" hidden="1">
      <c r="A330" s="31" t="s">
        <v>842</v>
      </c>
      <c r="B330" s="367">
        <v>903</v>
      </c>
      <c r="C330" s="207" t="s">
        <v>305</v>
      </c>
      <c r="D330" s="207" t="s">
        <v>256</v>
      </c>
      <c r="E330" s="207" t="s">
        <v>848</v>
      </c>
      <c r="F330" s="207"/>
      <c r="G330" s="27">
        <f>G331</f>
        <v>0</v>
      </c>
      <c r="J330" s="130"/>
    </row>
    <row r="331" spans="1:10" ht="51.75" customHeight="1" hidden="1">
      <c r="A331" s="31" t="s">
        <v>313</v>
      </c>
      <c r="B331" s="367">
        <v>903</v>
      </c>
      <c r="C331" s="207" t="s">
        <v>305</v>
      </c>
      <c r="D331" s="207" t="s">
        <v>256</v>
      </c>
      <c r="E331" s="207" t="s">
        <v>848</v>
      </c>
      <c r="F331" s="207" t="s">
        <v>314</v>
      </c>
      <c r="G331" s="27">
        <f>G332</f>
        <v>0</v>
      </c>
      <c r="J331" s="130"/>
    </row>
    <row r="332" spans="1:10" ht="15.75" customHeight="1" hidden="1">
      <c r="A332" s="31" t="s">
        <v>315</v>
      </c>
      <c r="B332" s="367">
        <v>903</v>
      </c>
      <c r="C332" s="207" t="s">
        <v>305</v>
      </c>
      <c r="D332" s="207" t="s">
        <v>256</v>
      </c>
      <c r="E332" s="207" t="s">
        <v>848</v>
      </c>
      <c r="F332" s="207" t="s">
        <v>316</v>
      </c>
      <c r="G332" s="27">
        <v>0</v>
      </c>
      <c r="J332" s="130"/>
    </row>
    <row r="333" spans="1:10" ht="36" customHeight="1">
      <c r="A333" s="33" t="s">
        <v>1041</v>
      </c>
      <c r="B333" s="367">
        <v>903</v>
      </c>
      <c r="C333" s="207" t="s">
        <v>305</v>
      </c>
      <c r="D333" s="207" t="s">
        <v>256</v>
      </c>
      <c r="E333" s="207" t="s">
        <v>1040</v>
      </c>
      <c r="F333" s="207"/>
      <c r="G333" s="28">
        <f>G336+G334</f>
        <v>264.6</v>
      </c>
      <c r="J333" s="130"/>
    </row>
    <row r="334" spans="1:10" ht="63">
      <c r="A334" s="26" t="s">
        <v>168</v>
      </c>
      <c r="B334" s="367">
        <v>903</v>
      </c>
      <c r="C334" s="207" t="s">
        <v>305</v>
      </c>
      <c r="D334" s="207" t="s">
        <v>256</v>
      </c>
      <c r="E334" s="207" t="s">
        <v>1040</v>
      </c>
      <c r="F334" s="207" t="s">
        <v>169</v>
      </c>
      <c r="G334" s="28">
        <f>G335</f>
        <v>264.6</v>
      </c>
      <c r="J334" s="130"/>
    </row>
    <row r="335" spans="1:10" ht="24.75" customHeight="1">
      <c r="A335" s="47" t="s">
        <v>383</v>
      </c>
      <c r="B335" s="367">
        <v>903</v>
      </c>
      <c r="C335" s="207" t="s">
        <v>305</v>
      </c>
      <c r="D335" s="207" t="s">
        <v>256</v>
      </c>
      <c r="E335" s="207" t="s">
        <v>1040</v>
      </c>
      <c r="F335" s="207" t="s">
        <v>250</v>
      </c>
      <c r="G335" s="28">
        <f>300-35.4</f>
        <v>264.6</v>
      </c>
      <c r="H335" s="352" t="s">
        <v>1103</v>
      </c>
      <c r="I335" s="313" t="s">
        <v>1103</v>
      </c>
      <c r="J335" s="130"/>
    </row>
    <row r="336" spans="1:10" ht="30.75" customHeight="1">
      <c r="A336" s="26" t="s">
        <v>172</v>
      </c>
      <c r="B336" s="367">
        <v>903</v>
      </c>
      <c r="C336" s="207" t="s">
        <v>305</v>
      </c>
      <c r="D336" s="207" t="s">
        <v>256</v>
      </c>
      <c r="E336" s="207" t="s">
        <v>1040</v>
      </c>
      <c r="F336" s="207" t="s">
        <v>173</v>
      </c>
      <c r="G336" s="28">
        <f>G337</f>
        <v>0</v>
      </c>
      <c r="J336" s="130"/>
    </row>
    <row r="337" spans="1:10" ht="39" customHeight="1">
      <c r="A337" s="26" t="s">
        <v>174</v>
      </c>
      <c r="B337" s="367">
        <v>903</v>
      </c>
      <c r="C337" s="207" t="s">
        <v>305</v>
      </c>
      <c r="D337" s="207" t="s">
        <v>256</v>
      </c>
      <c r="E337" s="207" t="s">
        <v>1040</v>
      </c>
      <c r="F337" s="207" t="s">
        <v>175</v>
      </c>
      <c r="G337" s="28">
        <f>300-300</f>
        <v>0</v>
      </c>
      <c r="H337" s="352"/>
      <c r="J337" s="130"/>
    </row>
    <row r="338" spans="1:10" ht="15.75" customHeight="1">
      <c r="A338" s="26" t="s">
        <v>990</v>
      </c>
      <c r="B338" s="367">
        <v>903</v>
      </c>
      <c r="C338" s="207" t="s">
        <v>305</v>
      </c>
      <c r="D338" s="207" t="s">
        <v>256</v>
      </c>
      <c r="E338" s="207" t="s">
        <v>991</v>
      </c>
      <c r="F338" s="207"/>
      <c r="G338" s="28">
        <f>G339+G341+G343</f>
        <v>15344.4</v>
      </c>
      <c r="J338" s="130"/>
    </row>
    <row r="339" spans="1:10" ht="69.75" customHeight="1">
      <c r="A339" s="26" t="s">
        <v>168</v>
      </c>
      <c r="B339" s="367">
        <v>903</v>
      </c>
      <c r="C339" s="207" t="s">
        <v>305</v>
      </c>
      <c r="D339" s="207" t="s">
        <v>256</v>
      </c>
      <c r="E339" s="207" t="s">
        <v>991</v>
      </c>
      <c r="F339" s="207" t="s">
        <v>169</v>
      </c>
      <c r="G339" s="28">
        <f>G340</f>
        <v>13065.1</v>
      </c>
      <c r="J339" s="130"/>
    </row>
    <row r="340" spans="1:11" ht="15.75" customHeight="1">
      <c r="A340" s="47" t="s">
        <v>383</v>
      </c>
      <c r="B340" s="367">
        <v>903</v>
      </c>
      <c r="C340" s="207" t="s">
        <v>305</v>
      </c>
      <c r="D340" s="207" t="s">
        <v>256</v>
      </c>
      <c r="E340" s="207" t="s">
        <v>991</v>
      </c>
      <c r="F340" s="207" t="s">
        <v>250</v>
      </c>
      <c r="G340" s="28">
        <f>11649.6+640.6+981.4-200-6.5</f>
        <v>13065.1</v>
      </c>
      <c r="H340" s="352" t="s">
        <v>1144</v>
      </c>
      <c r="I340" s="313" t="s">
        <v>1143</v>
      </c>
      <c r="J340" s="130"/>
      <c r="K340" s="279"/>
    </row>
    <row r="341" spans="1:10" ht="34.5" customHeight="1">
      <c r="A341" s="26" t="s">
        <v>172</v>
      </c>
      <c r="B341" s="367">
        <v>903</v>
      </c>
      <c r="C341" s="207" t="s">
        <v>305</v>
      </c>
      <c r="D341" s="207" t="s">
        <v>256</v>
      </c>
      <c r="E341" s="207" t="s">
        <v>991</v>
      </c>
      <c r="F341" s="207" t="s">
        <v>173</v>
      </c>
      <c r="G341" s="28">
        <f>G342</f>
        <v>2200.7</v>
      </c>
      <c r="J341" s="278"/>
    </row>
    <row r="342" spans="1:11" ht="37.5" customHeight="1">
      <c r="A342" s="26" t="s">
        <v>174</v>
      </c>
      <c r="B342" s="367">
        <v>903</v>
      </c>
      <c r="C342" s="207" t="s">
        <v>305</v>
      </c>
      <c r="D342" s="207" t="s">
        <v>256</v>
      </c>
      <c r="E342" s="207" t="s">
        <v>991</v>
      </c>
      <c r="F342" s="207" t="s">
        <v>175</v>
      </c>
      <c r="G342" s="28">
        <f>2136-73-2-237.3+141.6+235.4</f>
        <v>2200.7</v>
      </c>
      <c r="H342" s="352"/>
      <c r="I342" s="339"/>
      <c r="J342" s="130"/>
      <c r="K342" s="279"/>
    </row>
    <row r="343" spans="1:10" ht="21" customHeight="1">
      <c r="A343" s="26" t="s">
        <v>176</v>
      </c>
      <c r="B343" s="367">
        <v>903</v>
      </c>
      <c r="C343" s="207" t="s">
        <v>305</v>
      </c>
      <c r="D343" s="207" t="s">
        <v>256</v>
      </c>
      <c r="E343" s="207" t="s">
        <v>991</v>
      </c>
      <c r="F343" s="207" t="s">
        <v>186</v>
      </c>
      <c r="G343" s="28">
        <f>G344</f>
        <v>78.6</v>
      </c>
      <c r="H343" s="352"/>
      <c r="J343" s="130"/>
    </row>
    <row r="344" spans="1:11" ht="21" customHeight="1">
      <c r="A344" s="26" t="s">
        <v>779</v>
      </c>
      <c r="B344" s="367">
        <v>903</v>
      </c>
      <c r="C344" s="207" t="s">
        <v>305</v>
      </c>
      <c r="D344" s="207" t="s">
        <v>256</v>
      </c>
      <c r="E344" s="207" t="s">
        <v>991</v>
      </c>
      <c r="F344" s="207" t="s">
        <v>179</v>
      </c>
      <c r="G344" s="28">
        <f>73-2.9+2+6.5</f>
        <v>78.6</v>
      </c>
      <c r="H344" s="352" t="s">
        <v>1112</v>
      </c>
      <c r="I344" s="339" t="s">
        <v>1112</v>
      </c>
      <c r="J344" s="130"/>
      <c r="K344" s="279"/>
    </row>
    <row r="345" spans="1:10" ht="51" customHeight="1">
      <c r="A345" s="31" t="s">
        <v>782</v>
      </c>
      <c r="B345" s="367">
        <v>903</v>
      </c>
      <c r="C345" s="207" t="s">
        <v>305</v>
      </c>
      <c r="D345" s="207" t="s">
        <v>256</v>
      </c>
      <c r="E345" s="207" t="s">
        <v>780</v>
      </c>
      <c r="F345" s="383"/>
      <c r="G345" s="27">
        <f>G346</f>
        <v>221</v>
      </c>
      <c r="J345" s="130"/>
    </row>
    <row r="346" spans="1:10" ht="32.25" customHeight="1">
      <c r="A346" s="120" t="s">
        <v>914</v>
      </c>
      <c r="B346" s="207" t="s">
        <v>687</v>
      </c>
      <c r="C346" s="207" t="s">
        <v>305</v>
      </c>
      <c r="D346" s="207" t="s">
        <v>256</v>
      </c>
      <c r="E346" s="207" t="s">
        <v>915</v>
      </c>
      <c r="F346" s="386"/>
      <c r="G346" s="27">
        <f>G347</f>
        <v>221</v>
      </c>
      <c r="J346" s="130"/>
    </row>
    <row r="347" spans="1:10" ht="33" customHeight="1">
      <c r="A347" s="26" t="s">
        <v>172</v>
      </c>
      <c r="B347" s="367">
        <v>903</v>
      </c>
      <c r="C347" s="207" t="s">
        <v>305</v>
      </c>
      <c r="D347" s="207" t="s">
        <v>256</v>
      </c>
      <c r="E347" s="207" t="s">
        <v>915</v>
      </c>
      <c r="F347" s="386" t="s">
        <v>173</v>
      </c>
      <c r="G347" s="27">
        <f>G348</f>
        <v>221</v>
      </c>
      <c r="J347" s="130"/>
    </row>
    <row r="348" spans="1:10" ht="34.5" customHeight="1">
      <c r="A348" s="26" t="s">
        <v>174</v>
      </c>
      <c r="B348" s="367">
        <v>903</v>
      </c>
      <c r="C348" s="207" t="s">
        <v>305</v>
      </c>
      <c r="D348" s="207" t="s">
        <v>256</v>
      </c>
      <c r="E348" s="207" t="s">
        <v>915</v>
      </c>
      <c r="F348" s="386" t="s">
        <v>175</v>
      </c>
      <c r="G348" s="27">
        <v>221</v>
      </c>
      <c r="J348" s="130"/>
    </row>
    <row r="349" spans="1:10" ht="15.75">
      <c r="A349" s="26" t="s">
        <v>162</v>
      </c>
      <c r="B349" s="367">
        <v>903</v>
      </c>
      <c r="C349" s="207" t="s">
        <v>305</v>
      </c>
      <c r="D349" s="207" t="s">
        <v>256</v>
      </c>
      <c r="E349" s="207" t="s">
        <v>163</v>
      </c>
      <c r="F349" s="207"/>
      <c r="G349" s="27">
        <f>G350</f>
        <v>947.4000000000001</v>
      </c>
      <c r="J349" s="130"/>
    </row>
    <row r="350" spans="1:10" ht="15.75">
      <c r="A350" s="26" t="s">
        <v>226</v>
      </c>
      <c r="B350" s="367">
        <v>903</v>
      </c>
      <c r="C350" s="207" t="s">
        <v>305</v>
      </c>
      <c r="D350" s="207" t="s">
        <v>256</v>
      </c>
      <c r="E350" s="207" t="s">
        <v>227</v>
      </c>
      <c r="F350" s="207"/>
      <c r="G350" s="27">
        <f>G351+G354+G357</f>
        <v>947.4000000000001</v>
      </c>
      <c r="J350" s="130"/>
    </row>
    <row r="351" spans="1:10" ht="47.25">
      <c r="A351" s="33" t="s">
        <v>330</v>
      </c>
      <c r="B351" s="367">
        <v>903</v>
      </c>
      <c r="C351" s="207" t="s">
        <v>305</v>
      </c>
      <c r="D351" s="207" t="s">
        <v>256</v>
      </c>
      <c r="E351" s="207" t="s">
        <v>331</v>
      </c>
      <c r="F351" s="207"/>
      <c r="G351" s="27">
        <f>G352</f>
        <v>65.5</v>
      </c>
      <c r="H351" s="353"/>
      <c r="J351" s="130"/>
    </row>
    <row r="352" spans="1:10" ht="63">
      <c r="A352" s="26" t="s">
        <v>168</v>
      </c>
      <c r="B352" s="367">
        <v>903</v>
      </c>
      <c r="C352" s="207" t="s">
        <v>305</v>
      </c>
      <c r="D352" s="207" t="s">
        <v>256</v>
      </c>
      <c r="E352" s="207" t="s">
        <v>331</v>
      </c>
      <c r="F352" s="207" t="s">
        <v>169</v>
      </c>
      <c r="G352" s="27">
        <f>G353</f>
        <v>65.5</v>
      </c>
      <c r="J352" s="130"/>
    </row>
    <row r="353" spans="1:10" ht="15.75">
      <c r="A353" s="47" t="s">
        <v>383</v>
      </c>
      <c r="B353" s="367">
        <v>903</v>
      </c>
      <c r="C353" s="207" t="s">
        <v>305</v>
      </c>
      <c r="D353" s="207" t="s">
        <v>256</v>
      </c>
      <c r="E353" s="207" t="s">
        <v>331</v>
      </c>
      <c r="F353" s="207" t="s">
        <v>250</v>
      </c>
      <c r="G353" s="27">
        <f>126.7-61.2</f>
        <v>65.5</v>
      </c>
      <c r="H353" s="352"/>
      <c r="J353" s="130"/>
    </row>
    <row r="354" spans="1:10" ht="63">
      <c r="A354" s="33" t="s">
        <v>332</v>
      </c>
      <c r="B354" s="367">
        <v>903</v>
      </c>
      <c r="C354" s="207" t="s">
        <v>305</v>
      </c>
      <c r="D354" s="207" t="s">
        <v>256</v>
      </c>
      <c r="E354" s="207" t="s">
        <v>333</v>
      </c>
      <c r="F354" s="207"/>
      <c r="G354" s="27">
        <f>G355</f>
        <v>321.50000000000006</v>
      </c>
      <c r="H354" s="353"/>
      <c r="J354" s="130"/>
    </row>
    <row r="355" spans="1:10" ht="63">
      <c r="A355" s="26" t="s">
        <v>168</v>
      </c>
      <c r="B355" s="367">
        <v>903</v>
      </c>
      <c r="C355" s="207" t="s">
        <v>305</v>
      </c>
      <c r="D355" s="207" t="s">
        <v>256</v>
      </c>
      <c r="E355" s="207" t="s">
        <v>333</v>
      </c>
      <c r="F355" s="207" t="s">
        <v>169</v>
      </c>
      <c r="G355" s="27">
        <f>G356</f>
        <v>321.50000000000006</v>
      </c>
      <c r="J355" s="130"/>
    </row>
    <row r="356" spans="1:10" ht="15.75">
      <c r="A356" s="47" t="s">
        <v>383</v>
      </c>
      <c r="B356" s="367">
        <v>903</v>
      </c>
      <c r="C356" s="207" t="s">
        <v>305</v>
      </c>
      <c r="D356" s="207" t="s">
        <v>256</v>
      </c>
      <c r="E356" s="207" t="s">
        <v>333</v>
      </c>
      <c r="F356" s="207" t="s">
        <v>250</v>
      </c>
      <c r="G356" s="27">
        <f>393.3-82.6+10.8</f>
        <v>321.50000000000006</v>
      </c>
      <c r="J356" s="130"/>
    </row>
    <row r="357" spans="1:10" ht="82.5" customHeight="1">
      <c r="A357" s="33" t="s">
        <v>334</v>
      </c>
      <c r="B357" s="367">
        <v>903</v>
      </c>
      <c r="C357" s="207" t="s">
        <v>305</v>
      </c>
      <c r="D357" s="207" t="s">
        <v>256</v>
      </c>
      <c r="E357" s="207" t="s">
        <v>335</v>
      </c>
      <c r="F357" s="207"/>
      <c r="G357" s="27">
        <f>G358</f>
        <v>560.4</v>
      </c>
      <c r="H357" s="353"/>
      <c r="J357" s="130"/>
    </row>
    <row r="358" spans="1:10" ht="66" customHeight="1">
      <c r="A358" s="26" t="s">
        <v>168</v>
      </c>
      <c r="B358" s="367">
        <v>903</v>
      </c>
      <c r="C358" s="207" t="s">
        <v>305</v>
      </c>
      <c r="D358" s="207" t="s">
        <v>256</v>
      </c>
      <c r="E358" s="207" t="s">
        <v>335</v>
      </c>
      <c r="F358" s="207" t="s">
        <v>169</v>
      </c>
      <c r="G358" s="27">
        <f>G359</f>
        <v>560.4</v>
      </c>
      <c r="J358" s="130"/>
    </row>
    <row r="359" spans="1:10" ht="15.75">
      <c r="A359" s="47" t="s">
        <v>383</v>
      </c>
      <c r="B359" s="367">
        <v>903</v>
      </c>
      <c r="C359" s="207" t="s">
        <v>305</v>
      </c>
      <c r="D359" s="207" t="s">
        <v>256</v>
      </c>
      <c r="E359" s="207" t="s">
        <v>335</v>
      </c>
      <c r="F359" s="207" t="s">
        <v>250</v>
      </c>
      <c r="G359" s="27">
        <f>600-0.3-10.2-29.1</f>
        <v>560.4</v>
      </c>
      <c r="H359" s="352"/>
      <c r="J359" s="130"/>
    </row>
    <row r="360" spans="1:10" ht="15.75" customHeight="1" hidden="1">
      <c r="A360" s="24" t="s">
        <v>336</v>
      </c>
      <c r="B360" s="382">
        <v>903</v>
      </c>
      <c r="C360" s="383" t="s">
        <v>305</v>
      </c>
      <c r="D360" s="383" t="s">
        <v>260</v>
      </c>
      <c r="E360" s="383"/>
      <c r="F360" s="383"/>
      <c r="G360" s="27">
        <f>G361</f>
        <v>0</v>
      </c>
      <c r="J360" s="130"/>
    </row>
    <row r="361" spans="1:10" ht="15.75" customHeight="1" hidden="1">
      <c r="A361" s="26" t="s">
        <v>162</v>
      </c>
      <c r="B361" s="367">
        <v>903</v>
      </c>
      <c r="C361" s="207" t="s">
        <v>305</v>
      </c>
      <c r="D361" s="207" t="s">
        <v>260</v>
      </c>
      <c r="E361" s="207" t="s">
        <v>163</v>
      </c>
      <c r="F361" s="207"/>
      <c r="G361" s="27">
        <f>G362</f>
        <v>0</v>
      </c>
      <c r="J361" s="130"/>
    </row>
    <row r="362" spans="1:10" ht="31.5" customHeight="1" hidden="1">
      <c r="A362" s="26" t="s">
        <v>226</v>
      </c>
      <c r="B362" s="367">
        <v>903</v>
      </c>
      <c r="C362" s="207" t="s">
        <v>305</v>
      </c>
      <c r="D362" s="207" t="s">
        <v>260</v>
      </c>
      <c r="E362" s="207" t="s">
        <v>227</v>
      </c>
      <c r="F362" s="207"/>
      <c r="G362" s="27">
        <f>G363</f>
        <v>0</v>
      </c>
      <c r="J362" s="130"/>
    </row>
    <row r="363" spans="1:10" ht="31.5" customHeight="1" hidden="1">
      <c r="A363" s="38" t="s">
        <v>337</v>
      </c>
      <c r="B363" s="367">
        <v>903</v>
      </c>
      <c r="C363" s="207" t="s">
        <v>305</v>
      </c>
      <c r="D363" s="207" t="s">
        <v>260</v>
      </c>
      <c r="E363" s="207" t="s">
        <v>338</v>
      </c>
      <c r="F363" s="207"/>
      <c r="G363" s="27">
        <f>G364</f>
        <v>0</v>
      </c>
      <c r="J363" s="130"/>
    </row>
    <row r="364" spans="1:10" ht="15.75" customHeight="1" hidden="1">
      <c r="A364" s="26" t="s">
        <v>176</v>
      </c>
      <c r="B364" s="367">
        <v>903</v>
      </c>
      <c r="C364" s="207" t="s">
        <v>305</v>
      </c>
      <c r="D364" s="207" t="s">
        <v>260</v>
      </c>
      <c r="E364" s="207" t="s">
        <v>338</v>
      </c>
      <c r="F364" s="207" t="s">
        <v>186</v>
      </c>
      <c r="G364" s="27">
        <f>G365</f>
        <v>0</v>
      </c>
      <c r="J364" s="130"/>
    </row>
    <row r="365" spans="1:10" ht="63" customHeight="1" hidden="1">
      <c r="A365" s="26" t="s">
        <v>225</v>
      </c>
      <c r="B365" s="367">
        <v>903</v>
      </c>
      <c r="C365" s="207" t="s">
        <v>305</v>
      </c>
      <c r="D365" s="207" t="s">
        <v>260</v>
      </c>
      <c r="E365" s="207" t="s">
        <v>338</v>
      </c>
      <c r="F365" s="207" t="s">
        <v>201</v>
      </c>
      <c r="G365" s="27"/>
      <c r="J365" s="130"/>
    </row>
    <row r="366" spans="1:10" ht="19.5" customHeight="1">
      <c r="A366" s="24" t="s">
        <v>508</v>
      </c>
      <c r="B366" s="382">
        <v>903</v>
      </c>
      <c r="C366" s="383" t="s">
        <v>305</v>
      </c>
      <c r="D366" s="383" t="s">
        <v>305</v>
      </c>
      <c r="E366" s="207"/>
      <c r="F366" s="207"/>
      <c r="G366" s="22">
        <f>G367</f>
        <v>900</v>
      </c>
      <c r="J366" s="130"/>
    </row>
    <row r="367" spans="1:10" ht="36" customHeight="1">
      <c r="A367" s="26" t="s">
        <v>384</v>
      </c>
      <c r="B367" s="367">
        <v>903</v>
      </c>
      <c r="C367" s="207" t="s">
        <v>305</v>
      </c>
      <c r="D367" s="207" t="s">
        <v>305</v>
      </c>
      <c r="E367" s="207" t="s">
        <v>385</v>
      </c>
      <c r="F367" s="207"/>
      <c r="G367" s="27">
        <f>G368</f>
        <v>900</v>
      </c>
      <c r="J367" s="130"/>
    </row>
    <row r="368" spans="1:10" ht="23.25" customHeight="1">
      <c r="A368" s="26" t="s">
        <v>386</v>
      </c>
      <c r="B368" s="367">
        <v>903</v>
      </c>
      <c r="C368" s="207" t="s">
        <v>305</v>
      </c>
      <c r="D368" s="207" t="s">
        <v>305</v>
      </c>
      <c r="E368" s="207" t="s">
        <v>387</v>
      </c>
      <c r="F368" s="207"/>
      <c r="G368" s="27">
        <f>G369+G377</f>
        <v>900</v>
      </c>
      <c r="J368" s="130"/>
    </row>
    <row r="369" spans="1:10" ht="38.25" customHeight="1">
      <c r="A369" s="26" t="s">
        <v>198</v>
      </c>
      <c r="B369" s="367">
        <v>903</v>
      </c>
      <c r="C369" s="207" t="s">
        <v>305</v>
      </c>
      <c r="D369" s="207" t="s">
        <v>305</v>
      </c>
      <c r="E369" s="207" t="s">
        <v>388</v>
      </c>
      <c r="F369" s="207"/>
      <c r="G369" s="27">
        <f>G372+G371+G374</f>
        <v>601.4</v>
      </c>
      <c r="J369" s="130"/>
    </row>
    <row r="370" spans="1:10" ht="63" customHeight="1">
      <c r="A370" s="26" t="s">
        <v>168</v>
      </c>
      <c r="B370" s="367">
        <v>903</v>
      </c>
      <c r="C370" s="207" t="s">
        <v>305</v>
      </c>
      <c r="D370" s="207" t="s">
        <v>305</v>
      </c>
      <c r="E370" s="207" t="s">
        <v>388</v>
      </c>
      <c r="F370" s="207" t="s">
        <v>169</v>
      </c>
      <c r="G370" s="27">
        <f>G371</f>
        <v>40</v>
      </c>
      <c r="J370" s="130"/>
    </row>
    <row r="371" spans="1:10" ht="20.25" customHeight="1">
      <c r="A371" s="26" t="s">
        <v>383</v>
      </c>
      <c r="B371" s="367">
        <v>903</v>
      </c>
      <c r="C371" s="207" t="s">
        <v>305</v>
      </c>
      <c r="D371" s="207" t="s">
        <v>305</v>
      </c>
      <c r="E371" s="207" t="s">
        <v>388</v>
      </c>
      <c r="F371" s="207" t="s">
        <v>250</v>
      </c>
      <c r="G371" s="27">
        <f>40</f>
        <v>40</v>
      </c>
      <c r="J371" s="130"/>
    </row>
    <row r="372" spans="1:10" ht="27" customHeight="1">
      <c r="A372" s="26" t="s">
        <v>172</v>
      </c>
      <c r="B372" s="367">
        <v>903</v>
      </c>
      <c r="C372" s="207" t="s">
        <v>305</v>
      </c>
      <c r="D372" s="207" t="s">
        <v>305</v>
      </c>
      <c r="E372" s="207" t="s">
        <v>388</v>
      </c>
      <c r="F372" s="207" t="s">
        <v>173</v>
      </c>
      <c r="G372" s="27">
        <f>G373</f>
        <v>536.4</v>
      </c>
      <c r="J372" s="130"/>
    </row>
    <row r="373" spans="1:10" ht="39" customHeight="1">
      <c r="A373" s="26" t="s">
        <v>174</v>
      </c>
      <c r="B373" s="367">
        <v>903</v>
      </c>
      <c r="C373" s="207" t="s">
        <v>305</v>
      </c>
      <c r="D373" s="207" t="s">
        <v>305</v>
      </c>
      <c r="E373" s="207" t="s">
        <v>388</v>
      </c>
      <c r="F373" s="207" t="s">
        <v>175</v>
      </c>
      <c r="G373" s="27">
        <f>706.4-40-30-100</f>
        <v>536.4</v>
      </c>
      <c r="H373" s="351" t="s">
        <v>1178</v>
      </c>
      <c r="I373" s="313" t="s">
        <v>1179</v>
      </c>
      <c r="J373" s="130"/>
    </row>
    <row r="374" spans="1:10" ht="21" customHeight="1">
      <c r="A374" s="26" t="s">
        <v>289</v>
      </c>
      <c r="B374" s="367">
        <v>903</v>
      </c>
      <c r="C374" s="207" t="s">
        <v>305</v>
      </c>
      <c r="D374" s="207" t="s">
        <v>305</v>
      </c>
      <c r="E374" s="207" t="s">
        <v>388</v>
      </c>
      <c r="F374" s="207" t="s">
        <v>290</v>
      </c>
      <c r="G374" s="27">
        <f>G375</f>
        <v>25</v>
      </c>
      <c r="J374" s="130"/>
    </row>
    <row r="375" spans="1:10" ht="17.25" customHeight="1">
      <c r="A375" s="26" t="s">
        <v>389</v>
      </c>
      <c r="B375" s="367">
        <v>903</v>
      </c>
      <c r="C375" s="207" t="s">
        <v>305</v>
      </c>
      <c r="D375" s="207" t="s">
        <v>305</v>
      </c>
      <c r="E375" s="207" t="s">
        <v>388</v>
      </c>
      <c r="F375" s="207" t="s">
        <v>390</v>
      </c>
      <c r="G375" s="27">
        <v>25</v>
      </c>
      <c r="J375" s="130"/>
    </row>
    <row r="376" spans="1:10" ht="38.25" customHeight="1">
      <c r="A376" s="120" t="s">
        <v>1052</v>
      </c>
      <c r="B376" s="367">
        <v>903</v>
      </c>
      <c r="C376" s="207" t="s">
        <v>305</v>
      </c>
      <c r="D376" s="207" t="s">
        <v>305</v>
      </c>
      <c r="E376" s="207" t="s">
        <v>1051</v>
      </c>
      <c r="F376" s="207"/>
      <c r="G376" s="27">
        <f>G377</f>
        <v>298.6</v>
      </c>
      <c r="J376" s="130"/>
    </row>
    <row r="377" spans="1:10" ht="66.75" customHeight="1">
      <c r="A377" s="26" t="s">
        <v>168</v>
      </c>
      <c r="B377" s="367">
        <v>903</v>
      </c>
      <c r="C377" s="207" t="s">
        <v>305</v>
      </c>
      <c r="D377" s="207" t="s">
        <v>305</v>
      </c>
      <c r="E377" s="207" t="s">
        <v>1051</v>
      </c>
      <c r="F377" s="207" t="s">
        <v>169</v>
      </c>
      <c r="G377" s="27">
        <f>G378</f>
        <v>298.6</v>
      </c>
      <c r="J377" s="130"/>
    </row>
    <row r="378" spans="1:10" ht="21.75" customHeight="1">
      <c r="A378" s="26" t="s">
        <v>383</v>
      </c>
      <c r="B378" s="367">
        <v>903</v>
      </c>
      <c r="C378" s="207" t="s">
        <v>305</v>
      </c>
      <c r="D378" s="207" t="s">
        <v>305</v>
      </c>
      <c r="E378" s="207" t="s">
        <v>1051</v>
      </c>
      <c r="F378" s="207" t="s">
        <v>250</v>
      </c>
      <c r="G378" s="27">
        <f>160.5+108.1+30</f>
        <v>298.6</v>
      </c>
      <c r="H378" s="351" t="s">
        <v>1106</v>
      </c>
      <c r="I378" s="313" t="s">
        <v>1106</v>
      </c>
      <c r="J378" s="130"/>
    </row>
    <row r="379" spans="1:10" ht="15.75">
      <c r="A379" s="24" t="s">
        <v>339</v>
      </c>
      <c r="B379" s="382">
        <v>903</v>
      </c>
      <c r="C379" s="383" t="s">
        <v>340</v>
      </c>
      <c r="D379" s="383"/>
      <c r="E379" s="383"/>
      <c r="F379" s="383"/>
      <c r="G379" s="22">
        <f>G380+G499</f>
        <v>68235.29999999999</v>
      </c>
      <c r="J379" s="130"/>
    </row>
    <row r="380" spans="1:10" ht="15.75">
      <c r="A380" s="24" t="s">
        <v>341</v>
      </c>
      <c r="B380" s="382">
        <v>903</v>
      </c>
      <c r="C380" s="383" t="s">
        <v>340</v>
      </c>
      <c r="D380" s="383" t="s">
        <v>159</v>
      </c>
      <c r="E380" s="383"/>
      <c r="F380" s="383"/>
      <c r="G380" s="22">
        <f>G381+G478+G459+G474+Q470+G470</f>
        <v>49157.2</v>
      </c>
      <c r="J380" s="130"/>
    </row>
    <row r="381" spans="1:10" ht="35.25" customHeight="1">
      <c r="A381" s="26" t="s">
        <v>307</v>
      </c>
      <c r="B381" s="367">
        <v>903</v>
      </c>
      <c r="C381" s="207" t="s">
        <v>340</v>
      </c>
      <c r="D381" s="207" t="s">
        <v>159</v>
      </c>
      <c r="E381" s="207" t="s">
        <v>308</v>
      </c>
      <c r="F381" s="207"/>
      <c r="G381" s="27">
        <f>G382+G423</f>
        <v>45443.3</v>
      </c>
      <c r="H381" s="353"/>
      <c r="J381" s="130"/>
    </row>
    <row r="382" spans="1:10" ht="46.5" customHeight="1">
      <c r="A382" s="26" t="s">
        <v>342</v>
      </c>
      <c r="B382" s="367">
        <v>903</v>
      </c>
      <c r="C382" s="207" t="s">
        <v>340</v>
      </c>
      <c r="D382" s="207" t="s">
        <v>159</v>
      </c>
      <c r="E382" s="207" t="s">
        <v>343</v>
      </c>
      <c r="F382" s="207"/>
      <c r="G382" s="27">
        <f>G388+G409+G391+G394+G397+G400+G403+G406+G416+G383</f>
        <v>25924.600000000002</v>
      </c>
      <c r="J382" s="130"/>
    </row>
    <row r="383" spans="1:10" ht="35.25" customHeight="1">
      <c r="A383" s="33" t="s">
        <v>1041</v>
      </c>
      <c r="B383" s="367">
        <v>903</v>
      </c>
      <c r="C383" s="207" t="s">
        <v>340</v>
      </c>
      <c r="D383" s="207" t="s">
        <v>159</v>
      </c>
      <c r="E383" s="207" t="s">
        <v>1042</v>
      </c>
      <c r="F383" s="207"/>
      <c r="G383" s="28">
        <f>G386+G384</f>
        <v>2050</v>
      </c>
      <c r="J383" s="130"/>
    </row>
    <row r="384" spans="1:10" ht="66" customHeight="1">
      <c r="A384" s="26" t="s">
        <v>168</v>
      </c>
      <c r="B384" s="367">
        <v>903</v>
      </c>
      <c r="C384" s="207" t="s">
        <v>340</v>
      </c>
      <c r="D384" s="207" t="s">
        <v>159</v>
      </c>
      <c r="E384" s="207" t="s">
        <v>1042</v>
      </c>
      <c r="F384" s="207" t="s">
        <v>169</v>
      </c>
      <c r="G384" s="28">
        <f>G385</f>
        <v>925</v>
      </c>
      <c r="J384" s="130"/>
    </row>
    <row r="385" spans="1:10" ht="21.75" customHeight="1">
      <c r="A385" s="26" t="s">
        <v>249</v>
      </c>
      <c r="B385" s="367">
        <v>903</v>
      </c>
      <c r="C385" s="207" t="s">
        <v>340</v>
      </c>
      <c r="D385" s="207" t="s">
        <v>159</v>
      </c>
      <c r="E385" s="207" t="s">
        <v>1042</v>
      </c>
      <c r="F385" s="207" t="s">
        <v>250</v>
      </c>
      <c r="G385" s="28">
        <f>164.9+960.1-200</f>
        <v>925</v>
      </c>
      <c r="H385" s="352" t="s">
        <v>1104</v>
      </c>
      <c r="I385" s="313" t="s">
        <v>1139</v>
      </c>
      <c r="J385" s="130"/>
    </row>
    <row r="386" spans="1:10" ht="33.75" customHeight="1">
      <c r="A386" s="26" t="s">
        <v>172</v>
      </c>
      <c r="B386" s="367">
        <v>903</v>
      </c>
      <c r="C386" s="207" t="s">
        <v>340</v>
      </c>
      <c r="D386" s="207" t="s">
        <v>159</v>
      </c>
      <c r="E386" s="207" t="s">
        <v>1042</v>
      </c>
      <c r="F386" s="207" t="s">
        <v>173</v>
      </c>
      <c r="G386" s="28">
        <f>G387</f>
        <v>1125</v>
      </c>
      <c r="J386" s="130"/>
    </row>
    <row r="387" spans="1:10" ht="36.75" customHeight="1">
      <c r="A387" s="26" t="s">
        <v>174</v>
      </c>
      <c r="B387" s="367">
        <v>903</v>
      </c>
      <c r="C387" s="207" t="s">
        <v>340</v>
      </c>
      <c r="D387" s="207" t="s">
        <v>159</v>
      </c>
      <c r="E387" s="207" t="s">
        <v>1042</v>
      </c>
      <c r="F387" s="207" t="s">
        <v>175</v>
      </c>
      <c r="G387" s="28">
        <f>2000-164.9-960.1+250</f>
        <v>1125</v>
      </c>
      <c r="H387" s="352" t="s">
        <v>1191</v>
      </c>
      <c r="I387" s="313" t="s">
        <v>1191</v>
      </c>
      <c r="J387" s="130"/>
    </row>
    <row r="388" spans="1:10" ht="52.5" customHeight="1" hidden="1">
      <c r="A388" s="26" t="s">
        <v>344</v>
      </c>
      <c r="B388" s="367">
        <v>903</v>
      </c>
      <c r="C388" s="207" t="s">
        <v>340</v>
      </c>
      <c r="D388" s="207" t="s">
        <v>159</v>
      </c>
      <c r="E388" s="207" t="s">
        <v>345</v>
      </c>
      <c r="F388" s="207"/>
      <c r="G388" s="27">
        <f>G389</f>
        <v>0</v>
      </c>
      <c r="J388" s="130"/>
    </row>
    <row r="389" spans="1:10" ht="31.5" hidden="1">
      <c r="A389" s="26" t="s">
        <v>313</v>
      </c>
      <c r="B389" s="367">
        <v>903</v>
      </c>
      <c r="C389" s="207" t="s">
        <v>340</v>
      </c>
      <c r="D389" s="207" t="s">
        <v>159</v>
      </c>
      <c r="E389" s="207" t="s">
        <v>345</v>
      </c>
      <c r="F389" s="207" t="s">
        <v>314</v>
      </c>
      <c r="G389" s="27">
        <f>G390</f>
        <v>0</v>
      </c>
      <c r="J389" s="130"/>
    </row>
    <row r="390" spans="1:11" ht="15.75" hidden="1">
      <c r="A390" s="26" t="s">
        <v>315</v>
      </c>
      <c r="B390" s="367">
        <v>903</v>
      </c>
      <c r="C390" s="207" t="s">
        <v>340</v>
      </c>
      <c r="D390" s="207" t="s">
        <v>159</v>
      </c>
      <c r="E390" s="207" t="s">
        <v>345</v>
      </c>
      <c r="F390" s="207" t="s">
        <v>316</v>
      </c>
      <c r="G390" s="28">
        <v>0</v>
      </c>
      <c r="H390" s="354"/>
      <c r="I390" s="337"/>
      <c r="J390" s="274"/>
      <c r="K390" s="260"/>
    </row>
    <row r="391" spans="1:10" ht="31.5" hidden="1">
      <c r="A391" s="26" t="s">
        <v>776</v>
      </c>
      <c r="B391" s="367">
        <v>903</v>
      </c>
      <c r="C391" s="207" t="s">
        <v>340</v>
      </c>
      <c r="D391" s="207" t="s">
        <v>159</v>
      </c>
      <c r="E391" s="207" t="s">
        <v>346</v>
      </c>
      <c r="F391" s="207"/>
      <c r="G391" s="27">
        <f>G392</f>
        <v>0</v>
      </c>
      <c r="H391" s="353"/>
      <c r="J391" s="130"/>
    </row>
    <row r="392" spans="1:10" ht="31.5" hidden="1">
      <c r="A392" s="26" t="s">
        <v>313</v>
      </c>
      <c r="B392" s="367">
        <v>903</v>
      </c>
      <c r="C392" s="207" t="s">
        <v>340</v>
      </c>
      <c r="D392" s="207" t="s">
        <v>159</v>
      </c>
      <c r="E392" s="207" t="s">
        <v>346</v>
      </c>
      <c r="F392" s="207" t="s">
        <v>314</v>
      </c>
      <c r="G392" s="27">
        <f>G393</f>
        <v>0</v>
      </c>
      <c r="J392" s="130"/>
    </row>
    <row r="393" spans="1:10" ht="15.75" hidden="1">
      <c r="A393" s="26" t="s">
        <v>315</v>
      </c>
      <c r="B393" s="367">
        <v>903</v>
      </c>
      <c r="C393" s="207" t="s">
        <v>340</v>
      </c>
      <c r="D393" s="207" t="s">
        <v>159</v>
      </c>
      <c r="E393" s="207" t="s">
        <v>346</v>
      </c>
      <c r="F393" s="207" t="s">
        <v>316</v>
      </c>
      <c r="G393" s="27">
        <v>0</v>
      </c>
      <c r="J393" s="130"/>
    </row>
    <row r="394" spans="1:10" ht="31.5" hidden="1">
      <c r="A394" s="26" t="s">
        <v>319</v>
      </c>
      <c r="B394" s="367">
        <v>903</v>
      </c>
      <c r="C394" s="207" t="s">
        <v>340</v>
      </c>
      <c r="D394" s="207" t="s">
        <v>159</v>
      </c>
      <c r="E394" s="207" t="s">
        <v>347</v>
      </c>
      <c r="F394" s="207"/>
      <c r="G394" s="27">
        <f>G395</f>
        <v>0</v>
      </c>
      <c r="J394" s="130"/>
    </row>
    <row r="395" spans="1:10" ht="31.5" hidden="1">
      <c r="A395" s="26" t="s">
        <v>313</v>
      </c>
      <c r="B395" s="367">
        <v>903</v>
      </c>
      <c r="C395" s="207" t="s">
        <v>340</v>
      </c>
      <c r="D395" s="207" t="s">
        <v>159</v>
      </c>
      <c r="E395" s="207" t="s">
        <v>347</v>
      </c>
      <c r="F395" s="207" t="s">
        <v>314</v>
      </c>
      <c r="G395" s="27">
        <f>G396</f>
        <v>0</v>
      </c>
      <c r="J395" s="130"/>
    </row>
    <row r="396" spans="1:10" ht="15.75" hidden="1">
      <c r="A396" s="26" t="s">
        <v>315</v>
      </c>
      <c r="B396" s="367">
        <v>903</v>
      </c>
      <c r="C396" s="207" t="s">
        <v>340</v>
      </c>
      <c r="D396" s="207" t="s">
        <v>159</v>
      </c>
      <c r="E396" s="207" t="s">
        <v>347</v>
      </c>
      <c r="F396" s="207" t="s">
        <v>316</v>
      </c>
      <c r="G396" s="27">
        <v>0</v>
      </c>
      <c r="J396" s="130"/>
    </row>
    <row r="397" spans="1:10" ht="15.75" hidden="1">
      <c r="A397" s="26" t="s">
        <v>348</v>
      </c>
      <c r="B397" s="367">
        <v>903</v>
      </c>
      <c r="C397" s="207" t="s">
        <v>340</v>
      </c>
      <c r="D397" s="207" t="s">
        <v>159</v>
      </c>
      <c r="E397" s="207" t="s">
        <v>349</v>
      </c>
      <c r="F397" s="207"/>
      <c r="G397" s="27">
        <f>G398</f>
        <v>0</v>
      </c>
      <c r="J397" s="130"/>
    </row>
    <row r="398" spans="1:10" ht="31.5" hidden="1">
      <c r="A398" s="26" t="s">
        <v>313</v>
      </c>
      <c r="B398" s="367">
        <v>903</v>
      </c>
      <c r="C398" s="207" t="s">
        <v>340</v>
      </c>
      <c r="D398" s="207" t="s">
        <v>159</v>
      </c>
      <c r="E398" s="207" t="s">
        <v>349</v>
      </c>
      <c r="F398" s="207" t="s">
        <v>314</v>
      </c>
      <c r="G398" s="27">
        <f>G399</f>
        <v>0</v>
      </c>
      <c r="J398" s="130"/>
    </row>
    <row r="399" spans="1:10" ht="15.75" hidden="1">
      <c r="A399" s="26" t="s">
        <v>315</v>
      </c>
      <c r="B399" s="367">
        <v>903</v>
      </c>
      <c r="C399" s="207" t="s">
        <v>340</v>
      </c>
      <c r="D399" s="207" t="s">
        <v>159</v>
      </c>
      <c r="E399" s="207" t="s">
        <v>349</v>
      </c>
      <c r="F399" s="207" t="s">
        <v>316</v>
      </c>
      <c r="G399" s="27">
        <v>0</v>
      </c>
      <c r="J399" s="130"/>
    </row>
    <row r="400" spans="1:10" ht="31.5" customHeight="1" hidden="1">
      <c r="A400" s="26" t="s">
        <v>325</v>
      </c>
      <c r="B400" s="367">
        <v>903</v>
      </c>
      <c r="C400" s="207" t="s">
        <v>340</v>
      </c>
      <c r="D400" s="207" t="s">
        <v>159</v>
      </c>
      <c r="E400" s="207" t="s">
        <v>326</v>
      </c>
      <c r="F400" s="207"/>
      <c r="G400" s="27">
        <f>G401</f>
        <v>0</v>
      </c>
      <c r="J400" s="130"/>
    </row>
    <row r="401" spans="1:10" ht="47.25" customHeight="1" hidden="1">
      <c r="A401" s="26" t="s">
        <v>313</v>
      </c>
      <c r="B401" s="367">
        <v>903</v>
      </c>
      <c r="C401" s="207" t="s">
        <v>340</v>
      </c>
      <c r="D401" s="207" t="s">
        <v>159</v>
      </c>
      <c r="E401" s="207" t="s">
        <v>326</v>
      </c>
      <c r="F401" s="207" t="s">
        <v>314</v>
      </c>
      <c r="G401" s="27">
        <f>G402</f>
        <v>0</v>
      </c>
      <c r="J401" s="130"/>
    </row>
    <row r="402" spans="1:10" ht="15.75" customHeight="1" hidden="1">
      <c r="A402" s="26" t="s">
        <v>315</v>
      </c>
      <c r="B402" s="367">
        <v>903</v>
      </c>
      <c r="C402" s="207" t="s">
        <v>340</v>
      </c>
      <c r="D402" s="207" t="s">
        <v>159</v>
      </c>
      <c r="E402" s="207" t="s">
        <v>326</v>
      </c>
      <c r="F402" s="207" t="s">
        <v>316</v>
      </c>
      <c r="G402" s="27">
        <v>0</v>
      </c>
      <c r="J402" s="130"/>
    </row>
    <row r="403" spans="1:10" ht="47.25" customHeight="1" hidden="1">
      <c r="A403" s="26" t="s">
        <v>328</v>
      </c>
      <c r="B403" s="367">
        <v>903</v>
      </c>
      <c r="C403" s="207" t="s">
        <v>340</v>
      </c>
      <c r="D403" s="207" t="s">
        <v>159</v>
      </c>
      <c r="E403" s="207" t="s">
        <v>350</v>
      </c>
      <c r="F403" s="207"/>
      <c r="G403" s="27">
        <f>G404</f>
        <v>0</v>
      </c>
      <c r="J403" s="130"/>
    </row>
    <row r="404" spans="1:10" ht="47.25" customHeight="1" hidden="1">
      <c r="A404" s="26" t="s">
        <v>313</v>
      </c>
      <c r="B404" s="367">
        <v>903</v>
      </c>
      <c r="C404" s="207" t="s">
        <v>340</v>
      </c>
      <c r="D404" s="207" t="s">
        <v>159</v>
      </c>
      <c r="E404" s="207" t="s">
        <v>350</v>
      </c>
      <c r="F404" s="207" t="s">
        <v>314</v>
      </c>
      <c r="G404" s="27">
        <f>G405</f>
        <v>0</v>
      </c>
      <c r="J404" s="130"/>
    </row>
    <row r="405" spans="1:10" ht="15.75" customHeight="1" hidden="1">
      <c r="A405" s="26" t="s">
        <v>315</v>
      </c>
      <c r="B405" s="367">
        <v>903</v>
      </c>
      <c r="C405" s="207" t="s">
        <v>340</v>
      </c>
      <c r="D405" s="207" t="s">
        <v>159</v>
      </c>
      <c r="E405" s="207" t="s">
        <v>350</v>
      </c>
      <c r="F405" s="207" t="s">
        <v>316</v>
      </c>
      <c r="G405" s="27">
        <v>0</v>
      </c>
      <c r="J405" s="130"/>
    </row>
    <row r="406" spans="1:10" ht="44.25" customHeight="1" hidden="1">
      <c r="A406" s="31" t="s">
        <v>842</v>
      </c>
      <c r="B406" s="367">
        <v>903</v>
      </c>
      <c r="C406" s="207" t="s">
        <v>340</v>
      </c>
      <c r="D406" s="207" t="s">
        <v>159</v>
      </c>
      <c r="E406" s="207" t="s">
        <v>847</v>
      </c>
      <c r="F406" s="207"/>
      <c r="G406" s="27">
        <f>G407</f>
        <v>0</v>
      </c>
      <c r="J406" s="130"/>
    </row>
    <row r="407" spans="1:10" ht="54.75" customHeight="1" hidden="1">
      <c r="A407" s="31" t="s">
        <v>313</v>
      </c>
      <c r="B407" s="367">
        <v>903</v>
      </c>
      <c r="C407" s="207" t="s">
        <v>340</v>
      </c>
      <c r="D407" s="207" t="s">
        <v>159</v>
      </c>
      <c r="E407" s="207" t="s">
        <v>847</v>
      </c>
      <c r="F407" s="207" t="s">
        <v>314</v>
      </c>
      <c r="G407" s="27">
        <f>G408</f>
        <v>0</v>
      </c>
      <c r="J407" s="130"/>
    </row>
    <row r="408" spans="1:10" ht="15.75" customHeight="1" hidden="1">
      <c r="A408" s="31" t="s">
        <v>315</v>
      </c>
      <c r="B408" s="367">
        <v>903</v>
      </c>
      <c r="C408" s="207" t="s">
        <v>340</v>
      </c>
      <c r="D408" s="207" t="s">
        <v>159</v>
      </c>
      <c r="E408" s="207" t="s">
        <v>847</v>
      </c>
      <c r="F408" s="207" t="s">
        <v>316</v>
      </c>
      <c r="G408" s="27">
        <v>0</v>
      </c>
      <c r="J408" s="130"/>
    </row>
    <row r="409" spans="1:10" ht="47.25" customHeight="1" hidden="1">
      <c r="A409" s="26" t="s">
        <v>351</v>
      </c>
      <c r="B409" s="367">
        <v>903</v>
      </c>
      <c r="C409" s="207" t="s">
        <v>340</v>
      </c>
      <c r="D409" s="207" t="s">
        <v>159</v>
      </c>
      <c r="E409" s="207" t="s">
        <v>352</v>
      </c>
      <c r="F409" s="207"/>
      <c r="G409" s="27">
        <f>G410+G412+G414</f>
        <v>0</v>
      </c>
      <c r="J409" s="130"/>
    </row>
    <row r="410" spans="1:10" ht="94.5" customHeight="1" hidden="1">
      <c r="A410" s="26" t="s">
        <v>168</v>
      </c>
      <c r="B410" s="367">
        <v>903</v>
      </c>
      <c r="C410" s="207" t="s">
        <v>340</v>
      </c>
      <c r="D410" s="207" t="s">
        <v>159</v>
      </c>
      <c r="E410" s="207" t="s">
        <v>352</v>
      </c>
      <c r="F410" s="207" t="s">
        <v>169</v>
      </c>
      <c r="G410" s="27">
        <f>G411</f>
        <v>0</v>
      </c>
      <c r="J410" s="130"/>
    </row>
    <row r="411" spans="1:10" ht="31.5" customHeight="1" hidden="1">
      <c r="A411" s="26" t="s">
        <v>249</v>
      </c>
      <c r="B411" s="367">
        <v>903</v>
      </c>
      <c r="C411" s="207" t="s">
        <v>340</v>
      </c>
      <c r="D411" s="207" t="s">
        <v>159</v>
      </c>
      <c r="E411" s="207" t="s">
        <v>352</v>
      </c>
      <c r="F411" s="207" t="s">
        <v>250</v>
      </c>
      <c r="G411" s="28">
        <v>0</v>
      </c>
      <c r="J411" s="130"/>
    </row>
    <row r="412" spans="1:10" ht="31.5" customHeight="1" hidden="1">
      <c r="A412" s="26" t="s">
        <v>172</v>
      </c>
      <c r="B412" s="367">
        <v>903</v>
      </c>
      <c r="C412" s="207" t="s">
        <v>340</v>
      </c>
      <c r="D412" s="207" t="s">
        <v>159</v>
      </c>
      <c r="E412" s="207" t="s">
        <v>352</v>
      </c>
      <c r="F412" s="207" t="s">
        <v>173</v>
      </c>
      <c r="G412" s="27">
        <f>G413</f>
        <v>0</v>
      </c>
      <c r="J412" s="130"/>
    </row>
    <row r="413" spans="1:10" ht="47.25" customHeight="1" hidden="1">
      <c r="A413" s="26" t="s">
        <v>174</v>
      </c>
      <c r="B413" s="367">
        <v>903</v>
      </c>
      <c r="C413" s="207" t="s">
        <v>340</v>
      </c>
      <c r="D413" s="207" t="s">
        <v>159</v>
      </c>
      <c r="E413" s="207" t="s">
        <v>352</v>
      </c>
      <c r="F413" s="207" t="s">
        <v>175</v>
      </c>
      <c r="G413" s="28">
        <v>0</v>
      </c>
      <c r="J413" s="130"/>
    </row>
    <row r="414" spans="1:10" ht="15.75" customHeight="1" hidden="1">
      <c r="A414" s="26" t="s">
        <v>176</v>
      </c>
      <c r="B414" s="367">
        <v>903</v>
      </c>
      <c r="C414" s="207" t="s">
        <v>340</v>
      </c>
      <c r="D414" s="207" t="s">
        <v>159</v>
      </c>
      <c r="E414" s="207" t="s">
        <v>352</v>
      </c>
      <c r="F414" s="207" t="s">
        <v>186</v>
      </c>
      <c r="G414" s="27">
        <f>G415</f>
        <v>0</v>
      </c>
      <c r="J414" s="130"/>
    </row>
    <row r="415" spans="1:10" ht="15.75" customHeight="1" hidden="1">
      <c r="A415" s="26" t="s">
        <v>178</v>
      </c>
      <c r="B415" s="367">
        <v>903</v>
      </c>
      <c r="C415" s="207" t="s">
        <v>340</v>
      </c>
      <c r="D415" s="207" t="s">
        <v>159</v>
      </c>
      <c r="E415" s="207" t="s">
        <v>352</v>
      </c>
      <c r="F415" s="207" t="s">
        <v>179</v>
      </c>
      <c r="G415" s="27">
        <v>0</v>
      </c>
      <c r="J415" s="130"/>
    </row>
    <row r="416" spans="1:10" ht="16.5" customHeight="1">
      <c r="A416" s="26" t="s">
        <v>990</v>
      </c>
      <c r="B416" s="367">
        <v>903</v>
      </c>
      <c r="C416" s="207" t="s">
        <v>340</v>
      </c>
      <c r="D416" s="207" t="s">
        <v>159</v>
      </c>
      <c r="E416" s="207" t="s">
        <v>352</v>
      </c>
      <c r="F416" s="207"/>
      <c r="G416" s="27">
        <f>G417+G419+G421</f>
        <v>23874.600000000002</v>
      </c>
      <c r="J416" s="130"/>
    </row>
    <row r="417" spans="1:10" ht="68.25" customHeight="1">
      <c r="A417" s="26" t="s">
        <v>168</v>
      </c>
      <c r="B417" s="367">
        <v>903</v>
      </c>
      <c r="C417" s="207" t="s">
        <v>340</v>
      </c>
      <c r="D417" s="207" t="s">
        <v>159</v>
      </c>
      <c r="E417" s="207" t="s">
        <v>352</v>
      </c>
      <c r="F417" s="207" t="s">
        <v>169</v>
      </c>
      <c r="G417" s="27">
        <f>G418</f>
        <v>18085.4</v>
      </c>
      <c r="J417" s="130"/>
    </row>
    <row r="418" spans="1:11" ht="21" customHeight="1">
      <c r="A418" s="26" t="s">
        <v>249</v>
      </c>
      <c r="B418" s="367">
        <v>903</v>
      </c>
      <c r="C418" s="207" t="s">
        <v>340</v>
      </c>
      <c r="D418" s="207" t="s">
        <v>159</v>
      </c>
      <c r="E418" s="207" t="s">
        <v>352</v>
      </c>
      <c r="F418" s="207" t="s">
        <v>250</v>
      </c>
      <c r="G418" s="28">
        <f>15080+423.4+2594-2-10</f>
        <v>18085.4</v>
      </c>
      <c r="H418" s="352" t="s">
        <v>1110</v>
      </c>
      <c r="I418" s="339" t="s">
        <v>1110</v>
      </c>
      <c r="J418" s="130"/>
      <c r="K418" s="279"/>
    </row>
    <row r="419" spans="1:10" ht="27" customHeight="1">
      <c r="A419" s="26" t="s">
        <v>172</v>
      </c>
      <c r="B419" s="367">
        <v>903</v>
      </c>
      <c r="C419" s="207" t="s">
        <v>340</v>
      </c>
      <c r="D419" s="207" t="s">
        <v>159</v>
      </c>
      <c r="E419" s="207" t="s">
        <v>352</v>
      </c>
      <c r="F419" s="207" t="s">
        <v>173</v>
      </c>
      <c r="G419" s="27">
        <f>G420</f>
        <v>5681.2</v>
      </c>
      <c r="J419" s="130"/>
    </row>
    <row r="420" spans="1:11" ht="35.25" customHeight="1">
      <c r="A420" s="26" t="s">
        <v>174</v>
      </c>
      <c r="B420" s="367">
        <v>903</v>
      </c>
      <c r="C420" s="207" t="s">
        <v>340</v>
      </c>
      <c r="D420" s="207" t="s">
        <v>159</v>
      </c>
      <c r="E420" s="207" t="s">
        <v>352</v>
      </c>
      <c r="F420" s="207" t="s">
        <v>175</v>
      </c>
      <c r="G420" s="28">
        <f>6603-96-1145.8+120+200</f>
        <v>5681.2</v>
      </c>
      <c r="H420" s="352" t="s">
        <v>1107</v>
      </c>
      <c r="I420" s="339" t="s">
        <v>1142</v>
      </c>
      <c r="J420" s="130"/>
      <c r="K420" s="279"/>
    </row>
    <row r="421" spans="1:10" ht="15.75" customHeight="1">
      <c r="A421" s="26" t="s">
        <v>176</v>
      </c>
      <c r="B421" s="367">
        <v>903</v>
      </c>
      <c r="C421" s="207" t="s">
        <v>340</v>
      </c>
      <c r="D421" s="207" t="s">
        <v>159</v>
      </c>
      <c r="E421" s="207" t="s">
        <v>352</v>
      </c>
      <c r="F421" s="207" t="s">
        <v>186</v>
      </c>
      <c r="G421" s="27">
        <f>G422</f>
        <v>108</v>
      </c>
      <c r="J421" s="130"/>
    </row>
    <row r="422" spans="1:10" ht="15.75" customHeight="1">
      <c r="A422" s="26" t="s">
        <v>610</v>
      </c>
      <c r="B422" s="367">
        <v>903</v>
      </c>
      <c r="C422" s="207" t="s">
        <v>340</v>
      </c>
      <c r="D422" s="207" t="s">
        <v>159</v>
      </c>
      <c r="E422" s="207" t="s">
        <v>352</v>
      </c>
      <c r="F422" s="207" t="s">
        <v>179</v>
      </c>
      <c r="G422" s="27">
        <f>96+2+10</f>
        <v>108</v>
      </c>
      <c r="H422" s="352" t="s">
        <v>1113</v>
      </c>
      <c r="I422" s="313" t="s">
        <v>1113</v>
      </c>
      <c r="J422" s="130"/>
    </row>
    <row r="423" spans="1:10" ht="37.5" customHeight="1">
      <c r="A423" s="26" t="s">
        <v>353</v>
      </c>
      <c r="B423" s="367">
        <v>903</v>
      </c>
      <c r="C423" s="207" t="s">
        <v>340</v>
      </c>
      <c r="D423" s="207" t="s">
        <v>159</v>
      </c>
      <c r="E423" s="207" t="s">
        <v>354</v>
      </c>
      <c r="F423" s="207"/>
      <c r="G423" s="27">
        <f>G430+G453+G441+G444+G447+G450+G433+G438+G456+G463+G424+G427</f>
        <v>19518.699999999997</v>
      </c>
      <c r="J423" s="130"/>
    </row>
    <row r="424" spans="1:10" ht="15.75">
      <c r="A424" s="26" t="s">
        <v>370</v>
      </c>
      <c r="B424" s="367">
        <v>903</v>
      </c>
      <c r="C424" s="207" t="s">
        <v>340</v>
      </c>
      <c r="D424" s="207" t="s">
        <v>159</v>
      </c>
      <c r="E424" s="207" t="s">
        <v>357</v>
      </c>
      <c r="F424" s="207"/>
      <c r="G424" s="27">
        <f>G425</f>
        <v>3.5</v>
      </c>
      <c r="J424" s="130"/>
    </row>
    <row r="425" spans="1:10" ht="31.5">
      <c r="A425" s="26" t="s">
        <v>172</v>
      </c>
      <c r="B425" s="367">
        <v>903</v>
      </c>
      <c r="C425" s="207" t="s">
        <v>340</v>
      </c>
      <c r="D425" s="207" t="s">
        <v>159</v>
      </c>
      <c r="E425" s="207" t="s">
        <v>357</v>
      </c>
      <c r="F425" s="207" t="s">
        <v>173</v>
      </c>
      <c r="G425" s="27">
        <f>G426</f>
        <v>3.5</v>
      </c>
      <c r="J425" s="130"/>
    </row>
    <row r="426" spans="1:10" ht="31.5">
      <c r="A426" s="26" t="s">
        <v>174</v>
      </c>
      <c r="B426" s="367">
        <v>903</v>
      </c>
      <c r="C426" s="207" t="s">
        <v>340</v>
      </c>
      <c r="D426" s="207" t="s">
        <v>159</v>
      </c>
      <c r="E426" s="207" t="s">
        <v>357</v>
      </c>
      <c r="F426" s="207" t="s">
        <v>175</v>
      </c>
      <c r="G426" s="27">
        <v>3.5</v>
      </c>
      <c r="H426" s="352"/>
      <c r="J426" s="130"/>
    </row>
    <row r="427" spans="1:10" ht="31.5">
      <c r="A427" s="26" t="s">
        <v>1057</v>
      </c>
      <c r="B427" s="367">
        <v>903</v>
      </c>
      <c r="C427" s="207" t="s">
        <v>340</v>
      </c>
      <c r="D427" s="207" t="s">
        <v>159</v>
      </c>
      <c r="E427" s="207" t="s">
        <v>1058</v>
      </c>
      <c r="F427" s="207"/>
      <c r="G427" s="27">
        <f>G428</f>
        <v>227.5</v>
      </c>
      <c r="J427" s="130"/>
    </row>
    <row r="428" spans="1:10" ht="31.5">
      <c r="A428" s="26" t="s">
        <v>172</v>
      </c>
      <c r="B428" s="367">
        <v>903</v>
      </c>
      <c r="C428" s="207" t="s">
        <v>340</v>
      </c>
      <c r="D428" s="207" t="s">
        <v>159</v>
      </c>
      <c r="E428" s="207" t="s">
        <v>1058</v>
      </c>
      <c r="F428" s="207" t="s">
        <v>173</v>
      </c>
      <c r="G428" s="27">
        <f>G429</f>
        <v>227.5</v>
      </c>
      <c r="J428" s="130"/>
    </row>
    <row r="429" spans="1:10" ht="31.5">
      <c r="A429" s="26" t="s">
        <v>174</v>
      </c>
      <c r="B429" s="367">
        <v>903</v>
      </c>
      <c r="C429" s="207" t="s">
        <v>340</v>
      </c>
      <c r="D429" s="207" t="s">
        <v>159</v>
      </c>
      <c r="E429" s="207" t="s">
        <v>1058</v>
      </c>
      <c r="F429" s="207" t="s">
        <v>175</v>
      </c>
      <c r="G429" s="27">
        <v>227.5</v>
      </c>
      <c r="J429" s="130"/>
    </row>
    <row r="430" spans="1:10" ht="51" customHeight="1" hidden="1">
      <c r="A430" s="26" t="s">
        <v>344</v>
      </c>
      <c r="B430" s="367">
        <v>903</v>
      </c>
      <c r="C430" s="207" t="s">
        <v>340</v>
      </c>
      <c r="D430" s="207" t="s">
        <v>159</v>
      </c>
      <c r="E430" s="207" t="s">
        <v>355</v>
      </c>
      <c r="F430" s="207"/>
      <c r="G430" s="27">
        <f>G431</f>
        <v>0</v>
      </c>
      <c r="J430" s="130"/>
    </row>
    <row r="431" spans="1:10" ht="31.5" hidden="1">
      <c r="A431" s="26" t="s">
        <v>313</v>
      </c>
      <c r="B431" s="367">
        <v>903</v>
      </c>
      <c r="C431" s="207" t="s">
        <v>340</v>
      </c>
      <c r="D431" s="207" t="s">
        <v>159</v>
      </c>
      <c r="E431" s="207" t="s">
        <v>355</v>
      </c>
      <c r="F431" s="207" t="s">
        <v>314</v>
      </c>
      <c r="G431" s="27">
        <f>G432</f>
        <v>0</v>
      </c>
      <c r="J431" s="130"/>
    </row>
    <row r="432" spans="1:10" ht="15.75" hidden="1">
      <c r="A432" s="26" t="s">
        <v>315</v>
      </c>
      <c r="B432" s="367">
        <v>903</v>
      </c>
      <c r="C432" s="207" t="s">
        <v>340</v>
      </c>
      <c r="D432" s="207" t="s">
        <v>159</v>
      </c>
      <c r="E432" s="207" t="s">
        <v>355</v>
      </c>
      <c r="F432" s="207" t="s">
        <v>316</v>
      </c>
      <c r="G432" s="28">
        <v>0</v>
      </c>
      <c r="H432" s="354"/>
      <c r="J432" s="130"/>
    </row>
    <row r="433" spans="1:10" ht="38.25" customHeight="1" hidden="1">
      <c r="A433" s="26" t="s">
        <v>356</v>
      </c>
      <c r="B433" s="367">
        <v>903</v>
      </c>
      <c r="C433" s="207" t="s">
        <v>340</v>
      </c>
      <c r="D433" s="207" t="s">
        <v>159</v>
      </c>
      <c r="E433" s="207" t="s">
        <v>357</v>
      </c>
      <c r="F433" s="207"/>
      <c r="G433" s="28">
        <f>G434+G436</f>
        <v>0</v>
      </c>
      <c r="J433" s="130"/>
    </row>
    <row r="434" spans="1:10" ht="31.5" customHeight="1" hidden="1">
      <c r="A434" s="26" t="s">
        <v>172</v>
      </c>
      <c r="B434" s="367">
        <v>903</v>
      </c>
      <c r="C434" s="207" t="s">
        <v>340</v>
      </c>
      <c r="D434" s="207" t="s">
        <v>159</v>
      </c>
      <c r="E434" s="207" t="s">
        <v>357</v>
      </c>
      <c r="F434" s="207" t="s">
        <v>173</v>
      </c>
      <c r="G434" s="28">
        <f>G435</f>
        <v>0</v>
      </c>
      <c r="J434" s="130"/>
    </row>
    <row r="435" spans="1:10" ht="47.25" customHeight="1" hidden="1">
      <c r="A435" s="26" t="s">
        <v>174</v>
      </c>
      <c r="B435" s="367">
        <v>903</v>
      </c>
      <c r="C435" s="207" t="s">
        <v>340</v>
      </c>
      <c r="D435" s="207" t="s">
        <v>159</v>
      </c>
      <c r="E435" s="207" t="s">
        <v>357</v>
      </c>
      <c r="F435" s="207" t="s">
        <v>175</v>
      </c>
      <c r="G435" s="28">
        <v>0</v>
      </c>
      <c r="J435" s="130"/>
    </row>
    <row r="436" spans="1:10" ht="31.5" hidden="1">
      <c r="A436" s="26" t="s">
        <v>313</v>
      </c>
      <c r="B436" s="367">
        <v>903</v>
      </c>
      <c r="C436" s="207" t="s">
        <v>340</v>
      </c>
      <c r="D436" s="207" t="s">
        <v>159</v>
      </c>
      <c r="E436" s="207" t="s">
        <v>357</v>
      </c>
      <c r="F436" s="207" t="s">
        <v>314</v>
      </c>
      <c r="G436" s="28">
        <f>G437</f>
        <v>0</v>
      </c>
      <c r="J436" s="130"/>
    </row>
    <row r="437" spans="1:10" ht="15.75" hidden="1">
      <c r="A437" s="26" t="s">
        <v>315</v>
      </c>
      <c r="B437" s="367">
        <v>903</v>
      </c>
      <c r="C437" s="207" t="s">
        <v>340</v>
      </c>
      <c r="D437" s="207" t="s">
        <v>159</v>
      </c>
      <c r="E437" s="207" t="s">
        <v>357</v>
      </c>
      <c r="F437" s="207" t="s">
        <v>316</v>
      </c>
      <c r="G437" s="28">
        <v>0</v>
      </c>
      <c r="J437" s="130"/>
    </row>
    <row r="438" spans="1:10" ht="15.75" hidden="1">
      <c r="A438" s="26" t="s">
        <v>748</v>
      </c>
      <c r="B438" s="367">
        <v>903</v>
      </c>
      <c r="C438" s="207" t="s">
        <v>340</v>
      </c>
      <c r="D438" s="207" t="s">
        <v>159</v>
      </c>
      <c r="E438" s="207" t="s">
        <v>749</v>
      </c>
      <c r="F438" s="207"/>
      <c r="G438" s="28">
        <f>G439</f>
        <v>0</v>
      </c>
      <c r="J438" s="130"/>
    </row>
    <row r="439" spans="1:10" ht="31.5" hidden="1">
      <c r="A439" s="26" t="s">
        <v>313</v>
      </c>
      <c r="B439" s="367">
        <v>903</v>
      </c>
      <c r="C439" s="207" t="s">
        <v>340</v>
      </c>
      <c r="D439" s="207" t="s">
        <v>159</v>
      </c>
      <c r="E439" s="207" t="s">
        <v>749</v>
      </c>
      <c r="F439" s="207" t="s">
        <v>314</v>
      </c>
      <c r="G439" s="28">
        <f>G440</f>
        <v>0</v>
      </c>
      <c r="J439" s="130"/>
    </row>
    <row r="440" spans="1:10" ht="15.75" hidden="1">
      <c r="A440" s="26" t="s">
        <v>315</v>
      </c>
      <c r="B440" s="367">
        <v>903</v>
      </c>
      <c r="C440" s="207" t="s">
        <v>340</v>
      </c>
      <c r="D440" s="207" t="s">
        <v>159</v>
      </c>
      <c r="E440" s="207" t="s">
        <v>749</v>
      </c>
      <c r="F440" s="207" t="s">
        <v>316</v>
      </c>
      <c r="G440" s="28">
        <v>0</v>
      </c>
      <c r="J440" s="130"/>
    </row>
    <row r="441" spans="1:10" ht="47.25" customHeight="1" hidden="1">
      <c r="A441" s="26" t="s">
        <v>317</v>
      </c>
      <c r="B441" s="367">
        <v>903</v>
      </c>
      <c r="C441" s="207" t="s">
        <v>340</v>
      </c>
      <c r="D441" s="207" t="s">
        <v>159</v>
      </c>
      <c r="E441" s="207" t="s">
        <v>358</v>
      </c>
      <c r="F441" s="207"/>
      <c r="G441" s="27">
        <f>G442</f>
        <v>0</v>
      </c>
      <c r="J441" s="130"/>
    </row>
    <row r="442" spans="1:10" ht="47.25" customHeight="1" hidden="1">
      <c r="A442" s="26" t="s">
        <v>313</v>
      </c>
      <c r="B442" s="367">
        <v>903</v>
      </c>
      <c r="C442" s="207" t="s">
        <v>340</v>
      </c>
      <c r="D442" s="207" t="s">
        <v>159</v>
      </c>
      <c r="E442" s="207" t="s">
        <v>358</v>
      </c>
      <c r="F442" s="207" t="s">
        <v>314</v>
      </c>
      <c r="G442" s="27">
        <f>G443</f>
        <v>0</v>
      </c>
      <c r="J442" s="130"/>
    </row>
    <row r="443" spans="1:10" ht="15.75" customHeight="1" hidden="1">
      <c r="A443" s="26" t="s">
        <v>315</v>
      </c>
      <c r="B443" s="367">
        <v>903</v>
      </c>
      <c r="C443" s="207" t="s">
        <v>340</v>
      </c>
      <c r="D443" s="207" t="s">
        <v>159</v>
      </c>
      <c r="E443" s="207" t="s">
        <v>358</v>
      </c>
      <c r="F443" s="207" t="s">
        <v>316</v>
      </c>
      <c r="G443" s="27">
        <v>0</v>
      </c>
      <c r="J443" s="130"/>
    </row>
    <row r="444" spans="1:10" ht="47.25" customHeight="1" hidden="1">
      <c r="A444" s="26" t="s">
        <v>319</v>
      </c>
      <c r="B444" s="367">
        <v>903</v>
      </c>
      <c r="C444" s="207" t="s">
        <v>340</v>
      </c>
      <c r="D444" s="207" t="s">
        <v>159</v>
      </c>
      <c r="E444" s="207" t="s">
        <v>359</v>
      </c>
      <c r="F444" s="207"/>
      <c r="G444" s="27">
        <f>G445</f>
        <v>0</v>
      </c>
      <c r="J444" s="130"/>
    </row>
    <row r="445" spans="1:10" ht="47.25" customHeight="1" hidden="1">
      <c r="A445" s="26" t="s">
        <v>313</v>
      </c>
      <c r="B445" s="367">
        <v>903</v>
      </c>
      <c r="C445" s="207" t="s">
        <v>340</v>
      </c>
      <c r="D445" s="207" t="s">
        <v>159</v>
      </c>
      <c r="E445" s="207" t="s">
        <v>359</v>
      </c>
      <c r="F445" s="207" t="s">
        <v>314</v>
      </c>
      <c r="G445" s="27">
        <f>G446</f>
        <v>0</v>
      </c>
      <c r="J445" s="130"/>
    </row>
    <row r="446" spans="1:10" ht="15.75" customHeight="1" hidden="1">
      <c r="A446" s="26" t="s">
        <v>315</v>
      </c>
      <c r="B446" s="367">
        <v>903</v>
      </c>
      <c r="C446" s="207" t="s">
        <v>340</v>
      </c>
      <c r="D446" s="207" t="s">
        <v>159</v>
      </c>
      <c r="E446" s="207" t="s">
        <v>359</v>
      </c>
      <c r="F446" s="207" t="s">
        <v>316</v>
      </c>
      <c r="G446" s="27">
        <v>0</v>
      </c>
      <c r="J446" s="130"/>
    </row>
    <row r="447" spans="1:10" ht="31.5" customHeight="1" hidden="1">
      <c r="A447" s="26" t="s">
        <v>321</v>
      </c>
      <c r="B447" s="367">
        <v>903</v>
      </c>
      <c r="C447" s="207" t="s">
        <v>340</v>
      </c>
      <c r="D447" s="207" t="s">
        <v>159</v>
      </c>
      <c r="E447" s="207" t="s">
        <v>360</v>
      </c>
      <c r="F447" s="207"/>
      <c r="G447" s="27">
        <f>G448</f>
        <v>0</v>
      </c>
      <c r="J447" s="130"/>
    </row>
    <row r="448" spans="1:10" ht="47.25" customHeight="1" hidden="1">
      <c r="A448" s="26" t="s">
        <v>313</v>
      </c>
      <c r="B448" s="367">
        <v>903</v>
      </c>
      <c r="C448" s="207" t="s">
        <v>340</v>
      </c>
      <c r="D448" s="207" t="s">
        <v>159</v>
      </c>
      <c r="E448" s="207" t="s">
        <v>360</v>
      </c>
      <c r="F448" s="207" t="s">
        <v>314</v>
      </c>
      <c r="G448" s="27">
        <f>G449</f>
        <v>0</v>
      </c>
      <c r="J448" s="130"/>
    </row>
    <row r="449" spans="1:10" ht="15.75" customHeight="1" hidden="1">
      <c r="A449" s="26" t="s">
        <v>315</v>
      </c>
      <c r="B449" s="367">
        <v>903</v>
      </c>
      <c r="C449" s="207" t="s">
        <v>340</v>
      </c>
      <c r="D449" s="207" t="s">
        <v>159</v>
      </c>
      <c r="E449" s="207" t="s">
        <v>360</v>
      </c>
      <c r="F449" s="207" t="s">
        <v>316</v>
      </c>
      <c r="G449" s="27">
        <v>0</v>
      </c>
      <c r="J449" s="130"/>
    </row>
    <row r="450" spans="1:10" ht="31.5" customHeight="1" hidden="1">
      <c r="A450" s="26" t="s">
        <v>325</v>
      </c>
      <c r="B450" s="367">
        <v>903</v>
      </c>
      <c r="C450" s="207" t="s">
        <v>340</v>
      </c>
      <c r="D450" s="207" t="s">
        <v>159</v>
      </c>
      <c r="E450" s="207" t="s">
        <v>361</v>
      </c>
      <c r="F450" s="207"/>
      <c r="G450" s="27">
        <f>G451</f>
        <v>0</v>
      </c>
      <c r="J450" s="130"/>
    </row>
    <row r="451" spans="1:10" ht="47.25" customHeight="1" hidden="1">
      <c r="A451" s="26" t="s">
        <v>313</v>
      </c>
      <c r="B451" s="367">
        <v>903</v>
      </c>
      <c r="C451" s="207" t="s">
        <v>340</v>
      </c>
      <c r="D451" s="207" t="s">
        <v>159</v>
      </c>
      <c r="E451" s="207" t="s">
        <v>361</v>
      </c>
      <c r="F451" s="207" t="s">
        <v>314</v>
      </c>
      <c r="G451" s="27">
        <f>G452</f>
        <v>0</v>
      </c>
      <c r="J451" s="130"/>
    </row>
    <row r="452" spans="1:10" ht="15.75" customHeight="1" hidden="1">
      <c r="A452" s="26" t="s">
        <v>315</v>
      </c>
      <c r="B452" s="367">
        <v>903</v>
      </c>
      <c r="C452" s="207" t="s">
        <v>340</v>
      </c>
      <c r="D452" s="207" t="s">
        <v>159</v>
      </c>
      <c r="E452" s="207" t="s">
        <v>361</v>
      </c>
      <c r="F452" s="207" t="s">
        <v>316</v>
      </c>
      <c r="G452" s="27">
        <v>0</v>
      </c>
      <c r="J452" s="130"/>
    </row>
    <row r="453" spans="1:10" ht="47.25" customHeight="1" hidden="1">
      <c r="A453" s="26" t="s">
        <v>362</v>
      </c>
      <c r="B453" s="367">
        <v>903</v>
      </c>
      <c r="C453" s="207" t="s">
        <v>340</v>
      </c>
      <c r="D453" s="207" t="s">
        <v>159</v>
      </c>
      <c r="E453" s="207" t="s">
        <v>363</v>
      </c>
      <c r="F453" s="207"/>
      <c r="G453" s="27">
        <f>G454</f>
        <v>0</v>
      </c>
      <c r="J453" s="130"/>
    </row>
    <row r="454" spans="1:10" ht="47.25" customHeight="1" hidden="1">
      <c r="A454" s="26" t="s">
        <v>313</v>
      </c>
      <c r="B454" s="367">
        <v>903</v>
      </c>
      <c r="C454" s="207" t="s">
        <v>340</v>
      </c>
      <c r="D454" s="207" t="s">
        <v>159</v>
      </c>
      <c r="E454" s="207" t="s">
        <v>363</v>
      </c>
      <c r="F454" s="207" t="s">
        <v>314</v>
      </c>
      <c r="G454" s="27">
        <f>G455</f>
        <v>0</v>
      </c>
      <c r="J454" s="130"/>
    </row>
    <row r="455" spans="1:10" ht="15.75" customHeight="1" hidden="1">
      <c r="A455" s="26" t="s">
        <v>315</v>
      </c>
      <c r="B455" s="367">
        <v>903</v>
      </c>
      <c r="C455" s="207" t="s">
        <v>340</v>
      </c>
      <c r="D455" s="207" t="s">
        <v>159</v>
      </c>
      <c r="E455" s="207" t="s">
        <v>363</v>
      </c>
      <c r="F455" s="207" t="s">
        <v>316</v>
      </c>
      <c r="G455" s="27">
        <v>0</v>
      </c>
      <c r="J455" s="130"/>
    </row>
    <row r="456" spans="1:10" ht="47.25" customHeight="1" hidden="1">
      <c r="A456" s="31" t="s">
        <v>842</v>
      </c>
      <c r="B456" s="367">
        <v>903</v>
      </c>
      <c r="C456" s="207" t="s">
        <v>340</v>
      </c>
      <c r="D456" s="207" t="s">
        <v>159</v>
      </c>
      <c r="E456" s="207" t="s">
        <v>855</v>
      </c>
      <c r="F456" s="207"/>
      <c r="G456" s="27">
        <f>G457</f>
        <v>0</v>
      </c>
      <c r="J456" s="130"/>
    </row>
    <row r="457" spans="1:10" ht="54" customHeight="1" hidden="1">
      <c r="A457" s="31" t="s">
        <v>313</v>
      </c>
      <c r="B457" s="367">
        <v>903</v>
      </c>
      <c r="C457" s="207" t="s">
        <v>340</v>
      </c>
      <c r="D457" s="207" t="s">
        <v>159</v>
      </c>
      <c r="E457" s="207" t="s">
        <v>855</v>
      </c>
      <c r="F457" s="207" t="s">
        <v>314</v>
      </c>
      <c r="G457" s="27">
        <f>G458</f>
        <v>0</v>
      </c>
      <c r="J457" s="130"/>
    </row>
    <row r="458" spans="1:10" ht="15.75" customHeight="1" hidden="1">
      <c r="A458" s="31" t="s">
        <v>315</v>
      </c>
      <c r="B458" s="367">
        <v>903</v>
      </c>
      <c r="C458" s="207" t="s">
        <v>340</v>
      </c>
      <c r="D458" s="207" t="s">
        <v>159</v>
      </c>
      <c r="E458" s="207" t="s">
        <v>855</v>
      </c>
      <c r="F458" s="207" t="s">
        <v>316</v>
      </c>
      <c r="G458" s="27">
        <v>0</v>
      </c>
      <c r="J458" s="130"/>
    </row>
    <row r="459" spans="1:10" ht="60" customHeight="1" hidden="1">
      <c r="A459" s="31" t="s">
        <v>364</v>
      </c>
      <c r="B459" s="367">
        <v>903</v>
      </c>
      <c r="C459" s="207" t="s">
        <v>340</v>
      </c>
      <c r="D459" s="207" t="s">
        <v>159</v>
      </c>
      <c r="E459" s="377" t="s">
        <v>365</v>
      </c>
      <c r="F459" s="207"/>
      <c r="G459" s="27">
        <f>G460</f>
        <v>0</v>
      </c>
      <c r="J459" s="130"/>
    </row>
    <row r="460" spans="1:10" ht="47.25" hidden="1">
      <c r="A460" s="26" t="s">
        <v>366</v>
      </c>
      <c r="B460" s="367">
        <v>903</v>
      </c>
      <c r="C460" s="207" t="s">
        <v>340</v>
      </c>
      <c r="D460" s="207" t="s">
        <v>159</v>
      </c>
      <c r="E460" s="377" t="s">
        <v>367</v>
      </c>
      <c r="F460" s="207"/>
      <c r="G460" s="27">
        <f>G461</f>
        <v>0</v>
      </c>
      <c r="J460" s="130"/>
    </row>
    <row r="461" spans="1:10" ht="31.5" hidden="1">
      <c r="A461" s="26" t="s">
        <v>313</v>
      </c>
      <c r="B461" s="367">
        <v>903</v>
      </c>
      <c r="C461" s="207" t="s">
        <v>340</v>
      </c>
      <c r="D461" s="207" t="s">
        <v>159</v>
      </c>
      <c r="E461" s="377" t="s">
        <v>367</v>
      </c>
      <c r="F461" s="207" t="s">
        <v>314</v>
      </c>
      <c r="G461" s="27">
        <f>G462</f>
        <v>0</v>
      </c>
      <c r="J461" s="130"/>
    </row>
    <row r="462" spans="1:10" ht="15.75" hidden="1">
      <c r="A462" s="26" t="s">
        <v>315</v>
      </c>
      <c r="B462" s="367">
        <v>903</v>
      </c>
      <c r="C462" s="207" t="s">
        <v>340</v>
      </c>
      <c r="D462" s="207" t="s">
        <v>159</v>
      </c>
      <c r="E462" s="377" t="s">
        <v>367</v>
      </c>
      <c r="F462" s="207" t="s">
        <v>316</v>
      </c>
      <c r="G462" s="27">
        <v>0</v>
      </c>
      <c r="J462" s="130"/>
    </row>
    <row r="463" spans="1:10" ht="15.75">
      <c r="A463" s="26" t="s">
        <v>990</v>
      </c>
      <c r="B463" s="367">
        <v>903</v>
      </c>
      <c r="C463" s="207" t="s">
        <v>340</v>
      </c>
      <c r="D463" s="207" t="s">
        <v>159</v>
      </c>
      <c r="E463" s="207" t="s">
        <v>992</v>
      </c>
      <c r="F463" s="207"/>
      <c r="G463" s="27">
        <f>G464+G466+G468</f>
        <v>19287.699999999997</v>
      </c>
      <c r="J463" s="130"/>
    </row>
    <row r="464" spans="1:10" ht="63">
      <c r="A464" s="26" t="s">
        <v>168</v>
      </c>
      <c r="B464" s="367">
        <v>903</v>
      </c>
      <c r="C464" s="207" t="s">
        <v>340</v>
      </c>
      <c r="D464" s="207" t="s">
        <v>159</v>
      </c>
      <c r="E464" s="207" t="s">
        <v>992</v>
      </c>
      <c r="F464" s="207" t="s">
        <v>169</v>
      </c>
      <c r="G464" s="27">
        <f>G465</f>
        <v>15393.199999999999</v>
      </c>
      <c r="J464" s="130"/>
    </row>
    <row r="465" spans="1:11" ht="15.75">
      <c r="A465" s="26" t="s">
        <v>249</v>
      </c>
      <c r="B465" s="367">
        <v>903</v>
      </c>
      <c r="C465" s="207" t="s">
        <v>340</v>
      </c>
      <c r="D465" s="207" t="s">
        <v>159</v>
      </c>
      <c r="E465" s="207" t="s">
        <v>992</v>
      </c>
      <c r="F465" s="207" t="s">
        <v>250</v>
      </c>
      <c r="G465" s="28">
        <f>14479.8+24+990.4-1-100</f>
        <v>15393.199999999999</v>
      </c>
      <c r="H465" s="352" t="s">
        <v>1141</v>
      </c>
      <c r="I465" s="313" t="s">
        <v>1140</v>
      </c>
      <c r="J465" s="130"/>
      <c r="K465" s="279"/>
    </row>
    <row r="466" spans="1:10" ht="31.5">
      <c r="A466" s="26" t="s">
        <v>172</v>
      </c>
      <c r="B466" s="367">
        <v>903</v>
      </c>
      <c r="C466" s="207" t="s">
        <v>340</v>
      </c>
      <c r="D466" s="207" t="s">
        <v>159</v>
      </c>
      <c r="E466" s="207" t="s">
        <v>992</v>
      </c>
      <c r="F466" s="207" t="s">
        <v>173</v>
      </c>
      <c r="G466" s="27">
        <f>G467</f>
        <v>3857.9</v>
      </c>
      <c r="J466" s="278"/>
    </row>
    <row r="467" spans="1:10" ht="31.5">
      <c r="A467" s="26" t="s">
        <v>174</v>
      </c>
      <c r="B467" s="367">
        <v>903</v>
      </c>
      <c r="C467" s="207" t="s">
        <v>340</v>
      </c>
      <c r="D467" s="207" t="s">
        <v>159</v>
      </c>
      <c r="E467" s="207" t="s">
        <v>992</v>
      </c>
      <c r="F467" s="207" t="s">
        <v>175</v>
      </c>
      <c r="G467" s="28">
        <f>4500.2-30-706.7+100-5.6</f>
        <v>3857.9</v>
      </c>
      <c r="H467" s="352" t="s">
        <v>1145</v>
      </c>
      <c r="I467" s="339" t="s">
        <v>1111</v>
      </c>
      <c r="J467" s="130"/>
    </row>
    <row r="468" spans="1:10" ht="15.75">
      <c r="A468" s="26" t="s">
        <v>176</v>
      </c>
      <c r="B468" s="367">
        <v>903</v>
      </c>
      <c r="C468" s="207" t="s">
        <v>340</v>
      </c>
      <c r="D468" s="207" t="s">
        <v>159</v>
      </c>
      <c r="E468" s="207" t="s">
        <v>992</v>
      </c>
      <c r="F468" s="207" t="s">
        <v>186</v>
      </c>
      <c r="G468" s="27">
        <f>G469</f>
        <v>36.6</v>
      </c>
      <c r="J468" s="278"/>
    </row>
    <row r="469" spans="1:10" ht="15.75">
      <c r="A469" s="26" t="s">
        <v>610</v>
      </c>
      <c r="B469" s="367">
        <v>903</v>
      </c>
      <c r="C469" s="207" t="s">
        <v>340</v>
      </c>
      <c r="D469" s="207" t="s">
        <v>159</v>
      </c>
      <c r="E469" s="207" t="s">
        <v>992</v>
      </c>
      <c r="F469" s="207" t="s">
        <v>179</v>
      </c>
      <c r="G469" s="27">
        <f>30+1+1.1+4.5</f>
        <v>36.6</v>
      </c>
      <c r="H469" s="352" t="s">
        <v>1146</v>
      </c>
      <c r="I469" s="339" t="s">
        <v>1114</v>
      </c>
      <c r="J469" s="130"/>
    </row>
    <row r="470" spans="1:10" ht="47.25" hidden="1">
      <c r="A470" s="33" t="s">
        <v>927</v>
      </c>
      <c r="B470" s="367">
        <v>903</v>
      </c>
      <c r="C470" s="207" t="s">
        <v>340</v>
      </c>
      <c r="D470" s="207" t="s">
        <v>159</v>
      </c>
      <c r="E470" s="207" t="s">
        <v>365</v>
      </c>
      <c r="F470" s="207"/>
      <c r="G470" s="27">
        <f>G471</f>
        <v>0</v>
      </c>
      <c r="J470" s="130"/>
    </row>
    <row r="471" spans="1:10" ht="31.5" hidden="1">
      <c r="A471" s="33" t="s">
        <v>993</v>
      </c>
      <c r="B471" s="367">
        <v>903</v>
      </c>
      <c r="C471" s="207" t="s">
        <v>340</v>
      </c>
      <c r="D471" s="207" t="s">
        <v>159</v>
      </c>
      <c r="E471" s="207" t="s">
        <v>994</v>
      </c>
      <c r="F471" s="207"/>
      <c r="G471" s="27">
        <f>G472</f>
        <v>0</v>
      </c>
      <c r="J471" s="130"/>
    </row>
    <row r="472" spans="1:10" ht="31.5" hidden="1">
      <c r="A472" s="26" t="s">
        <v>172</v>
      </c>
      <c r="B472" s="367">
        <v>903</v>
      </c>
      <c r="C472" s="207" t="s">
        <v>340</v>
      </c>
      <c r="D472" s="207" t="s">
        <v>159</v>
      </c>
      <c r="E472" s="207" t="s">
        <v>994</v>
      </c>
      <c r="F472" s="207" t="s">
        <v>173</v>
      </c>
      <c r="G472" s="27">
        <f>G473</f>
        <v>0</v>
      </c>
      <c r="J472" s="130"/>
    </row>
    <row r="473" spans="1:10" ht="31.5" hidden="1">
      <c r="A473" s="26" t="s">
        <v>174</v>
      </c>
      <c r="B473" s="367">
        <v>903</v>
      </c>
      <c r="C473" s="207" t="s">
        <v>340</v>
      </c>
      <c r="D473" s="207" t="s">
        <v>159</v>
      </c>
      <c r="E473" s="207" t="s">
        <v>994</v>
      </c>
      <c r="F473" s="207" t="s">
        <v>175</v>
      </c>
      <c r="G473" s="27">
        <v>0</v>
      </c>
      <c r="J473" s="130"/>
    </row>
    <row r="474" spans="1:10" ht="47.25">
      <c r="A474" s="31" t="s">
        <v>782</v>
      </c>
      <c r="B474" s="367">
        <v>903</v>
      </c>
      <c r="C474" s="207" t="s">
        <v>340</v>
      </c>
      <c r="D474" s="207" t="s">
        <v>159</v>
      </c>
      <c r="E474" s="207" t="s">
        <v>780</v>
      </c>
      <c r="F474" s="386"/>
      <c r="G474" s="27">
        <f>G475</f>
        <v>793.2</v>
      </c>
      <c r="J474" s="130"/>
    </row>
    <row r="475" spans="1:10" ht="31.5">
      <c r="A475" s="120" t="s">
        <v>911</v>
      </c>
      <c r="B475" s="367">
        <v>903</v>
      </c>
      <c r="C475" s="207" t="s">
        <v>340</v>
      </c>
      <c r="D475" s="207" t="s">
        <v>159</v>
      </c>
      <c r="E475" s="207" t="s">
        <v>915</v>
      </c>
      <c r="F475" s="386"/>
      <c r="G475" s="27">
        <f>G476</f>
        <v>793.2</v>
      </c>
      <c r="J475" s="130"/>
    </row>
    <row r="476" spans="1:10" ht="31.5">
      <c r="A476" s="26" t="s">
        <v>172</v>
      </c>
      <c r="B476" s="367">
        <v>903</v>
      </c>
      <c r="C476" s="207" t="s">
        <v>340</v>
      </c>
      <c r="D476" s="207" t="s">
        <v>159</v>
      </c>
      <c r="E476" s="207" t="s">
        <v>915</v>
      </c>
      <c r="F476" s="386" t="s">
        <v>173</v>
      </c>
      <c r="G476" s="27">
        <f>G477</f>
        <v>793.2</v>
      </c>
      <c r="J476" s="130"/>
    </row>
    <row r="477" spans="1:10" ht="31.5">
      <c r="A477" s="26" t="s">
        <v>174</v>
      </c>
      <c r="B477" s="367">
        <v>903</v>
      </c>
      <c r="C477" s="207" t="s">
        <v>340</v>
      </c>
      <c r="D477" s="207" t="s">
        <v>159</v>
      </c>
      <c r="E477" s="207" t="s">
        <v>915</v>
      </c>
      <c r="F477" s="386" t="s">
        <v>175</v>
      </c>
      <c r="G477" s="27">
        <v>793.2</v>
      </c>
      <c r="J477" s="130"/>
    </row>
    <row r="478" spans="1:10" ht="15.75">
      <c r="A478" s="26" t="s">
        <v>162</v>
      </c>
      <c r="B478" s="367">
        <v>903</v>
      </c>
      <c r="C478" s="207" t="s">
        <v>340</v>
      </c>
      <c r="D478" s="207" t="s">
        <v>159</v>
      </c>
      <c r="E478" s="207" t="s">
        <v>163</v>
      </c>
      <c r="F478" s="207"/>
      <c r="G478" s="27">
        <f>G479</f>
        <v>2920.7</v>
      </c>
      <c r="J478" s="130"/>
    </row>
    <row r="479" spans="1:10" ht="15.75">
      <c r="A479" s="26" t="s">
        <v>226</v>
      </c>
      <c r="B479" s="367">
        <v>903</v>
      </c>
      <c r="C479" s="207" t="s">
        <v>340</v>
      </c>
      <c r="D479" s="207" t="s">
        <v>159</v>
      </c>
      <c r="E479" s="207" t="s">
        <v>227</v>
      </c>
      <c r="F479" s="207"/>
      <c r="G479" s="27">
        <f>G480+G485+G490+G493+G496</f>
        <v>2920.7</v>
      </c>
      <c r="J479" s="130"/>
    </row>
    <row r="480" spans="1:10" ht="31.5" customHeight="1" hidden="1">
      <c r="A480" s="38" t="s">
        <v>368</v>
      </c>
      <c r="B480" s="367">
        <v>903</v>
      </c>
      <c r="C480" s="207" t="s">
        <v>340</v>
      </c>
      <c r="D480" s="207" t="s">
        <v>159</v>
      </c>
      <c r="E480" s="207" t="s">
        <v>369</v>
      </c>
      <c r="F480" s="207"/>
      <c r="G480" s="27">
        <f>G481+G483</f>
        <v>0</v>
      </c>
      <c r="J480" s="130"/>
    </row>
    <row r="481" spans="1:10" ht="31.5" customHeight="1" hidden="1">
      <c r="A481" s="26" t="s">
        <v>172</v>
      </c>
      <c r="B481" s="367">
        <v>903</v>
      </c>
      <c r="C481" s="207" t="s">
        <v>340</v>
      </c>
      <c r="D481" s="207" t="s">
        <v>159</v>
      </c>
      <c r="E481" s="207" t="s">
        <v>369</v>
      </c>
      <c r="F481" s="207" t="s">
        <v>173</v>
      </c>
      <c r="G481" s="27">
        <f>G482</f>
        <v>0</v>
      </c>
      <c r="J481" s="130"/>
    </row>
    <row r="482" spans="1:10" ht="47.25" customHeight="1" hidden="1">
      <c r="A482" s="26" t="s">
        <v>174</v>
      </c>
      <c r="B482" s="367">
        <v>903</v>
      </c>
      <c r="C482" s="207" t="s">
        <v>340</v>
      </c>
      <c r="D482" s="207" t="s">
        <v>159</v>
      </c>
      <c r="E482" s="207" t="s">
        <v>369</v>
      </c>
      <c r="F482" s="207" t="s">
        <v>175</v>
      </c>
      <c r="G482" s="27">
        <f>1.4-1.4</f>
        <v>0</v>
      </c>
      <c r="J482" s="130"/>
    </row>
    <row r="483" spans="1:10" ht="47.25" customHeight="1" hidden="1">
      <c r="A483" s="26" t="s">
        <v>313</v>
      </c>
      <c r="B483" s="367">
        <v>903</v>
      </c>
      <c r="C483" s="207" t="s">
        <v>340</v>
      </c>
      <c r="D483" s="207" t="s">
        <v>159</v>
      </c>
      <c r="E483" s="207" t="s">
        <v>369</v>
      </c>
      <c r="F483" s="207" t="s">
        <v>314</v>
      </c>
      <c r="G483" s="27">
        <f>G484</f>
        <v>0</v>
      </c>
      <c r="J483" s="130"/>
    </row>
    <row r="484" spans="1:10" ht="15.75" customHeight="1" hidden="1">
      <c r="A484" s="26" t="s">
        <v>315</v>
      </c>
      <c r="B484" s="367">
        <v>903</v>
      </c>
      <c r="C484" s="207" t="s">
        <v>340</v>
      </c>
      <c r="D484" s="207" t="s">
        <v>159</v>
      </c>
      <c r="E484" s="207" t="s">
        <v>369</v>
      </c>
      <c r="F484" s="207" t="s">
        <v>316</v>
      </c>
      <c r="G484" s="27">
        <f>2.9-2.9</f>
        <v>0</v>
      </c>
      <c r="J484" s="130"/>
    </row>
    <row r="485" spans="1:10" ht="15.75">
      <c r="A485" s="26" t="s">
        <v>370</v>
      </c>
      <c r="B485" s="367">
        <v>903</v>
      </c>
      <c r="C485" s="207" t="s">
        <v>340</v>
      </c>
      <c r="D485" s="207" t="s">
        <v>159</v>
      </c>
      <c r="E485" s="207" t="s">
        <v>371</v>
      </c>
      <c r="F485" s="207"/>
      <c r="G485" s="27">
        <f>G486+G488</f>
        <v>69.1</v>
      </c>
      <c r="J485" s="130"/>
    </row>
    <row r="486" spans="1:10" ht="31.5" customHeight="1" hidden="1">
      <c r="A486" s="26" t="s">
        <v>172</v>
      </c>
      <c r="B486" s="367">
        <v>903</v>
      </c>
      <c r="C486" s="207" t="s">
        <v>340</v>
      </c>
      <c r="D486" s="207" t="s">
        <v>159</v>
      </c>
      <c r="E486" s="207" t="s">
        <v>371</v>
      </c>
      <c r="F486" s="207" t="s">
        <v>173</v>
      </c>
      <c r="G486" s="27">
        <f>G487</f>
        <v>0</v>
      </c>
      <c r="J486" s="130"/>
    </row>
    <row r="487" spans="1:10" ht="47.25" customHeight="1" hidden="1">
      <c r="A487" s="26" t="s">
        <v>174</v>
      </c>
      <c r="B487" s="367">
        <v>903</v>
      </c>
      <c r="C487" s="207" t="s">
        <v>340</v>
      </c>
      <c r="D487" s="207" t="s">
        <v>159</v>
      </c>
      <c r="E487" s="207" t="s">
        <v>371</v>
      </c>
      <c r="F487" s="387">
        <v>240</v>
      </c>
      <c r="G487" s="27">
        <v>0</v>
      </c>
      <c r="J487" s="130"/>
    </row>
    <row r="488" spans="1:10" ht="31.5">
      <c r="A488" s="26" t="s">
        <v>172</v>
      </c>
      <c r="B488" s="367">
        <v>903</v>
      </c>
      <c r="C488" s="207" t="s">
        <v>340</v>
      </c>
      <c r="D488" s="207" t="s">
        <v>159</v>
      </c>
      <c r="E488" s="207" t="s">
        <v>371</v>
      </c>
      <c r="F488" s="207" t="s">
        <v>173</v>
      </c>
      <c r="G488" s="27">
        <f>G489</f>
        <v>69.1</v>
      </c>
      <c r="J488" s="130"/>
    </row>
    <row r="489" spans="1:10" ht="31.5">
      <c r="A489" s="26" t="s">
        <v>174</v>
      </c>
      <c r="B489" s="367">
        <v>903</v>
      </c>
      <c r="C489" s="207" t="s">
        <v>340</v>
      </c>
      <c r="D489" s="207" t="s">
        <v>159</v>
      </c>
      <c r="E489" s="207" t="s">
        <v>371</v>
      </c>
      <c r="F489" s="207" t="s">
        <v>175</v>
      </c>
      <c r="G489" s="27">
        <v>69.1</v>
      </c>
      <c r="J489" s="130"/>
    </row>
    <row r="490" spans="1:10" ht="63">
      <c r="A490" s="26" t="s">
        <v>372</v>
      </c>
      <c r="B490" s="367">
        <v>903</v>
      </c>
      <c r="C490" s="207" t="s">
        <v>340</v>
      </c>
      <c r="D490" s="207" t="s">
        <v>159</v>
      </c>
      <c r="E490" s="207" t="s">
        <v>373</v>
      </c>
      <c r="F490" s="207"/>
      <c r="G490" s="27">
        <f>G491</f>
        <v>273.7</v>
      </c>
      <c r="J490" s="130"/>
    </row>
    <row r="491" spans="1:10" ht="63">
      <c r="A491" s="26" t="s">
        <v>168</v>
      </c>
      <c r="B491" s="367">
        <v>903</v>
      </c>
      <c r="C491" s="207" t="s">
        <v>340</v>
      </c>
      <c r="D491" s="207" t="s">
        <v>159</v>
      </c>
      <c r="E491" s="207" t="s">
        <v>373</v>
      </c>
      <c r="F491" s="207" t="s">
        <v>169</v>
      </c>
      <c r="G491" s="27">
        <f>G492</f>
        <v>273.7</v>
      </c>
      <c r="J491" s="130"/>
    </row>
    <row r="492" spans="1:10" ht="15.75">
      <c r="A492" s="26" t="s">
        <v>249</v>
      </c>
      <c r="B492" s="367">
        <v>903</v>
      </c>
      <c r="C492" s="207" t="s">
        <v>340</v>
      </c>
      <c r="D492" s="207" t="s">
        <v>159</v>
      </c>
      <c r="E492" s="207" t="s">
        <v>373</v>
      </c>
      <c r="F492" s="207" t="s">
        <v>250</v>
      </c>
      <c r="G492" s="27">
        <f>'прил.№1 доходы'!I139</f>
        <v>273.7</v>
      </c>
      <c r="J492" s="130"/>
    </row>
    <row r="493" spans="1:10" ht="81" customHeight="1">
      <c r="A493" s="33" t="s">
        <v>334</v>
      </c>
      <c r="B493" s="367">
        <v>903</v>
      </c>
      <c r="C493" s="207" t="s">
        <v>340</v>
      </c>
      <c r="D493" s="207" t="s">
        <v>159</v>
      </c>
      <c r="E493" s="207" t="s">
        <v>335</v>
      </c>
      <c r="F493" s="207"/>
      <c r="G493" s="27">
        <f>G494</f>
        <v>1673.7</v>
      </c>
      <c r="J493" s="130"/>
    </row>
    <row r="494" spans="1:10" ht="63">
      <c r="A494" s="26" t="s">
        <v>168</v>
      </c>
      <c r="B494" s="367">
        <v>903</v>
      </c>
      <c r="C494" s="207" t="s">
        <v>340</v>
      </c>
      <c r="D494" s="207" t="s">
        <v>159</v>
      </c>
      <c r="E494" s="207" t="s">
        <v>335</v>
      </c>
      <c r="F494" s="207" t="s">
        <v>169</v>
      </c>
      <c r="G494" s="27">
        <f>G495</f>
        <v>1673.7</v>
      </c>
      <c r="J494" s="130"/>
    </row>
    <row r="495" spans="1:10" ht="15.75">
      <c r="A495" s="26" t="s">
        <v>249</v>
      </c>
      <c r="B495" s="367">
        <v>903</v>
      </c>
      <c r="C495" s="207" t="s">
        <v>340</v>
      </c>
      <c r="D495" s="207" t="s">
        <v>159</v>
      </c>
      <c r="E495" s="207" t="s">
        <v>335</v>
      </c>
      <c r="F495" s="207" t="s">
        <v>250</v>
      </c>
      <c r="G495" s="27">
        <v>1673.7</v>
      </c>
      <c r="J495" s="130"/>
    </row>
    <row r="496" spans="1:10" ht="31.5">
      <c r="A496" s="26" t="s">
        <v>757</v>
      </c>
      <c r="B496" s="367">
        <v>903</v>
      </c>
      <c r="C496" s="207" t="s">
        <v>340</v>
      </c>
      <c r="D496" s="207" t="s">
        <v>159</v>
      </c>
      <c r="E496" s="207" t="s">
        <v>605</v>
      </c>
      <c r="F496" s="207"/>
      <c r="G496" s="27">
        <f>G497</f>
        <v>904.2</v>
      </c>
      <c r="J496" s="130"/>
    </row>
    <row r="497" spans="1:10" ht="31.5">
      <c r="A497" s="26" t="s">
        <v>172</v>
      </c>
      <c r="B497" s="367">
        <v>903</v>
      </c>
      <c r="C497" s="207" t="s">
        <v>340</v>
      </c>
      <c r="D497" s="207" t="s">
        <v>159</v>
      </c>
      <c r="E497" s="207" t="s">
        <v>605</v>
      </c>
      <c r="F497" s="207" t="s">
        <v>173</v>
      </c>
      <c r="G497" s="27">
        <f>G498</f>
        <v>904.2</v>
      </c>
      <c r="J497" s="130"/>
    </row>
    <row r="498" spans="1:10" ht="31.5">
      <c r="A498" s="26" t="s">
        <v>174</v>
      </c>
      <c r="B498" s="367">
        <v>903</v>
      </c>
      <c r="C498" s="207" t="s">
        <v>340</v>
      </c>
      <c r="D498" s="207" t="s">
        <v>159</v>
      </c>
      <c r="E498" s="207" t="s">
        <v>605</v>
      </c>
      <c r="F498" s="207" t="s">
        <v>175</v>
      </c>
      <c r="G498" s="27">
        <v>904.2</v>
      </c>
      <c r="H498" s="351" t="s">
        <v>1121</v>
      </c>
      <c r="J498" s="130"/>
    </row>
    <row r="499" spans="1:10" ht="15.75">
      <c r="A499" s="24" t="s">
        <v>374</v>
      </c>
      <c r="B499" s="382">
        <v>903</v>
      </c>
      <c r="C499" s="383" t="s">
        <v>340</v>
      </c>
      <c r="D499" s="383" t="s">
        <v>191</v>
      </c>
      <c r="E499" s="383"/>
      <c r="F499" s="383"/>
      <c r="G499" s="22">
        <f>G500+G528+G519+G523</f>
        <v>19078.1</v>
      </c>
      <c r="J499" s="130"/>
    </row>
    <row r="500" spans="1:10" ht="31.5" hidden="1">
      <c r="A500" s="26" t="s">
        <v>375</v>
      </c>
      <c r="B500" s="367">
        <v>903</v>
      </c>
      <c r="C500" s="207" t="s">
        <v>340</v>
      </c>
      <c r="D500" s="207" t="s">
        <v>191</v>
      </c>
      <c r="E500" s="207" t="s">
        <v>376</v>
      </c>
      <c r="F500" s="207"/>
      <c r="G500" s="27">
        <f>G501+G507+G513+G504+G510+G516</f>
        <v>0</v>
      </c>
      <c r="J500" s="130"/>
    </row>
    <row r="501" spans="1:10" ht="31.5" customHeight="1" hidden="1">
      <c r="A501" s="26" t="s">
        <v>377</v>
      </c>
      <c r="B501" s="367">
        <v>903</v>
      </c>
      <c r="C501" s="207" t="s">
        <v>340</v>
      </c>
      <c r="D501" s="207" t="s">
        <v>191</v>
      </c>
      <c r="E501" s="207" t="s">
        <v>378</v>
      </c>
      <c r="F501" s="207"/>
      <c r="G501" s="27">
        <f>G502</f>
        <v>0</v>
      </c>
      <c r="J501" s="130"/>
    </row>
    <row r="502" spans="1:10" ht="31.5" customHeight="1" hidden="1">
      <c r="A502" s="26" t="s">
        <v>172</v>
      </c>
      <c r="B502" s="367">
        <v>903</v>
      </c>
      <c r="C502" s="207" t="s">
        <v>340</v>
      </c>
      <c r="D502" s="207" t="s">
        <v>191</v>
      </c>
      <c r="E502" s="207" t="s">
        <v>378</v>
      </c>
      <c r="F502" s="207" t="s">
        <v>173</v>
      </c>
      <c r="G502" s="27">
        <f>G503</f>
        <v>0</v>
      </c>
      <c r="J502" s="130"/>
    </row>
    <row r="503" spans="1:10" ht="47.25" customHeight="1" hidden="1">
      <c r="A503" s="26" t="s">
        <v>174</v>
      </c>
      <c r="B503" s="367">
        <v>903</v>
      </c>
      <c r="C503" s="207" t="s">
        <v>340</v>
      </c>
      <c r="D503" s="207" t="s">
        <v>191</v>
      </c>
      <c r="E503" s="207" t="s">
        <v>378</v>
      </c>
      <c r="F503" s="207" t="s">
        <v>175</v>
      </c>
      <c r="G503" s="27">
        <v>0</v>
      </c>
      <c r="J503" s="130"/>
    </row>
    <row r="504" spans="1:10" ht="47.25" customHeight="1" hidden="1">
      <c r="A504" s="119" t="s">
        <v>902</v>
      </c>
      <c r="B504" s="367">
        <v>903</v>
      </c>
      <c r="C504" s="207" t="s">
        <v>340</v>
      </c>
      <c r="D504" s="207" t="s">
        <v>191</v>
      </c>
      <c r="E504" s="207" t="s">
        <v>378</v>
      </c>
      <c r="F504" s="207"/>
      <c r="G504" s="27">
        <f>G505</f>
        <v>0</v>
      </c>
      <c r="J504" s="130"/>
    </row>
    <row r="505" spans="1:10" ht="47.25" customHeight="1" hidden="1">
      <c r="A505" s="26" t="s">
        <v>172</v>
      </c>
      <c r="B505" s="367">
        <v>903</v>
      </c>
      <c r="C505" s="207" t="s">
        <v>340</v>
      </c>
      <c r="D505" s="207" t="s">
        <v>191</v>
      </c>
      <c r="E505" s="207" t="s">
        <v>378</v>
      </c>
      <c r="F505" s="207" t="s">
        <v>173</v>
      </c>
      <c r="G505" s="27">
        <f>G506</f>
        <v>0</v>
      </c>
      <c r="J505" s="130"/>
    </row>
    <row r="506" spans="1:10" ht="47.25" customHeight="1" hidden="1">
      <c r="A506" s="26" t="s">
        <v>174</v>
      </c>
      <c r="B506" s="367">
        <v>903</v>
      </c>
      <c r="C506" s="207" t="s">
        <v>340</v>
      </c>
      <c r="D506" s="207" t="s">
        <v>191</v>
      </c>
      <c r="E506" s="207" t="s">
        <v>378</v>
      </c>
      <c r="F506" s="207" t="s">
        <v>175</v>
      </c>
      <c r="G506" s="27">
        <v>0</v>
      </c>
      <c r="J506" s="130"/>
    </row>
    <row r="507" spans="1:10" ht="15.75" hidden="1">
      <c r="A507" s="26" t="s">
        <v>379</v>
      </c>
      <c r="B507" s="367">
        <v>903</v>
      </c>
      <c r="C507" s="207" t="s">
        <v>340</v>
      </c>
      <c r="D507" s="207" t="s">
        <v>191</v>
      </c>
      <c r="E507" s="207" t="s">
        <v>380</v>
      </c>
      <c r="F507" s="207"/>
      <c r="G507" s="27">
        <f>G508</f>
        <v>0</v>
      </c>
      <c r="J507" s="130"/>
    </row>
    <row r="508" spans="1:10" ht="31.5" hidden="1">
      <c r="A508" s="26" t="s">
        <v>172</v>
      </c>
      <c r="B508" s="367">
        <v>903</v>
      </c>
      <c r="C508" s="207" t="s">
        <v>340</v>
      </c>
      <c r="D508" s="207" t="s">
        <v>191</v>
      </c>
      <c r="E508" s="207" t="s">
        <v>380</v>
      </c>
      <c r="F508" s="207" t="s">
        <v>173</v>
      </c>
      <c r="G508" s="27">
        <f>G509</f>
        <v>0</v>
      </c>
      <c r="J508" s="130"/>
    </row>
    <row r="509" spans="1:10" ht="31.5" hidden="1">
      <c r="A509" s="26" t="s">
        <v>174</v>
      </c>
      <c r="B509" s="367">
        <v>903</v>
      </c>
      <c r="C509" s="207" t="s">
        <v>340</v>
      </c>
      <c r="D509" s="207" t="s">
        <v>191</v>
      </c>
      <c r="E509" s="207" t="s">
        <v>380</v>
      </c>
      <c r="F509" s="207" t="s">
        <v>175</v>
      </c>
      <c r="G509" s="27">
        <v>0</v>
      </c>
      <c r="J509" s="130"/>
    </row>
    <row r="510" spans="1:10" ht="31.5" hidden="1">
      <c r="A510" s="33" t="s">
        <v>903</v>
      </c>
      <c r="B510" s="367">
        <v>903</v>
      </c>
      <c r="C510" s="207" t="s">
        <v>340</v>
      </c>
      <c r="D510" s="207" t="s">
        <v>191</v>
      </c>
      <c r="E510" s="207" t="s">
        <v>900</v>
      </c>
      <c r="F510" s="207"/>
      <c r="G510" s="27">
        <f>G511</f>
        <v>0</v>
      </c>
      <c r="J510" s="130"/>
    </row>
    <row r="511" spans="1:10" ht="31.5" hidden="1">
      <c r="A511" s="26" t="s">
        <v>172</v>
      </c>
      <c r="B511" s="367">
        <v>903</v>
      </c>
      <c r="C511" s="207" t="s">
        <v>340</v>
      </c>
      <c r="D511" s="207" t="s">
        <v>191</v>
      </c>
      <c r="E511" s="207" t="s">
        <v>900</v>
      </c>
      <c r="F511" s="207" t="s">
        <v>173</v>
      </c>
      <c r="G511" s="27">
        <f>G512</f>
        <v>0</v>
      </c>
      <c r="J511" s="130"/>
    </row>
    <row r="512" spans="1:10" ht="31.5" hidden="1">
      <c r="A512" s="26" t="s">
        <v>174</v>
      </c>
      <c r="B512" s="367">
        <v>903</v>
      </c>
      <c r="C512" s="207" t="s">
        <v>340</v>
      </c>
      <c r="D512" s="207" t="s">
        <v>191</v>
      </c>
      <c r="E512" s="207" t="s">
        <v>900</v>
      </c>
      <c r="F512" s="207" t="s">
        <v>175</v>
      </c>
      <c r="G512" s="27">
        <v>0</v>
      </c>
      <c r="J512" s="130"/>
    </row>
    <row r="513" spans="1:10" ht="47.25" hidden="1">
      <c r="A513" s="26" t="s">
        <v>783</v>
      </c>
      <c r="B513" s="367">
        <v>903</v>
      </c>
      <c r="C513" s="207" t="s">
        <v>340</v>
      </c>
      <c r="D513" s="207" t="s">
        <v>191</v>
      </c>
      <c r="E513" s="207" t="s">
        <v>905</v>
      </c>
      <c r="F513" s="207"/>
      <c r="G513" s="27">
        <f>G514</f>
        <v>0</v>
      </c>
      <c r="J513" s="130"/>
    </row>
    <row r="514" spans="1:10" ht="31.5" hidden="1">
      <c r="A514" s="26" t="s">
        <v>172</v>
      </c>
      <c r="B514" s="367">
        <v>903</v>
      </c>
      <c r="C514" s="207" t="s">
        <v>340</v>
      </c>
      <c r="D514" s="207" t="s">
        <v>191</v>
      </c>
      <c r="E514" s="207" t="s">
        <v>905</v>
      </c>
      <c r="F514" s="207" t="s">
        <v>173</v>
      </c>
      <c r="G514" s="27">
        <f>G515</f>
        <v>0</v>
      </c>
      <c r="J514" s="130"/>
    </row>
    <row r="515" spans="1:10" ht="31.5" hidden="1">
      <c r="A515" s="26" t="s">
        <v>174</v>
      </c>
      <c r="B515" s="367">
        <v>903</v>
      </c>
      <c r="C515" s="207" t="s">
        <v>340</v>
      </c>
      <c r="D515" s="207" t="s">
        <v>191</v>
      </c>
      <c r="E515" s="207" t="s">
        <v>905</v>
      </c>
      <c r="F515" s="207" t="s">
        <v>175</v>
      </c>
      <c r="G515" s="27">
        <v>0</v>
      </c>
      <c r="J515" s="130"/>
    </row>
    <row r="516" spans="1:10" ht="31.5" hidden="1">
      <c r="A516" s="33" t="s">
        <v>904</v>
      </c>
      <c r="B516" s="367">
        <v>903</v>
      </c>
      <c r="C516" s="207" t="s">
        <v>340</v>
      </c>
      <c r="D516" s="207" t="s">
        <v>191</v>
      </c>
      <c r="E516" s="207" t="s">
        <v>901</v>
      </c>
      <c r="F516" s="207"/>
      <c r="G516" s="27">
        <f>G517</f>
        <v>0</v>
      </c>
      <c r="J516" s="130"/>
    </row>
    <row r="517" spans="1:10" ht="31.5" hidden="1">
      <c r="A517" s="26" t="s">
        <v>172</v>
      </c>
      <c r="B517" s="367">
        <v>903</v>
      </c>
      <c r="C517" s="207" t="s">
        <v>340</v>
      </c>
      <c r="D517" s="207" t="s">
        <v>191</v>
      </c>
      <c r="E517" s="207" t="s">
        <v>901</v>
      </c>
      <c r="F517" s="207" t="s">
        <v>173</v>
      </c>
      <c r="G517" s="27">
        <f>G518</f>
        <v>0</v>
      </c>
      <c r="J517" s="130"/>
    </row>
    <row r="518" spans="1:10" ht="31.5" hidden="1">
      <c r="A518" s="26" t="s">
        <v>174</v>
      </c>
      <c r="B518" s="367">
        <v>903</v>
      </c>
      <c r="C518" s="207" t="s">
        <v>340</v>
      </c>
      <c r="D518" s="207" t="s">
        <v>191</v>
      </c>
      <c r="E518" s="207" t="s">
        <v>901</v>
      </c>
      <c r="F518" s="207" t="s">
        <v>175</v>
      </c>
      <c r="G518" s="27">
        <v>0</v>
      </c>
      <c r="J518" s="130"/>
    </row>
    <row r="519" spans="1:10" ht="47.25" hidden="1">
      <c r="A519" s="31" t="s">
        <v>782</v>
      </c>
      <c r="B519" s="367">
        <v>903</v>
      </c>
      <c r="C519" s="207" t="s">
        <v>340</v>
      </c>
      <c r="D519" s="207" t="s">
        <v>191</v>
      </c>
      <c r="E519" s="207" t="s">
        <v>780</v>
      </c>
      <c r="F519" s="207"/>
      <c r="G519" s="27">
        <f>G520</f>
        <v>0</v>
      </c>
      <c r="J519" s="130"/>
    </row>
    <row r="520" spans="1:10" ht="31.5" hidden="1">
      <c r="A520" s="26" t="s">
        <v>410</v>
      </c>
      <c r="B520" s="367">
        <v>903</v>
      </c>
      <c r="C520" s="207" t="s">
        <v>340</v>
      </c>
      <c r="D520" s="207" t="s">
        <v>191</v>
      </c>
      <c r="E520" s="207" t="s">
        <v>788</v>
      </c>
      <c r="F520" s="207"/>
      <c r="G520" s="27">
        <f>G521</f>
        <v>0</v>
      </c>
      <c r="J520" s="130"/>
    </row>
    <row r="521" spans="1:10" ht="31.5" hidden="1">
      <c r="A521" s="26" t="s">
        <v>172</v>
      </c>
      <c r="B521" s="367">
        <v>903</v>
      </c>
      <c r="C521" s="207" t="s">
        <v>340</v>
      </c>
      <c r="D521" s="207" t="s">
        <v>191</v>
      </c>
      <c r="E521" s="207" t="s">
        <v>788</v>
      </c>
      <c r="F521" s="207" t="s">
        <v>173</v>
      </c>
      <c r="G521" s="27">
        <f>G522</f>
        <v>0</v>
      </c>
      <c r="J521" s="130"/>
    </row>
    <row r="522" spans="1:10" ht="31.5" hidden="1">
      <c r="A522" s="26" t="s">
        <v>174</v>
      </c>
      <c r="B522" s="367">
        <v>903</v>
      </c>
      <c r="C522" s="207" t="s">
        <v>340</v>
      </c>
      <c r="D522" s="207" t="s">
        <v>191</v>
      </c>
      <c r="E522" s="207" t="s">
        <v>788</v>
      </c>
      <c r="F522" s="207" t="s">
        <v>175</v>
      </c>
      <c r="G522" s="27">
        <v>0</v>
      </c>
      <c r="J522" s="130"/>
    </row>
    <row r="523" spans="1:10" ht="31.5">
      <c r="A523" s="26" t="s">
        <v>384</v>
      </c>
      <c r="B523" s="367">
        <v>903</v>
      </c>
      <c r="C523" s="207" t="s">
        <v>340</v>
      </c>
      <c r="D523" s="207" t="s">
        <v>191</v>
      </c>
      <c r="E523" s="207" t="s">
        <v>385</v>
      </c>
      <c r="F523" s="207"/>
      <c r="G523" s="27">
        <f>G524</f>
        <v>260</v>
      </c>
      <c r="J523" s="130"/>
    </row>
    <row r="524" spans="1:10" ht="47.25">
      <c r="A524" s="26" t="s">
        <v>405</v>
      </c>
      <c r="B524" s="367">
        <v>903</v>
      </c>
      <c r="C524" s="207" t="s">
        <v>340</v>
      </c>
      <c r="D524" s="207" t="s">
        <v>191</v>
      </c>
      <c r="E524" s="207" t="s">
        <v>406</v>
      </c>
      <c r="F524" s="207"/>
      <c r="G524" s="27">
        <f>G525</f>
        <v>260</v>
      </c>
      <c r="J524" s="130"/>
    </row>
    <row r="525" spans="1:10" ht="31.5">
      <c r="A525" s="26" t="s">
        <v>198</v>
      </c>
      <c r="B525" s="367">
        <v>903</v>
      </c>
      <c r="C525" s="207" t="s">
        <v>340</v>
      </c>
      <c r="D525" s="207" t="s">
        <v>191</v>
      </c>
      <c r="E525" s="207" t="s">
        <v>407</v>
      </c>
      <c r="F525" s="207"/>
      <c r="G525" s="27">
        <f>G526</f>
        <v>260</v>
      </c>
      <c r="J525" s="130"/>
    </row>
    <row r="526" spans="1:10" ht="31.5">
      <c r="A526" s="26" t="s">
        <v>172</v>
      </c>
      <c r="B526" s="367">
        <v>903</v>
      </c>
      <c r="C526" s="207" t="s">
        <v>340</v>
      </c>
      <c r="D526" s="207" t="s">
        <v>191</v>
      </c>
      <c r="E526" s="207" t="s">
        <v>407</v>
      </c>
      <c r="F526" s="207" t="s">
        <v>173</v>
      </c>
      <c r="G526" s="27">
        <f>G527</f>
        <v>260</v>
      </c>
      <c r="J526" s="130"/>
    </row>
    <row r="527" spans="1:10" ht="31.5">
      <c r="A527" s="26" t="s">
        <v>174</v>
      </c>
      <c r="B527" s="367">
        <v>903</v>
      </c>
      <c r="C527" s="207" t="s">
        <v>340</v>
      </c>
      <c r="D527" s="207" t="s">
        <v>191</v>
      </c>
      <c r="E527" s="207" t="s">
        <v>407</v>
      </c>
      <c r="F527" s="207" t="s">
        <v>175</v>
      </c>
      <c r="G527" s="27">
        <f>210+50</f>
        <v>260</v>
      </c>
      <c r="H527" s="352"/>
      <c r="J527" s="130"/>
    </row>
    <row r="528" spans="1:10" ht="15.75">
      <c r="A528" s="26" t="s">
        <v>162</v>
      </c>
      <c r="B528" s="367">
        <v>903</v>
      </c>
      <c r="C528" s="207" t="s">
        <v>340</v>
      </c>
      <c r="D528" s="207" t="s">
        <v>191</v>
      </c>
      <c r="E528" s="207" t="s">
        <v>163</v>
      </c>
      <c r="F528" s="207"/>
      <c r="G528" s="27">
        <f>G529+G535</f>
        <v>18818.1</v>
      </c>
      <c r="J528" s="130"/>
    </row>
    <row r="529" spans="1:10" ht="31.5">
      <c r="A529" s="26" t="s">
        <v>164</v>
      </c>
      <c r="B529" s="367">
        <v>903</v>
      </c>
      <c r="C529" s="207" t="s">
        <v>340</v>
      </c>
      <c r="D529" s="207" t="s">
        <v>191</v>
      </c>
      <c r="E529" s="207" t="s">
        <v>165</v>
      </c>
      <c r="F529" s="207"/>
      <c r="G529" s="27">
        <f>G530</f>
        <v>7186.8</v>
      </c>
      <c r="J529" s="130"/>
    </row>
    <row r="530" spans="1:10" ht="31.5">
      <c r="A530" s="26" t="s">
        <v>166</v>
      </c>
      <c r="B530" s="367">
        <v>903</v>
      </c>
      <c r="C530" s="207" t="s">
        <v>340</v>
      </c>
      <c r="D530" s="207" t="s">
        <v>191</v>
      </c>
      <c r="E530" s="207" t="s">
        <v>167</v>
      </c>
      <c r="F530" s="207"/>
      <c r="G530" s="27">
        <f>G531+G533</f>
        <v>7186.8</v>
      </c>
      <c r="J530" s="130"/>
    </row>
    <row r="531" spans="1:10" ht="63">
      <c r="A531" s="26" t="s">
        <v>168</v>
      </c>
      <c r="B531" s="367">
        <v>903</v>
      </c>
      <c r="C531" s="207" t="s">
        <v>340</v>
      </c>
      <c r="D531" s="207" t="s">
        <v>191</v>
      </c>
      <c r="E531" s="207" t="s">
        <v>167</v>
      </c>
      <c r="F531" s="207" t="s">
        <v>169</v>
      </c>
      <c r="G531" s="27">
        <f>G532</f>
        <v>7186.8</v>
      </c>
      <c r="J531" s="130"/>
    </row>
    <row r="532" spans="1:10" ht="31.5">
      <c r="A532" s="26" t="s">
        <v>170</v>
      </c>
      <c r="B532" s="367">
        <v>903</v>
      </c>
      <c r="C532" s="207" t="s">
        <v>340</v>
      </c>
      <c r="D532" s="207" t="s">
        <v>191</v>
      </c>
      <c r="E532" s="207" t="s">
        <v>167</v>
      </c>
      <c r="F532" s="207" t="s">
        <v>171</v>
      </c>
      <c r="G532" s="28">
        <f>7713.4-298.9+422.3-300-350-500-150+650</f>
        <v>7186.8</v>
      </c>
      <c r="H532" s="352" t="s">
        <v>1160</v>
      </c>
      <c r="I532" s="313" t="s">
        <v>1180</v>
      </c>
      <c r="J532" s="130"/>
    </row>
    <row r="533" spans="1:10" ht="31.5" customHeight="1" hidden="1">
      <c r="A533" s="26" t="s">
        <v>172</v>
      </c>
      <c r="B533" s="367">
        <v>903</v>
      </c>
      <c r="C533" s="207" t="s">
        <v>340</v>
      </c>
      <c r="D533" s="207" t="s">
        <v>191</v>
      </c>
      <c r="E533" s="207" t="s">
        <v>167</v>
      </c>
      <c r="F533" s="207" t="s">
        <v>173</v>
      </c>
      <c r="G533" s="27">
        <f>G534</f>
        <v>0</v>
      </c>
      <c r="J533" s="130"/>
    </row>
    <row r="534" spans="1:10" ht="47.25" customHeight="1" hidden="1">
      <c r="A534" s="26" t="s">
        <v>174</v>
      </c>
      <c r="B534" s="367">
        <v>903</v>
      </c>
      <c r="C534" s="207" t="s">
        <v>340</v>
      </c>
      <c r="D534" s="207" t="s">
        <v>191</v>
      </c>
      <c r="E534" s="207" t="s">
        <v>167</v>
      </c>
      <c r="F534" s="207" t="s">
        <v>175</v>
      </c>
      <c r="G534" s="27">
        <v>0</v>
      </c>
      <c r="J534" s="130"/>
    </row>
    <row r="535" spans="1:10" ht="15.75">
      <c r="A535" s="26" t="s">
        <v>182</v>
      </c>
      <c r="B535" s="367">
        <v>903</v>
      </c>
      <c r="C535" s="207" t="s">
        <v>340</v>
      </c>
      <c r="D535" s="207" t="s">
        <v>191</v>
      </c>
      <c r="E535" s="207" t="s">
        <v>183</v>
      </c>
      <c r="F535" s="207"/>
      <c r="G535" s="27">
        <f>G536</f>
        <v>11631.3</v>
      </c>
      <c r="J535" s="130"/>
    </row>
    <row r="536" spans="1:10" ht="31.5">
      <c r="A536" s="26" t="s">
        <v>381</v>
      </c>
      <c r="B536" s="367">
        <v>903</v>
      </c>
      <c r="C536" s="207" t="s">
        <v>340</v>
      </c>
      <c r="D536" s="207" t="s">
        <v>191</v>
      </c>
      <c r="E536" s="207" t="s">
        <v>382</v>
      </c>
      <c r="F536" s="207"/>
      <c r="G536" s="27">
        <f>G537+G539+G541</f>
        <v>11631.3</v>
      </c>
      <c r="J536" s="130"/>
    </row>
    <row r="537" spans="1:10" ht="63">
      <c r="A537" s="26" t="s">
        <v>168</v>
      </c>
      <c r="B537" s="367">
        <v>903</v>
      </c>
      <c r="C537" s="207" t="s">
        <v>340</v>
      </c>
      <c r="D537" s="207" t="s">
        <v>191</v>
      </c>
      <c r="E537" s="207" t="s">
        <v>382</v>
      </c>
      <c r="F537" s="207" t="s">
        <v>169</v>
      </c>
      <c r="G537" s="27">
        <f>G538</f>
        <v>9680.8</v>
      </c>
      <c r="J537" s="130"/>
    </row>
    <row r="538" spans="1:10" ht="15.75">
      <c r="A538" s="26" t="s">
        <v>383</v>
      </c>
      <c r="B538" s="367">
        <v>903</v>
      </c>
      <c r="C538" s="207" t="s">
        <v>340</v>
      </c>
      <c r="D538" s="207" t="s">
        <v>191</v>
      </c>
      <c r="E538" s="207" t="s">
        <v>382</v>
      </c>
      <c r="F538" s="207" t="s">
        <v>250</v>
      </c>
      <c r="G538" s="28">
        <f>8316.6+244.6+639.3+130.3+350</f>
        <v>9680.8</v>
      </c>
      <c r="H538" s="354" t="s">
        <v>1122</v>
      </c>
      <c r="I538" s="339"/>
      <c r="J538" s="130"/>
    </row>
    <row r="539" spans="1:10" ht="31.5">
      <c r="A539" s="26" t="s">
        <v>172</v>
      </c>
      <c r="B539" s="367">
        <v>903</v>
      </c>
      <c r="C539" s="207" t="s">
        <v>340</v>
      </c>
      <c r="D539" s="207" t="s">
        <v>191</v>
      </c>
      <c r="E539" s="207" t="s">
        <v>382</v>
      </c>
      <c r="F539" s="207" t="s">
        <v>173</v>
      </c>
      <c r="G539" s="27">
        <f>G540</f>
        <v>1936.3999999999999</v>
      </c>
      <c r="J539" s="278"/>
    </row>
    <row r="540" spans="1:10" ht="31.5">
      <c r="A540" s="26" t="s">
        <v>174</v>
      </c>
      <c r="B540" s="367">
        <v>903</v>
      </c>
      <c r="C540" s="207" t="s">
        <v>340</v>
      </c>
      <c r="D540" s="207" t="s">
        <v>191</v>
      </c>
      <c r="E540" s="207" t="s">
        <v>382</v>
      </c>
      <c r="F540" s="207" t="s">
        <v>175</v>
      </c>
      <c r="G540" s="28">
        <f>1435.1-10.7+297+215</f>
        <v>1936.3999999999999</v>
      </c>
      <c r="H540" s="352" t="s">
        <v>1193</v>
      </c>
      <c r="I540" s="313" t="s">
        <v>1192</v>
      </c>
      <c r="J540" s="130"/>
    </row>
    <row r="541" spans="1:10" ht="15.75">
      <c r="A541" s="26" t="s">
        <v>176</v>
      </c>
      <c r="B541" s="367">
        <v>903</v>
      </c>
      <c r="C541" s="207" t="s">
        <v>340</v>
      </c>
      <c r="D541" s="207" t="s">
        <v>191</v>
      </c>
      <c r="E541" s="207" t="s">
        <v>382</v>
      </c>
      <c r="F541" s="207" t="s">
        <v>186</v>
      </c>
      <c r="G541" s="27">
        <f>G542</f>
        <v>14.1</v>
      </c>
      <c r="J541" s="130"/>
    </row>
    <row r="542" spans="1:10" ht="15.75">
      <c r="A542" s="26" t="s">
        <v>610</v>
      </c>
      <c r="B542" s="367">
        <v>903</v>
      </c>
      <c r="C542" s="207" t="s">
        <v>340</v>
      </c>
      <c r="D542" s="207" t="s">
        <v>191</v>
      </c>
      <c r="E542" s="207" t="s">
        <v>382</v>
      </c>
      <c r="F542" s="207" t="s">
        <v>179</v>
      </c>
      <c r="G542" s="27">
        <f>20-8.9+3-0.7+0.7</f>
        <v>14.1</v>
      </c>
      <c r="H542" s="352" t="s">
        <v>1147</v>
      </c>
      <c r="I542" s="313" t="s">
        <v>1147</v>
      </c>
      <c r="J542" s="130"/>
    </row>
    <row r="543" spans="1:10" ht="15.75">
      <c r="A543" s="24" t="s">
        <v>284</v>
      </c>
      <c r="B543" s="382">
        <v>903</v>
      </c>
      <c r="C543" s="383" t="s">
        <v>285</v>
      </c>
      <c r="D543" s="383"/>
      <c r="E543" s="383"/>
      <c r="F543" s="383"/>
      <c r="G543" s="22">
        <f>G544</f>
        <v>2377</v>
      </c>
      <c r="J543" s="130"/>
    </row>
    <row r="544" spans="1:10" ht="15.75">
      <c r="A544" s="24" t="s">
        <v>293</v>
      </c>
      <c r="B544" s="382">
        <v>903</v>
      </c>
      <c r="C544" s="383" t="s">
        <v>285</v>
      </c>
      <c r="D544" s="383" t="s">
        <v>256</v>
      </c>
      <c r="E544" s="383"/>
      <c r="F544" s="383"/>
      <c r="G544" s="22">
        <f>G545+G601</f>
        <v>2377</v>
      </c>
      <c r="H544" s="353"/>
      <c r="I544" s="340"/>
      <c r="J544" s="135"/>
    </row>
    <row r="545" spans="1:12" ht="31.5">
      <c r="A545" s="26" t="s">
        <v>384</v>
      </c>
      <c r="B545" s="367">
        <v>903</v>
      </c>
      <c r="C545" s="207" t="s">
        <v>285</v>
      </c>
      <c r="D545" s="207" t="s">
        <v>256</v>
      </c>
      <c r="E545" s="207" t="s">
        <v>385</v>
      </c>
      <c r="F545" s="207"/>
      <c r="G545" s="27">
        <f>G546+G557+G561+G565+G571+G575+G579+G597</f>
        <v>2377</v>
      </c>
      <c r="H545" s="358"/>
      <c r="I545" s="342"/>
      <c r="J545" s="130"/>
      <c r="K545" s="137"/>
      <c r="L545" s="137"/>
    </row>
    <row r="546" spans="1:10" ht="15.75" hidden="1">
      <c r="A546" s="26" t="s">
        <v>386</v>
      </c>
      <c r="B546" s="367">
        <v>903</v>
      </c>
      <c r="C546" s="207" t="s">
        <v>305</v>
      </c>
      <c r="D546" s="207" t="s">
        <v>305</v>
      </c>
      <c r="E546" s="207" t="s">
        <v>387</v>
      </c>
      <c r="F546" s="207"/>
      <c r="G546" s="27">
        <f>G547+G555</f>
        <v>0</v>
      </c>
      <c r="J546" s="130"/>
    </row>
    <row r="547" spans="1:10" ht="31.5" hidden="1">
      <c r="A547" s="26" t="s">
        <v>198</v>
      </c>
      <c r="B547" s="367">
        <v>903</v>
      </c>
      <c r="C547" s="207" t="s">
        <v>305</v>
      </c>
      <c r="D547" s="207" t="s">
        <v>305</v>
      </c>
      <c r="E547" s="207" t="s">
        <v>388</v>
      </c>
      <c r="F547" s="207"/>
      <c r="G547" s="27">
        <f>G550+G549+G552</f>
        <v>0</v>
      </c>
      <c r="J547" s="130"/>
    </row>
    <row r="548" spans="1:10" ht="63" hidden="1">
      <c r="A548" s="26" t="s">
        <v>168</v>
      </c>
      <c r="B548" s="367">
        <v>903</v>
      </c>
      <c r="C548" s="207" t="s">
        <v>305</v>
      </c>
      <c r="D548" s="207" t="s">
        <v>305</v>
      </c>
      <c r="E548" s="207" t="s">
        <v>388</v>
      </c>
      <c r="F548" s="207" t="s">
        <v>169</v>
      </c>
      <c r="G548" s="27">
        <f>G549</f>
        <v>0</v>
      </c>
      <c r="J548" s="130"/>
    </row>
    <row r="549" spans="1:10" ht="15.75" hidden="1">
      <c r="A549" s="26" t="s">
        <v>383</v>
      </c>
      <c r="B549" s="367">
        <v>903</v>
      </c>
      <c r="C549" s="207" t="s">
        <v>305</v>
      </c>
      <c r="D549" s="207" t="s">
        <v>305</v>
      </c>
      <c r="E549" s="207" t="s">
        <v>388</v>
      </c>
      <c r="F549" s="207" t="s">
        <v>250</v>
      </c>
      <c r="G549" s="27"/>
      <c r="J549" s="130"/>
    </row>
    <row r="550" spans="1:10" ht="31.5" hidden="1">
      <c r="A550" s="26" t="s">
        <v>172</v>
      </c>
      <c r="B550" s="367">
        <v>903</v>
      </c>
      <c r="C550" s="207" t="s">
        <v>305</v>
      </c>
      <c r="D550" s="207" t="s">
        <v>305</v>
      </c>
      <c r="E550" s="207" t="s">
        <v>388</v>
      </c>
      <c r="F550" s="207" t="s">
        <v>173</v>
      </c>
      <c r="G550" s="27">
        <f>G551</f>
        <v>0</v>
      </c>
      <c r="J550" s="130"/>
    </row>
    <row r="551" spans="1:10" ht="31.5" hidden="1">
      <c r="A551" s="26" t="s">
        <v>174</v>
      </c>
      <c r="B551" s="367">
        <v>903</v>
      </c>
      <c r="C551" s="207" t="s">
        <v>305</v>
      </c>
      <c r="D551" s="207" t="s">
        <v>305</v>
      </c>
      <c r="E551" s="207" t="s">
        <v>388</v>
      </c>
      <c r="F551" s="207" t="s">
        <v>175</v>
      </c>
      <c r="G551" s="27"/>
      <c r="J551" s="130"/>
    </row>
    <row r="552" spans="1:10" ht="15.75" hidden="1">
      <c r="A552" s="26" t="s">
        <v>289</v>
      </c>
      <c r="B552" s="367">
        <v>903</v>
      </c>
      <c r="C552" s="207" t="s">
        <v>305</v>
      </c>
      <c r="D552" s="207" t="s">
        <v>305</v>
      </c>
      <c r="E552" s="207" t="s">
        <v>388</v>
      </c>
      <c r="F552" s="207" t="s">
        <v>290</v>
      </c>
      <c r="G552" s="27">
        <f>G553</f>
        <v>0</v>
      </c>
      <c r="J552" s="130"/>
    </row>
    <row r="553" spans="1:10" ht="15.75" hidden="1">
      <c r="A553" s="26" t="s">
        <v>389</v>
      </c>
      <c r="B553" s="367">
        <v>903</v>
      </c>
      <c r="C553" s="207" t="s">
        <v>305</v>
      </c>
      <c r="D553" s="207" t="s">
        <v>305</v>
      </c>
      <c r="E553" s="207" t="s">
        <v>388</v>
      </c>
      <c r="F553" s="207" t="s">
        <v>390</v>
      </c>
      <c r="G553" s="27"/>
      <c r="J553" s="130"/>
    </row>
    <row r="554" spans="1:10" ht="31.5" hidden="1">
      <c r="A554" s="26" t="s">
        <v>391</v>
      </c>
      <c r="B554" s="367">
        <v>903</v>
      </c>
      <c r="C554" s="207" t="s">
        <v>305</v>
      </c>
      <c r="D554" s="207" t="s">
        <v>305</v>
      </c>
      <c r="E554" s="207" t="s">
        <v>392</v>
      </c>
      <c r="F554" s="207"/>
      <c r="G554" s="27">
        <f>G555</f>
        <v>0</v>
      </c>
      <c r="J554" s="130"/>
    </row>
    <row r="555" spans="1:10" ht="31.5" hidden="1">
      <c r="A555" s="26" t="s">
        <v>313</v>
      </c>
      <c r="B555" s="367">
        <v>903</v>
      </c>
      <c r="C555" s="207" t="s">
        <v>305</v>
      </c>
      <c r="D555" s="207" t="s">
        <v>305</v>
      </c>
      <c r="E555" s="207" t="s">
        <v>392</v>
      </c>
      <c r="F555" s="207" t="s">
        <v>314</v>
      </c>
      <c r="G555" s="27">
        <f>G556</f>
        <v>0</v>
      </c>
      <c r="J555" s="130"/>
    </row>
    <row r="556" spans="1:10" ht="15.75" hidden="1">
      <c r="A556" s="26" t="s">
        <v>315</v>
      </c>
      <c r="B556" s="367">
        <v>903</v>
      </c>
      <c r="C556" s="207" t="s">
        <v>305</v>
      </c>
      <c r="D556" s="207" t="s">
        <v>305</v>
      </c>
      <c r="E556" s="207" t="s">
        <v>392</v>
      </c>
      <c r="F556" s="207" t="s">
        <v>316</v>
      </c>
      <c r="G556" s="27"/>
      <c r="J556" s="130"/>
    </row>
    <row r="557" spans="1:10" ht="15.75">
      <c r="A557" s="26" t="s">
        <v>393</v>
      </c>
      <c r="B557" s="367">
        <v>903</v>
      </c>
      <c r="C557" s="207" t="s">
        <v>285</v>
      </c>
      <c r="D557" s="207" t="s">
        <v>256</v>
      </c>
      <c r="E557" s="207" t="s">
        <v>394</v>
      </c>
      <c r="F557" s="207"/>
      <c r="G557" s="27">
        <f>G558</f>
        <v>434.8</v>
      </c>
      <c r="H557" s="352"/>
      <c r="I557" s="339"/>
      <c r="J557" s="281"/>
    </row>
    <row r="558" spans="1:10" ht="31.5">
      <c r="A558" s="26" t="s">
        <v>1064</v>
      </c>
      <c r="B558" s="367">
        <v>903</v>
      </c>
      <c r="C558" s="207" t="s">
        <v>285</v>
      </c>
      <c r="D558" s="207" t="s">
        <v>256</v>
      </c>
      <c r="E558" s="207" t="s">
        <v>995</v>
      </c>
      <c r="F558" s="207"/>
      <c r="G558" s="27">
        <f>G559</f>
        <v>434.8</v>
      </c>
      <c r="J558" s="130"/>
    </row>
    <row r="559" spans="1:10" ht="15.75">
      <c r="A559" s="26" t="s">
        <v>289</v>
      </c>
      <c r="B559" s="367">
        <v>903</v>
      </c>
      <c r="C559" s="207" t="s">
        <v>285</v>
      </c>
      <c r="D559" s="207" t="s">
        <v>256</v>
      </c>
      <c r="E559" s="207" t="s">
        <v>995</v>
      </c>
      <c r="F559" s="207" t="s">
        <v>290</v>
      </c>
      <c r="G559" s="27">
        <f>G560</f>
        <v>434.8</v>
      </c>
      <c r="J559" s="130"/>
    </row>
    <row r="560" spans="1:10" ht="31.5">
      <c r="A560" s="26" t="s">
        <v>291</v>
      </c>
      <c r="B560" s="367">
        <v>903</v>
      </c>
      <c r="C560" s="207" t="s">
        <v>285</v>
      </c>
      <c r="D560" s="207" t="s">
        <v>256</v>
      </c>
      <c r="E560" s="207" t="s">
        <v>995</v>
      </c>
      <c r="F560" s="207" t="s">
        <v>292</v>
      </c>
      <c r="G560" s="297">
        <f>148.4-30.7+32.3+284.7+0.1</f>
        <v>434.8</v>
      </c>
      <c r="H560" s="352"/>
      <c r="J560" s="130"/>
    </row>
    <row r="561" spans="1:10" ht="31.5">
      <c r="A561" s="26" t="s">
        <v>396</v>
      </c>
      <c r="B561" s="367">
        <v>903</v>
      </c>
      <c r="C561" s="367">
        <v>10</v>
      </c>
      <c r="D561" s="207" t="s">
        <v>256</v>
      </c>
      <c r="E561" s="207" t="s">
        <v>397</v>
      </c>
      <c r="F561" s="207"/>
      <c r="G561" s="27">
        <f>G562</f>
        <v>420</v>
      </c>
      <c r="J561" s="130"/>
    </row>
    <row r="562" spans="1:10" ht="31.5">
      <c r="A562" s="26" t="s">
        <v>198</v>
      </c>
      <c r="B562" s="367">
        <v>903</v>
      </c>
      <c r="C562" s="207" t="s">
        <v>285</v>
      </c>
      <c r="D562" s="207" t="s">
        <v>256</v>
      </c>
      <c r="E562" s="207" t="s">
        <v>398</v>
      </c>
      <c r="F562" s="207"/>
      <c r="G562" s="27">
        <f>G563</f>
        <v>420</v>
      </c>
      <c r="J562" s="130"/>
    </row>
    <row r="563" spans="1:10" ht="15.75">
      <c r="A563" s="26" t="s">
        <v>289</v>
      </c>
      <c r="B563" s="367">
        <v>903</v>
      </c>
      <c r="C563" s="207" t="s">
        <v>285</v>
      </c>
      <c r="D563" s="207" t="s">
        <v>256</v>
      </c>
      <c r="E563" s="207" t="s">
        <v>398</v>
      </c>
      <c r="F563" s="207" t="s">
        <v>290</v>
      </c>
      <c r="G563" s="27">
        <f>G564</f>
        <v>420</v>
      </c>
      <c r="J563" s="130"/>
    </row>
    <row r="564" spans="1:10" ht="15.75">
      <c r="A564" s="26" t="s">
        <v>389</v>
      </c>
      <c r="B564" s="367">
        <v>903</v>
      </c>
      <c r="C564" s="207" t="s">
        <v>285</v>
      </c>
      <c r="D564" s="207" t="s">
        <v>256</v>
      </c>
      <c r="E564" s="207" t="s">
        <v>398</v>
      </c>
      <c r="F564" s="207" t="s">
        <v>390</v>
      </c>
      <c r="G564" s="27">
        <v>420</v>
      </c>
      <c r="J564" s="130"/>
    </row>
    <row r="565" spans="1:10" ht="15.75">
      <c r="A565" s="26" t="s">
        <v>399</v>
      </c>
      <c r="B565" s="367">
        <v>903</v>
      </c>
      <c r="C565" s="367">
        <v>10</v>
      </c>
      <c r="D565" s="207" t="s">
        <v>256</v>
      </c>
      <c r="E565" s="207" t="s">
        <v>400</v>
      </c>
      <c r="F565" s="207"/>
      <c r="G565" s="27">
        <f>G566</f>
        <v>1272.2</v>
      </c>
      <c r="J565" s="130"/>
    </row>
    <row r="566" spans="1:10" ht="31.5">
      <c r="A566" s="26" t="s">
        <v>198</v>
      </c>
      <c r="B566" s="367">
        <v>903</v>
      </c>
      <c r="C566" s="207" t="s">
        <v>285</v>
      </c>
      <c r="D566" s="207" t="s">
        <v>256</v>
      </c>
      <c r="E566" s="207" t="s">
        <v>401</v>
      </c>
      <c r="F566" s="207"/>
      <c r="G566" s="27">
        <f>G567+G569</f>
        <v>1272.2</v>
      </c>
      <c r="J566" s="130"/>
    </row>
    <row r="567" spans="1:10" ht="31.5">
      <c r="A567" s="26" t="s">
        <v>172</v>
      </c>
      <c r="B567" s="367">
        <v>903</v>
      </c>
      <c r="C567" s="207" t="s">
        <v>285</v>
      </c>
      <c r="D567" s="207" t="s">
        <v>256</v>
      </c>
      <c r="E567" s="207" t="s">
        <v>401</v>
      </c>
      <c r="F567" s="207" t="s">
        <v>173</v>
      </c>
      <c r="G567" s="27">
        <f>G568</f>
        <v>356.6</v>
      </c>
      <c r="J567" s="130"/>
    </row>
    <row r="568" spans="1:10" ht="31.5">
      <c r="A568" s="26" t="s">
        <v>174</v>
      </c>
      <c r="B568" s="367">
        <v>903</v>
      </c>
      <c r="C568" s="207" t="s">
        <v>285</v>
      </c>
      <c r="D568" s="207" t="s">
        <v>256</v>
      </c>
      <c r="E568" s="207" t="s">
        <v>401</v>
      </c>
      <c r="F568" s="207" t="s">
        <v>175</v>
      </c>
      <c r="G568" s="27">
        <f>456.6-100</f>
        <v>356.6</v>
      </c>
      <c r="H568" s="352"/>
      <c r="J568" s="130"/>
    </row>
    <row r="569" spans="1:10" ht="15.75">
      <c r="A569" s="26" t="s">
        <v>289</v>
      </c>
      <c r="B569" s="367">
        <v>903</v>
      </c>
      <c r="C569" s="207" t="s">
        <v>285</v>
      </c>
      <c r="D569" s="207" t="s">
        <v>256</v>
      </c>
      <c r="E569" s="207" t="s">
        <v>401</v>
      </c>
      <c r="F569" s="207" t="s">
        <v>290</v>
      </c>
      <c r="G569" s="27">
        <f>G570</f>
        <v>915.6</v>
      </c>
      <c r="J569" s="130"/>
    </row>
    <row r="570" spans="1:10" ht="15.75">
      <c r="A570" s="26" t="s">
        <v>389</v>
      </c>
      <c r="B570" s="367">
        <v>903</v>
      </c>
      <c r="C570" s="207" t="s">
        <v>285</v>
      </c>
      <c r="D570" s="207" t="s">
        <v>256</v>
      </c>
      <c r="E570" s="207" t="s">
        <v>401</v>
      </c>
      <c r="F570" s="207" t="s">
        <v>390</v>
      </c>
      <c r="G570" s="27">
        <f>1015.7-100-0.1</f>
        <v>915.6</v>
      </c>
      <c r="H570" s="352"/>
      <c r="J570" s="130"/>
    </row>
    <row r="571" spans="1:10" ht="37.5" customHeight="1">
      <c r="A571" s="26" t="s">
        <v>402</v>
      </c>
      <c r="B571" s="367">
        <v>903</v>
      </c>
      <c r="C571" s="207" t="s">
        <v>285</v>
      </c>
      <c r="D571" s="207" t="s">
        <v>256</v>
      </c>
      <c r="E571" s="207" t="s">
        <v>403</v>
      </c>
      <c r="F571" s="207"/>
      <c r="G571" s="27">
        <f>G572</f>
        <v>250</v>
      </c>
      <c r="J571" s="130"/>
    </row>
    <row r="572" spans="1:10" ht="31.5">
      <c r="A572" s="26" t="s">
        <v>198</v>
      </c>
      <c r="B572" s="367">
        <v>903</v>
      </c>
      <c r="C572" s="207" t="s">
        <v>285</v>
      </c>
      <c r="D572" s="207" t="s">
        <v>256</v>
      </c>
      <c r="E572" s="207" t="s">
        <v>404</v>
      </c>
      <c r="F572" s="207"/>
      <c r="G572" s="27">
        <f>G573</f>
        <v>250</v>
      </c>
      <c r="J572" s="130"/>
    </row>
    <row r="573" spans="1:10" ht="15.75">
      <c r="A573" s="26" t="s">
        <v>289</v>
      </c>
      <c r="B573" s="367">
        <v>903</v>
      </c>
      <c r="C573" s="207" t="s">
        <v>285</v>
      </c>
      <c r="D573" s="207" t="s">
        <v>256</v>
      </c>
      <c r="E573" s="207" t="s">
        <v>404</v>
      </c>
      <c r="F573" s="207" t="s">
        <v>290</v>
      </c>
      <c r="G573" s="27">
        <f>G574</f>
        <v>250</v>
      </c>
      <c r="J573" s="130"/>
    </row>
    <row r="574" spans="1:10" ht="15.75">
      <c r="A574" s="26" t="s">
        <v>389</v>
      </c>
      <c r="B574" s="367">
        <v>903</v>
      </c>
      <c r="C574" s="207" t="s">
        <v>285</v>
      </c>
      <c r="D574" s="207" t="s">
        <v>256</v>
      </c>
      <c r="E574" s="207" t="s">
        <v>404</v>
      </c>
      <c r="F574" s="207" t="s">
        <v>390</v>
      </c>
      <c r="G574" s="27">
        <v>250</v>
      </c>
      <c r="J574" s="130"/>
    </row>
    <row r="575" spans="1:10" ht="49.5" customHeight="1" hidden="1">
      <c r="A575" s="26" t="s">
        <v>405</v>
      </c>
      <c r="B575" s="367">
        <v>903</v>
      </c>
      <c r="C575" s="207" t="s">
        <v>340</v>
      </c>
      <c r="D575" s="207" t="s">
        <v>191</v>
      </c>
      <c r="E575" s="207" t="s">
        <v>406</v>
      </c>
      <c r="F575" s="207"/>
      <c r="G575" s="27">
        <f>G576</f>
        <v>0</v>
      </c>
      <c r="H575" s="352"/>
      <c r="J575" s="130"/>
    </row>
    <row r="576" spans="1:10" ht="31.5" hidden="1">
      <c r="A576" s="26" t="s">
        <v>198</v>
      </c>
      <c r="B576" s="367">
        <v>903</v>
      </c>
      <c r="C576" s="207" t="s">
        <v>340</v>
      </c>
      <c r="D576" s="207" t="s">
        <v>191</v>
      </c>
      <c r="E576" s="207" t="s">
        <v>407</v>
      </c>
      <c r="F576" s="207"/>
      <c r="G576" s="27">
        <f>G577</f>
        <v>0</v>
      </c>
      <c r="J576" s="130"/>
    </row>
    <row r="577" spans="1:10" ht="31.5" hidden="1">
      <c r="A577" s="26" t="s">
        <v>172</v>
      </c>
      <c r="B577" s="367">
        <v>903</v>
      </c>
      <c r="C577" s="207" t="s">
        <v>340</v>
      </c>
      <c r="D577" s="207" t="s">
        <v>191</v>
      </c>
      <c r="E577" s="207" t="s">
        <v>407</v>
      </c>
      <c r="F577" s="207" t="s">
        <v>173</v>
      </c>
      <c r="G577" s="27">
        <f>G578</f>
        <v>0</v>
      </c>
      <c r="J577" s="130"/>
    </row>
    <row r="578" spans="1:10" ht="31.5" hidden="1">
      <c r="A578" s="26" t="s">
        <v>174</v>
      </c>
      <c r="B578" s="367">
        <v>903</v>
      </c>
      <c r="C578" s="207" t="s">
        <v>340</v>
      </c>
      <c r="D578" s="207" t="s">
        <v>191</v>
      </c>
      <c r="E578" s="207" t="s">
        <v>407</v>
      </c>
      <c r="F578" s="207" t="s">
        <v>175</v>
      </c>
      <c r="G578" s="27"/>
      <c r="J578" s="130"/>
    </row>
    <row r="579" spans="1:10" ht="54" customHeight="1" hidden="1">
      <c r="A579" s="26" t="s">
        <v>408</v>
      </c>
      <c r="B579" s="367">
        <v>903</v>
      </c>
      <c r="C579" s="207" t="s">
        <v>191</v>
      </c>
      <c r="D579" s="207" t="s">
        <v>279</v>
      </c>
      <c r="E579" s="207" t="s">
        <v>409</v>
      </c>
      <c r="F579" s="207"/>
      <c r="G579" s="27">
        <f>G580+G592+G586+G589</f>
        <v>0</v>
      </c>
      <c r="H579" s="352"/>
      <c r="I579" s="339"/>
      <c r="J579" s="130"/>
    </row>
    <row r="580" spans="1:10" ht="33.75" customHeight="1" hidden="1">
      <c r="A580" s="26" t="s">
        <v>410</v>
      </c>
      <c r="B580" s="367">
        <v>903</v>
      </c>
      <c r="C580" s="207" t="s">
        <v>191</v>
      </c>
      <c r="D580" s="207" t="s">
        <v>279</v>
      </c>
      <c r="E580" s="207" t="s">
        <v>411</v>
      </c>
      <c r="F580" s="207"/>
      <c r="G580" s="27">
        <f>G581</f>
        <v>0</v>
      </c>
      <c r="J580" s="130"/>
    </row>
    <row r="581" spans="1:10" ht="31.5" hidden="1">
      <c r="A581" s="26" t="s">
        <v>313</v>
      </c>
      <c r="B581" s="367">
        <v>903</v>
      </c>
      <c r="C581" s="207" t="s">
        <v>191</v>
      </c>
      <c r="D581" s="207" t="s">
        <v>279</v>
      </c>
      <c r="E581" s="207" t="s">
        <v>411</v>
      </c>
      <c r="F581" s="207" t="s">
        <v>314</v>
      </c>
      <c r="G581" s="27">
        <f>G582</f>
        <v>0</v>
      </c>
      <c r="J581" s="130"/>
    </row>
    <row r="582" spans="1:10" ht="29.25" customHeight="1" hidden="1">
      <c r="A582" s="41" t="s">
        <v>412</v>
      </c>
      <c r="B582" s="367">
        <v>903</v>
      </c>
      <c r="C582" s="207" t="s">
        <v>191</v>
      </c>
      <c r="D582" s="207" t="s">
        <v>279</v>
      </c>
      <c r="E582" s="207" t="s">
        <v>411</v>
      </c>
      <c r="F582" s="207" t="s">
        <v>413</v>
      </c>
      <c r="G582" s="27"/>
      <c r="J582" s="130"/>
    </row>
    <row r="583" spans="1:10" ht="15.75" customHeight="1" hidden="1">
      <c r="A583" s="41"/>
      <c r="B583" s="367"/>
      <c r="C583" s="207" t="s">
        <v>191</v>
      </c>
      <c r="D583" s="207" t="s">
        <v>279</v>
      </c>
      <c r="E583" s="207"/>
      <c r="F583" s="207"/>
      <c r="G583" s="27"/>
      <c r="J583" s="130"/>
    </row>
    <row r="584" spans="1:10" ht="15.75" customHeight="1" hidden="1">
      <c r="A584" s="41"/>
      <c r="B584" s="367"/>
      <c r="C584" s="207" t="s">
        <v>191</v>
      </c>
      <c r="D584" s="207" t="s">
        <v>279</v>
      </c>
      <c r="E584" s="207"/>
      <c r="F584" s="207"/>
      <c r="G584" s="27"/>
      <c r="J584" s="130"/>
    </row>
    <row r="585" spans="1:10" ht="15.75" customHeight="1" hidden="1">
      <c r="A585" s="41"/>
      <c r="B585" s="367"/>
      <c r="C585" s="207" t="s">
        <v>191</v>
      </c>
      <c r="D585" s="207" t="s">
        <v>279</v>
      </c>
      <c r="E585" s="207"/>
      <c r="F585" s="207"/>
      <c r="G585" s="27"/>
      <c r="J585" s="130"/>
    </row>
    <row r="586" spans="1:10" ht="126" customHeight="1" hidden="1">
      <c r="A586" s="26" t="s">
        <v>414</v>
      </c>
      <c r="B586" s="367">
        <v>903</v>
      </c>
      <c r="C586" s="207" t="s">
        <v>191</v>
      </c>
      <c r="D586" s="207" t="s">
        <v>279</v>
      </c>
      <c r="E586" s="207" t="s">
        <v>415</v>
      </c>
      <c r="F586" s="207"/>
      <c r="G586" s="27">
        <f>G587</f>
        <v>0</v>
      </c>
      <c r="J586" s="130"/>
    </row>
    <row r="587" spans="1:10" ht="15.75" customHeight="1" hidden="1">
      <c r="A587" s="26" t="s">
        <v>176</v>
      </c>
      <c r="B587" s="367">
        <v>903</v>
      </c>
      <c r="C587" s="207" t="s">
        <v>191</v>
      </c>
      <c r="D587" s="207" t="s">
        <v>279</v>
      </c>
      <c r="E587" s="207" t="s">
        <v>415</v>
      </c>
      <c r="F587" s="207" t="s">
        <v>186</v>
      </c>
      <c r="G587" s="27">
        <f>G588</f>
        <v>0</v>
      </c>
      <c r="J587" s="130"/>
    </row>
    <row r="588" spans="1:10" ht="63" customHeight="1" hidden="1">
      <c r="A588" s="26" t="s">
        <v>225</v>
      </c>
      <c r="B588" s="367">
        <v>903</v>
      </c>
      <c r="C588" s="207" t="s">
        <v>191</v>
      </c>
      <c r="D588" s="207" t="s">
        <v>279</v>
      </c>
      <c r="E588" s="207" t="s">
        <v>415</v>
      </c>
      <c r="F588" s="207" t="s">
        <v>201</v>
      </c>
      <c r="G588" s="27">
        <v>0</v>
      </c>
      <c r="J588" s="130"/>
    </row>
    <row r="589" spans="1:10" ht="50.25" customHeight="1" hidden="1">
      <c r="A589" s="26" t="s">
        <v>416</v>
      </c>
      <c r="B589" s="367">
        <v>903</v>
      </c>
      <c r="C589" s="207" t="s">
        <v>191</v>
      </c>
      <c r="D589" s="207" t="s">
        <v>279</v>
      </c>
      <c r="E589" s="207" t="s">
        <v>417</v>
      </c>
      <c r="F589" s="207"/>
      <c r="G589" s="27">
        <f>G590</f>
        <v>0</v>
      </c>
      <c r="J589" s="130"/>
    </row>
    <row r="590" spans="1:10" ht="15.75" hidden="1">
      <c r="A590" s="26" t="s">
        <v>289</v>
      </c>
      <c r="B590" s="367">
        <v>903</v>
      </c>
      <c r="C590" s="207" t="s">
        <v>191</v>
      </c>
      <c r="D590" s="207" t="s">
        <v>279</v>
      </c>
      <c r="E590" s="207" t="s">
        <v>417</v>
      </c>
      <c r="F590" s="207" t="s">
        <v>290</v>
      </c>
      <c r="G590" s="27">
        <f>G591</f>
        <v>0</v>
      </c>
      <c r="J590" s="130"/>
    </row>
    <row r="591" spans="1:10" ht="31.5" hidden="1">
      <c r="A591" s="26" t="s">
        <v>291</v>
      </c>
      <c r="B591" s="367">
        <v>903</v>
      </c>
      <c r="C591" s="207" t="s">
        <v>191</v>
      </c>
      <c r="D591" s="207" t="s">
        <v>279</v>
      </c>
      <c r="E591" s="207" t="s">
        <v>417</v>
      </c>
      <c r="F591" s="207" t="s">
        <v>292</v>
      </c>
      <c r="G591" s="27"/>
      <c r="J591" s="130"/>
    </row>
    <row r="592" spans="1:10" ht="31.5" customHeight="1" hidden="1">
      <c r="A592" s="26" t="s">
        <v>418</v>
      </c>
      <c r="B592" s="367">
        <v>903</v>
      </c>
      <c r="C592" s="207" t="s">
        <v>285</v>
      </c>
      <c r="D592" s="207" t="s">
        <v>256</v>
      </c>
      <c r="E592" s="207" t="s">
        <v>419</v>
      </c>
      <c r="F592" s="207"/>
      <c r="G592" s="27">
        <f>G593+G595</f>
        <v>0</v>
      </c>
      <c r="J592" s="130"/>
    </row>
    <row r="593" spans="1:10" ht="31.5" customHeight="1" hidden="1">
      <c r="A593" s="26" t="s">
        <v>172</v>
      </c>
      <c r="B593" s="367">
        <v>903</v>
      </c>
      <c r="C593" s="207" t="s">
        <v>285</v>
      </c>
      <c r="D593" s="207" t="s">
        <v>256</v>
      </c>
      <c r="E593" s="207" t="s">
        <v>419</v>
      </c>
      <c r="F593" s="207" t="s">
        <v>173</v>
      </c>
      <c r="G593" s="27">
        <f>G594</f>
        <v>0</v>
      </c>
      <c r="J593" s="130"/>
    </row>
    <row r="594" spans="1:10" ht="47.25" customHeight="1" hidden="1">
      <c r="A594" s="26" t="s">
        <v>174</v>
      </c>
      <c r="B594" s="367">
        <v>903</v>
      </c>
      <c r="C594" s="207" t="s">
        <v>285</v>
      </c>
      <c r="D594" s="207" t="s">
        <v>256</v>
      </c>
      <c r="E594" s="207" t="s">
        <v>419</v>
      </c>
      <c r="F594" s="207" t="s">
        <v>175</v>
      </c>
      <c r="G594" s="27">
        <v>0</v>
      </c>
      <c r="J594" s="130"/>
    </row>
    <row r="595" spans="1:10" ht="15.75" customHeight="1" hidden="1">
      <c r="A595" s="26" t="s">
        <v>176</v>
      </c>
      <c r="B595" s="367">
        <v>903</v>
      </c>
      <c r="C595" s="207" t="s">
        <v>285</v>
      </c>
      <c r="D595" s="207" t="s">
        <v>256</v>
      </c>
      <c r="E595" s="207" t="s">
        <v>420</v>
      </c>
      <c r="F595" s="207" t="s">
        <v>186</v>
      </c>
      <c r="G595" s="27">
        <f>G596</f>
        <v>0</v>
      </c>
      <c r="J595" s="130"/>
    </row>
    <row r="596" spans="1:10" ht="63" customHeight="1" hidden="1">
      <c r="A596" s="26" t="s">
        <v>225</v>
      </c>
      <c r="B596" s="367">
        <v>903</v>
      </c>
      <c r="C596" s="207" t="s">
        <v>285</v>
      </c>
      <c r="D596" s="207" t="s">
        <v>256</v>
      </c>
      <c r="E596" s="207" t="s">
        <v>420</v>
      </c>
      <c r="F596" s="207" t="s">
        <v>201</v>
      </c>
      <c r="G596" s="27">
        <v>0</v>
      </c>
      <c r="J596" s="130"/>
    </row>
    <row r="597" spans="1:10" ht="70.5" customHeight="1" hidden="1">
      <c r="A597" s="31" t="s">
        <v>421</v>
      </c>
      <c r="B597" s="367">
        <v>903</v>
      </c>
      <c r="C597" s="377" t="s">
        <v>159</v>
      </c>
      <c r="D597" s="377" t="s">
        <v>181</v>
      </c>
      <c r="E597" s="377" t="s">
        <v>422</v>
      </c>
      <c r="F597" s="377"/>
      <c r="G597" s="27">
        <f>G598</f>
        <v>0</v>
      </c>
      <c r="H597" s="352"/>
      <c r="I597" s="343"/>
      <c r="J597" s="130"/>
    </row>
    <row r="598" spans="1:10" ht="31.5" hidden="1">
      <c r="A598" s="31" t="s">
        <v>198</v>
      </c>
      <c r="B598" s="367">
        <v>903</v>
      </c>
      <c r="C598" s="377" t="s">
        <v>159</v>
      </c>
      <c r="D598" s="377" t="s">
        <v>181</v>
      </c>
      <c r="E598" s="377" t="s">
        <v>423</v>
      </c>
      <c r="F598" s="377"/>
      <c r="G598" s="27">
        <f>G599</f>
        <v>0</v>
      </c>
      <c r="J598" s="130"/>
    </row>
    <row r="599" spans="1:10" ht="31.5" hidden="1">
      <c r="A599" s="31" t="s">
        <v>172</v>
      </c>
      <c r="B599" s="367">
        <v>903</v>
      </c>
      <c r="C599" s="377" t="s">
        <v>159</v>
      </c>
      <c r="D599" s="377" t="s">
        <v>181</v>
      </c>
      <c r="E599" s="377" t="s">
        <v>423</v>
      </c>
      <c r="F599" s="377" t="s">
        <v>173</v>
      </c>
      <c r="G599" s="27">
        <f>G600</f>
        <v>0</v>
      </c>
      <c r="J599" s="130"/>
    </row>
    <row r="600" spans="1:10" ht="31.5" hidden="1">
      <c r="A600" s="31" t="s">
        <v>174</v>
      </c>
      <c r="B600" s="367">
        <v>903</v>
      </c>
      <c r="C600" s="377" t="s">
        <v>159</v>
      </c>
      <c r="D600" s="377" t="s">
        <v>181</v>
      </c>
      <c r="E600" s="377" t="s">
        <v>423</v>
      </c>
      <c r="F600" s="377" t="s">
        <v>175</v>
      </c>
      <c r="G600" s="27"/>
      <c r="J600" s="130"/>
    </row>
    <row r="601" spans="1:10" ht="15.75" hidden="1">
      <c r="A601" s="26" t="s">
        <v>162</v>
      </c>
      <c r="B601" s="367">
        <v>903</v>
      </c>
      <c r="C601" s="207" t="s">
        <v>285</v>
      </c>
      <c r="D601" s="207" t="s">
        <v>256</v>
      </c>
      <c r="E601" s="207" t="s">
        <v>163</v>
      </c>
      <c r="F601" s="207"/>
      <c r="G601" s="27">
        <f>G602+G613</f>
        <v>0</v>
      </c>
      <c r="J601" s="130"/>
    </row>
    <row r="602" spans="1:10" ht="15.75" hidden="1">
      <c r="A602" s="26" t="s">
        <v>226</v>
      </c>
      <c r="B602" s="367">
        <v>903</v>
      </c>
      <c r="C602" s="207" t="s">
        <v>285</v>
      </c>
      <c r="D602" s="207" t="s">
        <v>256</v>
      </c>
      <c r="E602" s="207" t="s">
        <v>227</v>
      </c>
      <c r="F602" s="207"/>
      <c r="G602" s="27">
        <f>G609+G603+G606</f>
        <v>0</v>
      </c>
      <c r="J602" s="130"/>
    </row>
    <row r="603" spans="1:10" ht="31.5" hidden="1">
      <c r="A603" s="26" t="s">
        <v>953</v>
      </c>
      <c r="B603" s="367">
        <v>903</v>
      </c>
      <c r="C603" s="207" t="s">
        <v>285</v>
      </c>
      <c r="D603" s="207" t="s">
        <v>256</v>
      </c>
      <c r="E603" s="207" t="s">
        <v>952</v>
      </c>
      <c r="F603" s="207"/>
      <c r="G603" s="27">
        <f>G604</f>
        <v>0</v>
      </c>
      <c r="J603" s="130"/>
    </row>
    <row r="604" spans="1:10" ht="15.75" hidden="1">
      <c r="A604" s="26" t="s">
        <v>289</v>
      </c>
      <c r="B604" s="367">
        <v>903</v>
      </c>
      <c r="C604" s="207" t="s">
        <v>285</v>
      </c>
      <c r="D604" s="207" t="s">
        <v>256</v>
      </c>
      <c r="E604" s="207" t="s">
        <v>952</v>
      </c>
      <c r="F604" s="207" t="s">
        <v>290</v>
      </c>
      <c r="G604" s="27">
        <f>G605</f>
        <v>0</v>
      </c>
      <c r="J604" s="130"/>
    </row>
    <row r="605" spans="1:10" ht="31.5" hidden="1">
      <c r="A605" s="26" t="s">
        <v>291</v>
      </c>
      <c r="B605" s="367">
        <v>903</v>
      </c>
      <c r="C605" s="207" t="s">
        <v>285</v>
      </c>
      <c r="D605" s="207" t="s">
        <v>256</v>
      </c>
      <c r="E605" s="207" t="s">
        <v>952</v>
      </c>
      <c r="F605" s="207" t="s">
        <v>292</v>
      </c>
      <c r="G605" s="27">
        <v>0</v>
      </c>
      <c r="J605" s="130"/>
    </row>
    <row r="606" spans="1:10" ht="47.25" hidden="1">
      <c r="A606" s="26" t="s">
        <v>416</v>
      </c>
      <c r="B606" s="367">
        <v>903</v>
      </c>
      <c r="C606" s="207" t="s">
        <v>285</v>
      </c>
      <c r="D606" s="207" t="s">
        <v>256</v>
      </c>
      <c r="E606" s="207" t="s">
        <v>426</v>
      </c>
      <c r="F606" s="207"/>
      <c r="G606" s="27">
        <f>G607</f>
        <v>0</v>
      </c>
      <c r="J606" s="130"/>
    </row>
    <row r="607" spans="1:10" ht="15.75" hidden="1">
      <c r="A607" s="26" t="s">
        <v>289</v>
      </c>
      <c r="B607" s="367">
        <v>903</v>
      </c>
      <c r="C607" s="207" t="s">
        <v>285</v>
      </c>
      <c r="D607" s="207" t="s">
        <v>256</v>
      </c>
      <c r="E607" s="207" t="s">
        <v>426</v>
      </c>
      <c r="F607" s="207" t="s">
        <v>290</v>
      </c>
      <c r="G607" s="27">
        <f>G608</f>
        <v>0</v>
      </c>
      <c r="J607" s="130"/>
    </row>
    <row r="608" spans="1:10" ht="31.5" hidden="1">
      <c r="A608" s="26" t="s">
        <v>291</v>
      </c>
      <c r="B608" s="367">
        <v>903</v>
      </c>
      <c r="C608" s="207" t="s">
        <v>285</v>
      </c>
      <c r="D608" s="207" t="s">
        <v>256</v>
      </c>
      <c r="E608" s="207" t="s">
        <v>426</v>
      </c>
      <c r="F608" s="207" t="s">
        <v>292</v>
      </c>
      <c r="G608" s="27">
        <v>0</v>
      </c>
      <c r="J608" s="130"/>
    </row>
    <row r="609" spans="1:10" ht="54" customHeight="1" hidden="1">
      <c r="A609" s="26" t="s">
        <v>811</v>
      </c>
      <c r="B609" s="367">
        <v>903</v>
      </c>
      <c r="C609" s="207" t="s">
        <v>285</v>
      </c>
      <c r="D609" s="207" t="s">
        <v>256</v>
      </c>
      <c r="E609" s="207" t="s">
        <v>428</v>
      </c>
      <c r="F609" s="207"/>
      <c r="G609" s="27">
        <f>G610</f>
        <v>0</v>
      </c>
      <c r="J609" s="130"/>
    </row>
    <row r="610" spans="1:10" ht="15.75" hidden="1">
      <c r="A610" s="26" t="s">
        <v>289</v>
      </c>
      <c r="B610" s="367">
        <v>903</v>
      </c>
      <c r="C610" s="207" t="s">
        <v>285</v>
      </c>
      <c r="D610" s="207" t="s">
        <v>256</v>
      </c>
      <c r="E610" s="207" t="s">
        <v>428</v>
      </c>
      <c r="F610" s="207" t="s">
        <v>290</v>
      </c>
      <c r="G610" s="27">
        <f>G611+G612</f>
        <v>0</v>
      </c>
      <c r="J610" s="130"/>
    </row>
    <row r="611" spans="1:10" ht="15.75" hidden="1">
      <c r="A611" s="26" t="s">
        <v>389</v>
      </c>
      <c r="B611" s="367">
        <v>903</v>
      </c>
      <c r="C611" s="207" t="s">
        <v>285</v>
      </c>
      <c r="D611" s="207" t="s">
        <v>256</v>
      </c>
      <c r="E611" s="207" t="s">
        <v>428</v>
      </c>
      <c r="F611" s="207" t="s">
        <v>390</v>
      </c>
      <c r="G611" s="27">
        <f>K611</f>
        <v>0</v>
      </c>
      <c r="J611" s="130"/>
    </row>
    <row r="612" spans="1:10" ht="31.5" hidden="1">
      <c r="A612" s="26" t="s">
        <v>291</v>
      </c>
      <c r="B612" s="367">
        <v>903</v>
      </c>
      <c r="C612" s="207" t="s">
        <v>285</v>
      </c>
      <c r="D612" s="207" t="s">
        <v>256</v>
      </c>
      <c r="E612" s="207" t="s">
        <v>428</v>
      </c>
      <c r="F612" s="207" t="s">
        <v>292</v>
      </c>
      <c r="G612" s="27"/>
      <c r="J612" s="130"/>
    </row>
    <row r="613" spans="1:10" ht="15.75" hidden="1">
      <c r="A613" s="26" t="s">
        <v>182</v>
      </c>
      <c r="B613" s="367">
        <v>903</v>
      </c>
      <c r="C613" s="207" t="s">
        <v>285</v>
      </c>
      <c r="D613" s="207" t="s">
        <v>256</v>
      </c>
      <c r="E613" s="207" t="s">
        <v>183</v>
      </c>
      <c r="F613" s="207"/>
      <c r="G613" s="27">
        <f>G614</f>
        <v>0</v>
      </c>
      <c r="J613" s="130"/>
    </row>
    <row r="614" spans="1:10" ht="15.75" hidden="1">
      <c r="A614" s="26" t="s">
        <v>242</v>
      </c>
      <c r="B614" s="367">
        <v>903</v>
      </c>
      <c r="C614" s="207" t="s">
        <v>285</v>
      </c>
      <c r="D614" s="207" t="s">
        <v>256</v>
      </c>
      <c r="E614" s="207" t="s">
        <v>243</v>
      </c>
      <c r="F614" s="207"/>
      <c r="G614" s="27">
        <f>G615</f>
        <v>0</v>
      </c>
      <c r="J614" s="130"/>
    </row>
    <row r="615" spans="1:10" ht="15.75" hidden="1">
      <c r="A615" s="26" t="s">
        <v>289</v>
      </c>
      <c r="B615" s="367">
        <v>903</v>
      </c>
      <c r="C615" s="207" t="s">
        <v>285</v>
      </c>
      <c r="D615" s="207" t="s">
        <v>256</v>
      </c>
      <c r="E615" s="207" t="s">
        <v>243</v>
      </c>
      <c r="F615" s="207" t="s">
        <v>290</v>
      </c>
      <c r="G615" s="27">
        <f>G616</f>
        <v>0</v>
      </c>
      <c r="J615" s="130"/>
    </row>
    <row r="616" spans="1:10" ht="15.75" hidden="1">
      <c r="A616" s="26" t="s">
        <v>389</v>
      </c>
      <c r="B616" s="367">
        <v>903</v>
      </c>
      <c r="C616" s="207" t="s">
        <v>285</v>
      </c>
      <c r="D616" s="207" t="s">
        <v>256</v>
      </c>
      <c r="E616" s="207" t="s">
        <v>243</v>
      </c>
      <c r="F616" s="207" t="s">
        <v>390</v>
      </c>
      <c r="G616" s="27">
        <v>0</v>
      </c>
      <c r="J616" s="130"/>
    </row>
    <row r="617" spans="1:10" ht="31.5">
      <c r="A617" s="20" t="s">
        <v>429</v>
      </c>
      <c r="B617" s="382">
        <v>905</v>
      </c>
      <c r="C617" s="207"/>
      <c r="D617" s="207"/>
      <c r="E617" s="207"/>
      <c r="F617" s="207"/>
      <c r="G617" s="22">
        <f>G618+G649+G664</f>
        <v>22435</v>
      </c>
      <c r="J617" s="130"/>
    </row>
    <row r="618" spans="1:10" ht="15.75">
      <c r="A618" s="24" t="s">
        <v>158</v>
      </c>
      <c r="B618" s="382">
        <v>905</v>
      </c>
      <c r="C618" s="383" t="s">
        <v>159</v>
      </c>
      <c r="D618" s="207"/>
      <c r="E618" s="207"/>
      <c r="F618" s="207"/>
      <c r="G618" s="22">
        <f>G619+G629</f>
        <v>21890.3</v>
      </c>
      <c r="J618" s="130"/>
    </row>
    <row r="619" spans="1:10" ht="54.75" customHeight="1">
      <c r="A619" s="24" t="s">
        <v>190</v>
      </c>
      <c r="B619" s="382">
        <v>905</v>
      </c>
      <c r="C619" s="383" t="s">
        <v>159</v>
      </c>
      <c r="D619" s="383" t="s">
        <v>191</v>
      </c>
      <c r="E619" s="383"/>
      <c r="F619" s="383"/>
      <c r="G619" s="22">
        <f>G620</f>
        <v>11414.099999999999</v>
      </c>
      <c r="J619" s="130"/>
    </row>
    <row r="620" spans="1:10" ht="15.75">
      <c r="A620" s="26" t="s">
        <v>162</v>
      </c>
      <c r="B620" s="367">
        <v>905</v>
      </c>
      <c r="C620" s="207" t="s">
        <v>159</v>
      </c>
      <c r="D620" s="207" t="s">
        <v>191</v>
      </c>
      <c r="E620" s="207" t="s">
        <v>163</v>
      </c>
      <c r="F620" s="207"/>
      <c r="G620" s="27">
        <f>G621</f>
        <v>11414.099999999999</v>
      </c>
      <c r="J620" s="130"/>
    </row>
    <row r="621" spans="1:10" ht="31.5">
      <c r="A621" s="26" t="s">
        <v>164</v>
      </c>
      <c r="B621" s="367">
        <v>905</v>
      </c>
      <c r="C621" s="207" t="s">
        <v>159</v>
      </c>
      <c r="D621" s="207" t="s">
        <v>191</v>
      </c>
      <c r="E621" s="207" t="s">
        <v>165</v>
      </c>
      <c r="F621" s="207"/>
      <c r="G621" s="27">
        <f>G622</f>
        <v>11414.099999999999</v>
      </c>
      <c r="J621" s="130"/>
    </row>
    <row r="622" spans="1:10" ht="31.5">
      <c r="A622" s="26" t="s">
        <v>166</v>
      </c>
      <c r="B622" s="367">
        <v>905</v>
      </c>
      <c r="C622" s="207" t="s">
        <v>159</v>
      </c>
      <c r="D622" s="207" t="s">
        <v>191</v>
      </c>
      <c r="E622" s="207" t="s">
        <v>167</v>
      </c>
      <c r="F622" s="207"/>
      <c r="G622" s="27">
        <f>G623+G625+G627</f>
        <v>11414.099999999999</v>
      </c>
      <c r="J622" s="130"/>
    </row>
    <row r="623" spans="1:10" ht="63">
      <c r="A623" s="26" t="s">
        <v>168</v>
      </c>
      <c r="B623" s="367">
        <v>905</v>
      </c>
      <c r="C623" s="207" t="s">
        <v>159</v>
      </c>
      <c r="D623" s="207" t="s">
        <v>191</v>
      </c>
      <c r="E623" s="207" t="s">
        <v>167</v>
      </c>
      <c r="F623" s="207" t="s">
        <v>169</v>
      </c>
      <c r="G623" s="27">
        <f>G624</f>
        <v>10618.8</v>
      </c>
      <c r="J623" s="130"/>
    </row>
    <row r="624" spans="1:10" ht="31.5">
      <c r="A624" s="26" t="s">
        <v>170</v>
      </c>
      <c r="B624" s="367">
        <v>905</v>
      </c>
      <c r="C624" s="207" t="s">
        <v>159</v>
      </c>
      <c r="D624" s="207" t="s">
        <v>191</v>
      </c>
      <c r="E624" s="207" t="s">
        <v>167</v>
      </c>
      <c r="F624" s="207" t="s">
        <v>171</v>
      </c>
      <c r="G624" s="28">
        <f>10286.1-1052.7+1385.4</f>
        <v>10618.8</v>
      </c>
      <c r="H624" s="352"/>
      <c r="J624" s="130"/>
    </row>
    <row r="625" spans="1:10" ht="31.5">
      <c r="A625" s="26" t="s">
        <v>172</v>
      </c>
      <c r="B625" s="367">
        <v>905</v>
      </c>
      <c r="C625" s="207" t="s">
        <v>159</v>
      </c>
      <c r="D625" s="207" t="s">
        <v>191</v>
      </c>
      <c r="E625" s="207" t="s">
        <v>167</v>
      </c>
      <c r="F625" s="207" t="s">
        <v>173</v>
      </c>
      <c r="G625" s="27">
        <f>G626</f>
        <v>664</v>
      </c>
      <c r="J625" s="278"/>
    </row>
    <row r="626" spans="1:10" ht="31.5">
      <c r="A626" s="26" t="s">
        <v>174</v>
      </c>
      <c r="B626" s="367">
        <v>905</v>
      </c>
      <c r="C626" s="207" t="s">
        <v>159</v>
      </c>
      <c r="D626" s="207" t="s">
        <v>191</v>
      </c>
      <c r="E626" s="207" t="s">
        <v>167</v>
      </c>
      <c r="F626" s="207" t="s">
        <v>175</v>
      </c>
      <c r="G626" s="28">
        <f>664</f>
        <v>664</v>
      </c>
      <c r="H626" s="353"/>
      <c r="J626" s="130"/>
    </row>
    <row r="627" spans="1:10" ht="15.75">
      <c r="A627" s="26" t="s">
        <v>176</v>
      </c>
      <c r="B627" s="367">
        <v>905</v>
      </c>
      <c r="C627" s="207" t="s">
        <v>159</v>
      </c>
      <c r="D627" s="207" t="s">
        <v>191</v>
      </c>
      <c r="E627" s="207" t="s">
        <v>167</v>
      </c>
      <c r="F627" s="207" t="s">
        <v>186</v>
      </c>
      <c r="G627" s="27">
        <f>G628</f>
        <v>131.3</v>
      </c>
      <c r="J627" s="130"/>
    </row>
    <row r="628" spans="1:10" ht="15.75">
      <c r="A628" s="26" t="s">
        <v>610</v>
      </c>
      <c r="B628" s="367">
        <v>905</v>
      </c>
      <c r="C628" s="207" t="s">
        <v>159</v>
      </c>
      <c r="D628" s="207" t="s">
        <v>191</v>
      </c>
      <c r="E628" s="207" t="s">
        <v>167</v>
      </c>
      <c r="F628" s="207" t="s">
        <v>179</v>
      </c>
      <c r="G628" s="27">
        <f>8.8+7.5+20+30+65</f>
        <v>131.3</v>
      </c>
      <c r="J628" s="130"/>
    </row>
    <row r="629" spans="1:10" ht="15.75">
      <c r="A629" s="24" t="s">
        <v>180</v>
      </c>
      <c r="B629" s="382">
        <v>905</v>
      </c>
      <c r="C629" s="383" t="s">
        <v>159</v>
      </c>
      <c r="D629" s="383" t="s">
        <v>181</v>
      </c>
      <c r="E629" s="383"/>
      <c r="F629" s="383"/>
      <c r="G629" s="22">
        <f>G634+G630</f>
        <v>10476.2</v>
      </c>
      <c r="J629" s="130"/>
    </row>
    <row r="630" spans="1:10" s="133" customFormat="1" ht="56.25" customHeight="1">
      <c r="A630" s="26" t="s">
        <v>924</v>
      </c>
      <c r="B630" s="367">
        <v>905</v>
      </c>
      <c r="C630" s="207" t="s">
        <v>159</v>
      </c>
      <c r="D630" s="207" t="s">
        <v>181</v>
      </c>
      <c r="E630" s="207" t="s">
        <v>928</v>
      </c>
      <c r="F630" s="207"/>
      <c r="G630" s="27">
        <f>G631</f>
        <v>4932.3</v>
      </c>
      <c r="H630" s="351"/>
      <c r="I630" s="344"/>
      <c r="J630" s="151"/>
    </row>
    <row r="631" spans="1:10" s="133" customFormat="1" ht="31.5">
      <c r="A631" s="26" t="s">
        <v>954</v>
      </c>
      <c r="B631" s="367">
        <v>905</v>
      </c>
      <c r="C631" s="207" t="s">
        <v>159</v>
      </c>
      <c r="D631" s="207" t="s">
        <v>181</v>
      </c>
      <c r="E631" s="207" t="s">
        <v>1063</v>
      </c>
      <c r="F631" s="207"/>
      <c r="G631" s="27">
        <f>G632</f>
        <v>4932.3</v>
      </c>
      <c r="H631" s="351"/>
      <c r="I631" s="344"/>
      <c r="J631" s="151"/>
    </row>
    <row r="632" spans="1:10" s="133" customFormat="1" ht="31.5">
      <c r="A632" s="26" t="s">
        <v>172</v>
      </c>
      <c r="B632" s="367">
        <v>905</v>
      </c>
      <c r="C632" s="207" t="s">
        <v>159</v>
      </c>
      <c r="D632" s="207" t="s">
        <v>181</v>
      </c>
      <c r="E632" s="207" t="s">
        <v>1063</v>
      </c>
      <c r="F632" s="207" t="s">
        <v>173</v>
      </c>
      <c r="G632" s="27">
        <f>G633</f>
        <v>4932.3</v>
      </c>
      <c r="H632" s="351"/>
      <c r="I632" s="344"/>
      <c r="J632" s="151"/>
    </row>
    <row r="633" spans="1:10" s="133" customFormat="1" ht="31.5">
      <c r="A633" s="26" t="s">
        <v>174</v>
      </c>
      <c r="B633" s="367">
        <v>905</v>
      </c>
      <c r="C633" s="207" t="s">
        <v>159</v>
      </c>
      <c r="D633" s="207" t="s">
        <v>181</v>
      </c>
      <c r="E633" s="207" t="s">
        <v>1063</v>
      </c>
      <c r="F633" s="207" t="s">
        <v>175</v>
      </c>
      <c r="G633" s="27">
        <f>448.5+4483.8</f>
        <v>4932.3</v>
      </c>
      <c r="H633" s="352"/>
      <c r="I633" s="344"/>
      <c r="J633" s="151"/>
    </row>
    <row r="634" spans="1:10" ht="15.75">
      <c r="A634" s="26" t="s">
        <v>162</v>
      </c>
      <c r="B634" s="367">
        <v>905</v>
      </c>
      <c r="C634" s="207" t="s">
        <v>159</v>
      </c>
      <c r="D634" s="207" t="s">
        <v>181</v>
      </c>
      <c r="E634" s="207" t="s">
        <v>163</v>
      </c>
      <c r="F634" s="207"/>
      <c r="G634" s="27">
        <f>G639+G635</f>
        <v>5543.9</v>
      </c>
      <c r="J634" s="130"/>
    </row>
    <row r="635" spans="1:10" ht="15.75" hidden="1">
      <c r="A635" s="26" t="s">
        <v>226</v>
      </c>
      <c r="B635" s="367">
        <v>905</v>
      </c>
      <c r="C635" s="207" t="s">
        <v>159</v>
      </c>
      <c r="D635" s="207" t="s">
        <v>181</v>
      </c>
      <c r="E635" s="207" t="s">
        <v>227</v>
      </c>
      <c r="F635" s="207"/>
      <c r="G635" s="27">
        <f>G636</f>
        <v>0</v>
      </c>
      <c r="J635" s="130"/>
    </row>
    <row r="636" spans="1:10" ht="31.5" hidden="1">
      <c r="A636" s="26" t="s">
        <v>954</v>
      </c>
      <c r="B636" s="367">
        <v>905</v>
      </c>
      <c r="C636" s="207" t="s">
        <v>159</v>
      </c>
      <c r="D636" s="207" t="s">
        <v>181</v>
      </c>
      <c r="E636" s="207" t="s">
        <v>955</v>
      </c>
      <c r="F636" s="207"/>
      <c r="G636" s="27">
        <f>G637</f>
        <v>0</v>
      </c>
      <c r="J636" s="130"/>
    </row>
    <row r="637" spans="1:10" ht="31.5" hidden="1">
      <c r="A637" s="26" t="s">
        <v>172</v>
      </c>
      <c r="B637" s="367">
        <v>905</v>
      </c>
      <c r="C637" s="207" t="s">
        <v>159</v>
      </c>
      <c r="D637" s="207" t="s">
        <v>181</v>
      </c>
      <c r="E637" s="207" t="s">
        <v>955</v>
      </c>
      <c r="F637" s="207" t="s">
        <v>173</v>
      </c>
      <c r="G637" s="27">
        <f>G638</f>
        <v>0</v>
      </c>
      <c r="J637" s="130"/>
    </row>
    <row r="638" spans="1:10" ht="31.5" hidden="1">
      <c r="A638" s="26" t="s">
        <v>174</v>
      </c>
      <c r="B638" s="367">
        <v>905</v>
      </c>
      <c r="C638" s="207" t="s">
        <v>159</v>
      </c>
      <c r="D638" s="207" t="s">
        <v>181</v>
      </c>
      <c r="E638" s="207" t="s">
        <v>955</v>
      </c>
      <c r="F638" s="207" t="s">
        <v>175</v>
      </c>
      <c r="G638" s="27">
        <v>0</v>
      </c>
      <c r="J638" s="130"/>
    </row>
    <row r="639" spans="1:10" ht="15.75">
      <c r="A639" s="26" t="s">
        <v>182</v>
      </c>
      <c r="B639" s="367">
        <v>905</v>
      </c>
      <c r="C639" s="207" t="s">
        <v>159</v>
      </c>
      <c r="D639" s="207" t="s">
        <v>181</v>
      </c>
      <c r="E639" s="207" t="s">
        <v>183</v>
      </c>
      <c r="F639" s="207"/>
      <c r="G639" s="27">
        <f>G640+G643+G646</f>
        <v>5543.9</v>
      </c>
      <c r="J639" s="130"/>
    </row>
    <row r="640" spans="1:10" ht="47.25">
      <c r="A640" s="26" t="s">
        <v>430</v>
      </c>
      <c r="B640" s="367">
        <v>905</v>
      </c>
      <c r="C640" s="207" t="s">
        <v>159</v>
      </c>
      <c r="D640" s="207" t="s">
        <v>181</v>
      </c>
      <c r="E640" s="207" t="s">
        <v>431</v>
      </c>
      <c r="F640" s="207"/>
      <c r="G640" s="27">
        <f>G641</f>
        <v>5088.799999999999</v>
      </c>
      <c r="J640" s="130"/>
    </row>
    <row r="641" spans="1:10" ht="31.5">
      <c r="A641" s="26" t="s">
        <v>172</v>
      </c>
      <c r="B641" s="367">
        <v>905</v>
      </c>
      <c r="C641" s="207" t="s">
        <v>159</v>
      </c>
      <c r="D641" s="207" t="s">
        <v>181</v>
      </c>
      <c r="E641" s="207" t="s">
        <v>431</v>
      </c>
      <c r="F641" s="207" t="s">
        <v>173</v>
      </c>
      <c r="G641" s="27">
        <f>G642</f>
        <v>5088.799999999999</v>
      </c>
      <c r="J641" s="130"/>
    </row>
    <row r="642" spans="1:10" ht="31.5">
      <c r="A642" s="26" t="s">
        <v>174</v>
      </c>
      <c r="B642" s="367">
        <v>905</v>
      </c>
      <c r="C642" s="207" t="s">
        <v>159</v>
      </c>
      <c r="D642" s="207" t="s">
        <v>181</v>
      </c>
      <c r="E642" s="207" t="s">
        <v>431</v>
      </c>
      <c r="F642" s="207" t="s">
        <v>175</v>
      </c>
      <c r="G642" s="27">
        <f>3123.5+1000+1427.4-355-7.1-100</f>
        <v>5088.799999999999</v>
      </c>
      <c r="H642" s="352" t="s">
        <v>794</v>
      </c>
      <c r="I642" s="339"/>
      <c r="J642" s="130"/>
    </row>
    <row r="643" spans="1:10" ht="15.75">
      <c r="A643" s="26" t="s">
        <v>184</v>
      </c>
      <c r="B643" s="367">
        <v>905</v>
      </c>
      <c r="C643" s="207" t="s">
        <v>159</v>
      </c>
      <c r="D643" s="207" t="s">
        <v>181</v>
      </c>
      <c r="E643" s="207" t="s">
        <v>185</v>
      </c>
      <c r="F643" s="207"/>
      <c r="G643" s="27">
        <f>G644</f>
        <v>355.1</v>
      </c>
      <c r="J643" s="130"/>
    </row>
    <row r="644" spans="1:10" ht="15.75">
      <c r="A644" s="26" t="s">
        <v>176</v>
      </c>
      <c r="B644" s="367">
        <v>905</v>
      </c>
      <c r="C644" s="207" t="s">
        <v>159</v>
      </c>
      <c r="D644" s="207" t="s">
        <v>181</v>
      </c>
      <c r="E644" s="207" t="s">
        <v>185</v>
      </c>
      <c r="F644" s="207" t="s">
        <v>186</v>
      </c>
      <c r="G644" s="27">
        <f>G645</f>
        <v>355.1</v>
      </c>
      <c r="J644" s="130"/>
    </row>
    <row r="645" spans="1:10" ht="15.75">
      <c r="A645" s="26" t="s">
        <v>187</v>
      </c>
      <c r="B645" s="367">
        <v>905</v>
      </c>
      <c r="C645" s="207" t="s">
        <v>159</v>
      </c>
      <c r="D645" s="207" t="s">
        <v>181</v>
      </c>
      <c r="E645" s="207" t="s">
        <v>185</v>
      </c>
      <c r="F645" s="207" t="s">
        <v>188</v>
      </c>
      <c r="G645" s="27">
        <f>348+7.1</f>
        <v>355.1</v>
      </c>
      <c r="H645" s="352"/>
      <c r="I645" s="339"/>
      <c r="J645" s="130"/>
    </row>
    <row r="646" spans="1:10" s="286" customFormat="1" ht="31.5">
      <c r="A646" s="26" t="s">
        <v>1086</v>
      </c>
      <c r="B646" s="367">
        <v>905</v>
      </c>
      <c r="C646" s="207" t="s">
        <v>159</v>
      </c>
      <c r="D646" s="207" t="s">
        <v>181</v>
      </c>
      <c r="E646" s="207" t="s">
        <v>1087</v>
      </c>
      <c r="F646" s="207"/>
      <c r="G646" s="27">
        <f>G647</f>
        <v>100</v>
      </c>
      <c r="H646" s="361"/>
      <c r="I646" s="339"/>
      <c r="J646" s="130"/>
    </row>
    <row r="647" spans="1:10" s="286" customFormat="1" ht="31.5">
      <c r="A647" s="26" t="s">
        <v>172</v>
      </c>
      <c r="B647" s="367">
        <v>905</v>
      </c>
      <c r="C647" s="207" t="s">
        <v>159</v>
      </c>
      <c r="D647" s="207" t="s">
        <v>181</v>
      </c>
      <c r="E647" s="207" t="s">
        <v>1087</v>
      </c>
      <c r="F647" s="207" t="s">
        <v>173</v>
      </c>
      <c r="G647" s="27">
        <f>G648</f>
        <v>100</v>
      </c>
      <c r="H647" s="361"/>
      <c r="I647" s="339"/>
      <c r="J647" s="130"/>
    </row>
    <row r="648" spans="1:10" s="286" customFormat="1" ht="31.5">
      <c r="A648" s="26" t="s">
        <v>174</v>
      </c>
      <c r="B648" s="367">
        <v>905</v>
      </c>
      <c r="C648" s="207" t="s">
        <v>159</v>
      </c>
      <c r="D648" s="207" t="s">
        <v>181</v>
      </c>
      <c r="E648" s="207" t="s">
        <v>1087</v>
      </c>
      <c r="F648" s="207" t="s">
        <v>175</v>
      </c>
      <c r="G648" s="27">
        <v>100</v>
      </c>
      <c r="H648" s="361" t="s">
        <v>795</v>
      </c>
      <c r="I648" s="339"/>
      <c r="J648" s="130"/>
    </row>
    <row r="649" spans="1:10" ht="15.75">
      <c r="A649" s="43" t="s">
        <v>432</v>
      </c>
      <c r="B649" s="382">
        <v>905</v>
      </c>
      <c r="C649" s="383" t="s">
        <v>275</v>
      </c>
      <c r="D649" s="383"/>
      <c r="E649" s="383"/>
      <c r="F649" s="383"/>
      <c r="G649" s="22">
        <f>G650</f>
        <v>544.7</v>
      </c>
      <c r="J649" s="130"/>
    </row>
    <row r="650" spans="1:10" ht="15.75">
      <c r="A650" s="43" t="s">
        <v>433</v>
      </c>
      <c r="B650" s="382">
        <v>905</v>
      </c>
      <c r="C650" s="383" t="s">
        <v>275</v>
      </c>
      <c r="D650" s="383" t="s">
        <v>159</v>
      </c>
      <c r="E650" s="383"/>
      <c r="F650" s="383"/>
      <c r="G650" s="22">
        <f>G651</f>
        <v>544.7</v>
      </c>
      <c r="J650" s="130"/>
    </row>
    <row r="651" spans="1:10" ht="15.75">
      <c r="A651" s="31" t="s">
        <v>162</v>
      </c>
      <c r="B651" s="367">
        <v>905</v>
      </c>
      <c r="C651" s="207" t="s">
        <v>275</v>
      </c>
      <c r="D651" s="207" t="s">
        <v>159</v>
      </c>
      <c r="E651" s="207" t="s">
        <v>163</v>
      </c>
      <c r="F651" s="207"/>
      <c r="G651" s="27">
        <f>G657+G652</f>
        <v>544.7</v>
      </c>
      <c r="J651" s="130"/>
    </row>
    <row r="652" spans="1:10" ht="31.5" customHeight="1" hidden="1">
      <c r="A652" s="26" t="s">
        <v>226</v>
      </c>
      <c r="B652" s="367">
        <v>905</v>
      </c>
      <c r="C652" s="207" t="s">
        <v>275</v>
      </c>
      <c r="D652" s="207" t="s">
        <v>159</v>
      </c>
      <c r="E652" s="207" t="s">
        <v>227</v>
      </c>
      <c r="F652" s="207"/>
      <c r="G652" s="27">
        <f>G653</f>
        <v>0</v>
      </c>
      <c r="J652" s="130"/>
    </row>
    <row r="653" spans="1:10" ht="47.25" customHeight="1" hidden="1">
      <c r="A653" s="38" t="s">
        <v>434</v>
      </c>
      <c r="B653" s="367">
        <v>905</v>
      </c>
      <c r="C653" s="207" t="s">
        <v>275</v>
      </c>
      <c r="D653" s="207" t="s">
        <v>159</v>
      </c>
      <c r="E653" s="207" t="s">
        <v>435</v>
      </c>
      <c r="F653" s="207"/>
      <c r="G653" s="27">
        <f>G654</f>
        <v>0</v>
      </c>
      <c r="J653" s="130"/>
    </row>
    <row r="654" spans="1:10" ht="31.5" customHeight="1" hidden="1">
      <c r="A654" s="38" t="s">
        <v>436</v>
      </c>
      <c r="B654" s="367">
        <v>905</v>
      </c>
      <c r="C654" s="207" t="s">
        <v>275</v>
      </c>
      <c r="D654" s="207" t="s">
        <v>159</v>
      </c>
      <c r="E654" s="207" t="s">
        <v>437</v>
      </c>
      <c r="F654" s="207"/>
      <c r="G654" s="27">
        <f>G655</f>
        <v>0</v>
      </c>
      <c r="J654" s="130"/>
    </row>
    <row r="655" spans="1:10" ht="31.5" customHeight="1" hidden="1">
      <c r="A655" s="26" t="s">
        <v>172</v>
      </c>
      <c r="B655" s="367">
        <v>905</v>
      </c>
      <c r="C655" s="207" t="s">
        <v>275</v>
      </c>
      <c r="D655" s="207" t="s">
        <v>159</v>
      </c>
      <c r="E655" s="207" t="s">
        <v>437</v>
      </c>
      <c r="F655" s="207" t="s">
        <v>173</v>
      </c>
      <c r="G655" s="27">
        <f>G656</f>
        <v>0</v>
      </c>
      <c r="J655" s="130"/>
    </row>
    <row r="656" spans="1:10" ht="47.25" customHeight="1" hidden="1">
      <c r="A656" s="26" t="s">
        <v>174</v>
      </c>
      <c r="B656" s="367">
        <v>905</v>
      </c>
      <c r="C656" s="207" t="s">
        <v>275</v>
      </c>
      <c r="D656" s="207" t="s">
        <v>159</v>
      </c>
      <c r="E656" s="207" t="s">
        <v>437</v>
      </c>
      <c r="F656" s="207" t="s">
        <v>175</v>
      </c>
      <c r="G656" s="27"/>
      <c r="J656" s="130"/>
    </row>
    <row r="657" spans="1:10" ht="15.75">
      <c r="A657" s="31" t="s">
        <v>182</v>
      </c>
      <c r="B657" s="367">
        <v>905</v>
      </c>
      <c r="C657" s="207" t="s">
        <v>275</v>
      </c>
      <c r="D657" s="207" t="s">
        <v>159</v>
      </c>
      <c r="E657" s="207" t="s">
        <v>183</v>
      </c>
      <c r="F657" s="207"/>
      <c r="G657" s="27">
        <f>G658+G661</f>
        <v>544.7</v>
      </c>
      <c r="J657" s="130"/>
    </row>
    <row r="658" spans="1:10" ht="31.5">
      <c r="A658" s="31" t="s">
        <v>440</v>
      </c>
      <c r="B658" s="367">
        <v>905</v>
      </c>
      <c r="C658" s="207" t="s">
        <v>275</v>
      </c>
      <c r="D658" s="207" t="s">
        <v>159</v>
      </c>
      <c r="E658" s="207" t="s">
        <v>441</v>
      </c>
      <c r="F658" s="207"/>
      <c r="G658" s="27">
        <f>G659</f>
        <v>270.2</v>
      </c>
      <c r="J658" s="130"/>
    </row>
    <row r="659" spans="1:10" ht="31.5">
      <c r="A659" s="26" t="s">
        <v>172</v>
      </c>
      <c r="B659" s="367">
        <v>905</v>
      </c>
      <c r="C659" s="207" t="s">
        <v>275</v>
      </c>
      <c r="D659" s="207" t="s">
        <v>159</v>
      </c>
      <c r="E659" s="207" t="s">
        <v>441</v>
      </c>
      <c r="F659" s="207" t="s">
        <v>173</v>
      </c>
      <c r="G659" s="27">
        <f>G660</f>
        <v>270.2</v>
      </c>
      <c r="J659" s="130"/>
    </row>
    <row r="660" spans="1:10" ht="31.5">
      <c r="A660" s="26" t="s">
        <v>174</v>
      </c>
      <c r="B660" s="367">
        <v>905</v>
      </c>
      <c r="C660" s="207" t="s">
        <v>275</v>
      </c>
      <c r="D660" s="207" t="s">
        <v>159</v>
      </c>
      <c r="E660" s="207" t="s">
        <v>441</v>
      </c>
      <c r="F660" s="207" t="s">
        <v>175</v>
      </c>
      <c r="G660" s="27">
        <f>263.2+7</f>
        <v>270.2</v>
      </c>
      <c r="H660" s="352"/>
      <c r="J660" s="130"/>
    </row>
    <row r="661" spans="1:10" ht="15.75">
      <c r="A661" s="31" t="s">
        <v>581</v>
      </c>
      <c r="B661" s="367">
        <v>905</v>
      </c>
      <c r="C661" s="207" t="s">
        <v>275</v>
      </c>
      <c r="D661" s="207" t="s">
        <v>159</v>
      </c>
      <c r="E661" s="207" t="s">
        <v>582</v>
      </c>
      <c r="F661" s="207"/>
      <c r="G661" s="27">
        <f>G662</f>
        <v>274.5</v>
      </c>
      <c r="J661" s="130"/>
    </row>
    <row r="662" spans="1:10" ht="31.5">
      <c r="A662" s="26" t="s">
        <v>172</v>
      </c>
      <c r="B662" s="367">
        <v>905</v>
      </c>
      <c r="C662" s="207" t="s">
        <v>275</v>
      </c>
      <c r="D662" s="207" t="s">
        <v>159</v>
      </c>
      <c r="E662" s="207" t="s">
        <v>582</v>
      </c>
      <c r="F662" s="207" t="s">
        <v>173</v>
      </c>
      <c r="G662" s="27">
        <f>G663</f>
        <v>274.5</v>
      </c>
      <c r="J662" s="130"/>
    </row>
    <row r="663" spans="1:10" ht="31.5">
      <c r="A663" s="26" t="s">
        <v>174</v>
      </c>
      <c r="B663" s="367">
        <v>905</v>
      </c>
      <c r="C663" s="207" t="s">
        <v>275</v>
      </c>
      <c r="D663" s="207" t="s">
        <v>159</v>
      </c>
      <c r="E663" s="207" t="s">
        <v>582</v>
      </c>
      <c r="F663" s="207" t="s">
        <v>175</v>
      </c>
      <c r="G663" s="27">
        <v>274.5</v>
      </c>
      <c r="H663" s="352"/>
      <c r="J663" s="130"/>
    </row>
    <row r="664" spans="1:10" ht="15.75" customHeight="1" hidden="1">
      <c r="A664" s="45" t="s">
        <v>284</v>
      </c>
      <c r="B664" s="382">
        <v>905</v>
      </c>
      <c r="C664" s="383" t="s">
        <v>285</v>
      </c>
      <c r="D664" s="383"/>
      <c r="E664" s="383"/>
      <c r="F664" s="383"/>
      <c r="G664" s="22">
        <f>G665</f>
        <v>0</v>
      </c>
      <c r="J664" s="130"/>
    </row>
    <row r="665" spans="1:10" ht="15.75" customHeight="1" hidden="1">
      <c r="A665" s="24" t="s">
        <v>442</v>
      </c>
      <c r="B665" s="382">
        <v>905</v>
      </c>
      <c r="C665" s="383" t="s">
        <v>285</v>
      </c>
      <c r="D665" s="383" t="s">
        <v>191</v>
      </c>
      <c r="E665" s="383"/>
      <c r="F665" s="383"/>
      <c r="G665" s="22">
        <f>G666</f>
        <v>0</v>
      </c>
      <c r="J665" s="130"/>
    </row>
    <row r="666" spans="1:10" ht="31.5" customHeight="1" hidden="1">
      <c r="A666" s="26" t="s">
        <v>226</v>
      </c>
      <c r="B666" s="367">
        <v>905</v>
      </c>
      <c r="C666" s="207" t="s">
        <v>285</v>
      </c>
      <c r="D666" s="207" t="s">
        <v>191</v>
      </c>
      <c r="E666" s="207" t="s">
        <v>227</v>
      </c>
      <c r="F666" s="207"/>
      <c r="G666" s="27">
        <f>G667</f>
        <v>0</v>
      </c>
      <c r="J666" s="130"/>
    </row>
    <row r="667" spans="1:10" ht="64.5" customHeight="1" hidden="1">
      <c r="A667" s="33" t="s">
        <v>925</v>
      </c>
      <c r="B667" s="367">
        <v>905</v>
      </c>
      <c r="C667" s="207" t="s">
        <v>285</v>
      </c>
      <c r="D667" s="207" t="s">
        <v>191</v>
      </c>
      <c r="E667" s="207" t="s">
        <v>926</v>
      </c>
      <c r="F667" s="207"/>
      <c r="G667" s="27">
        <f>G668</f>
        <v>0</v>
      </c>
      <c r="J667" s="130"/>
    </row>
    <row r="668" spans="1:10" ht="31.5" customHeight="1" hidden="1">
      <c r="A668" s="26" t="s">
        <v>172</v>
      </c>
      <c r="B668" s="367">
        <v>905</v>
      </c>
      <c r="C668" s="207" t="s">
        <v>285</v>
      </c>
      <c r="D668" s="207" t="s">
        <v>191</v>
      </c>
      <c r="E668" s="207" t="s">
        <v>926</v>
      </c>
      <c r="F668" s="207" t="s">
        <v>173</v>
      </c>
      <c r="G668" s="27">
        <f>G669</f>
        <v>0</v>
      </c>
      <c r="J668" s="130"/>
    </row>
    <row r="669" spans="1:10" ht="47.25" customHeight="1" hidden="1">
      <c r="A669" s="26" t="s">
        <v>174</v>
      </c>
      <c r="B669" s="367">
        <v>905</v>
      </c>
      <c r="C669" s="207" t="s">
        <v>285</v>
      </c>
      <c r="D669" s="207" t="s">
        <v>191</v>
      </c>
      <c r="E669" s="207" t="s">
        <v>926</v>
      </c>
      <c r="F669" s="207" t="s">
        <v>175</v>
      </c>
      <c r="G669" s="27">
        <f>378.5-378.5</f>
        <v>0</v>
      </c>
      <c r="J669" s="130"/>
    </row>
    <row r="670" spans="1:10" ht="31.5">
      <c r="A670" s="20" t="s">
        <v>445</v>
      </c>
      <c r="B670" s="382">
        <v>906</v>
      </c>
      <c r="C670" s="383"/>
      <c r="D670" s="383"/>
      <c r="E670" s="383"/>
      <c r="F670" s="383"/>
      <c r="G670" s="22">
        <f>G692+G671</f>
        <v>300995.69999999995</v>
      </c>
      <c r="J670" s="130"/>
    </row>
    <row r="671" spans="1:10" ht="15.75">
      <c r="A671" s="24" t="s">
        <v>158</v>
      </c>
      <c r="B671" s="382">
        <v>906</v>
      </c>
      <c r="C671" s="383" t="s">
        <v>159</v>
      </c>
      <c r="D671" s="383"/>
      <c r="E671" s="383"/>
      <c r="F671" s="383"/>
      <c r="G671" s="22">
        <f>G672</f>
        <v>20</v>
      </c>
      <c r="J671" s="130"/>
    </row>
    <row r="672" spans="1:10" ht="15.75">
      <c r="A672" s="36" t="s">
        <v>180</v>
      </c>
      <c r="B672" s="382">
        <v>906</v>
      </c>
      <c r="C672" s="383" t="s">
        <v>159</v>
      </c>
      <c r="D672" s="383" t="s">
        <v>181</v>
      </c>
      <c r="E672" s="383"/>
      <c r="F672" s="383"/>
      <c r="G672" s="22">
        <f>G683+G673+G688</f>
        <v>20</v>
      </c>
      <c r="J672" s="130"/>
    </row>
    <row r="673" spans="1:10" ht="31.5">
      <c r="A673" s="26" t="s">
        <v>375</v>
      </c>
      <c r="B673" s="367">
        <v>906</v>
      </c>
      <c r="C673" s="207" t="s">
        <v>159</v>
      </c>
      <c r="D673" s="207" t="s">
        <v>181</v>
      </c>
      <c r="E673" s="207" t="s">
        <v>376</v>
      </c>
      <c r="F673" s="207"/>
      <c r="G673" s="27">
        <f>G674+G680+G677</f>
        <v>20</v>
      </c>
      <c r="J673" s="130"/>
    </row>
    <row r="674" spans="1:10" ht="31.5" hidden="1">
      <c r="A674" s="119" t="s">
        <v>902</v>
      </c>
      <c r="B674" s="367">
        <v>906</v>
      </c>
      <c r="C674" s="207" t="s">
        <v>159</v>
      </c>
      <c r="D674" s="207" t="s">
        <v>181</v>
      </c>
      <c r="E674" s="207" t="s">
        <v>378</v>
      </c>
      <c r="F674" s="207"/>
      <c r="G674" s="27">
        <f>G675</f>
        <v>0</v>
      </c>
      <c r="J674" s="130"/>
    </row>
    <row r="675" spans="1:10" ht="31.5" hidden="1">
      <c r="A675" s="26" t="s">
        <v>172</v>
      </c>
      <c r="B675" s="367">
        <v>906</v>
      </c>
      <c r="C675" s="207" t="s">
        <v>159</v>
      </c>
      <c r="D675" s="207" t="s">
        <v>181</v>
      </c>
      <c r="E675" s="207" t="s">
        <v>378</v>
      </c>
      <c r="F675" s="207" t="s">
        <v>173</v>
      </c>
      <c r="G675" s="27">
        <f>G676</f>
        <v>0</v>
      </c>
      <c r="J675" s="130"/>
    </row>
    <row r="676" spans="1:10" ht="31.5" hidden="1">
      <c r="A676" s="26" t="s">
        <v>174</v>
      </c>
      <c r="B676" s="367">
        <v>906</v>
      </c>
      <c r="C676" s="207" t="s">
        <v>159</v>
      </c>
      <c r="D676" s="207" t="s">
        <v>181</v>
      </c>
      <c r="E676" s="207" t="s">
        <v>378</v>
      </c>
      <c r="F676" s="207" t="s">
        <v>175</v>
      </c>
      <c r="G676" s="27">
        <v>0</v>
      </c>
      <c r="J676" s="130"/>
    </row>
    <row r="677" spans="1:10" ht="45">
      <c r="A677" s="264" t="s">
        <v>996</v>
      </c>
      <c r="B677" s="367">
        <v>906</v>
      </c>
      <c r="C677" s="207" t="s">
        <v>159</v>
      </c>
      <c r="D677" s="207" t="s">
        <v>181</v>
      </c>
      <c r="E677" s="207" t="s">
        <v>519</v>
      </c>
      <c r="F677" s="207"/>
      <c r="G677" s="27">
        <f>G678</f>
        <v>20</v>
      </c>
      <c r="J677" s="130"/>
    </row>
    <row r="678" spans="1:10" ht="31.5">
      <c r="A678" s="26" t="s">
        <v>172</v>
      </c>
      <c r="B678" s="367">
        <v>906</v>
      </c>
      <c r="C678" s="207" t="s">
        <v>159</v>
      </c>
      <c r="D678" s="207" t="s">
        <v>181</v>
      </c>
      <c r="E678" s="207" t="s">
        <v>519</v>
      </c>
      <c r="F678" s="207" t="s">
        <v>173</v>
      </c>
      <c r="G678" s="27">
        <f>G679</f>
        <v>20</v>
      </c>
      <c r="J678" s="130"/>
    </row>
    <row r="679" spans="1:10" ht="31.5">
      <c r="A679" s="26" t="s">
        <v>174</v>
      </c>
      <c r="B679" s="367">
        <v>906</v>
      </c>
      <c r="C679" s="207" t="s">
        <v>159</v>
      </c>
      <c r="D679" s="207" t="s">
        <v>181</v>
      </c>
      <c r="E679" s="207" t="s">
        <v>519</v>
      </c>
      <c r="F679" s="207" t="s">
        <v>175</v>
      </c>
      <c r="G679" s="27">
        <v>20</v>
      </c>
      <c r="J679" s="130"/>
    </row>
    <row r="680" spans="1:10" ht="15.75" hidden="1">
      <c r="A680" s="33" t="s">
        <v>907</v>
      </c>
      <c r="B680" s="367">
        <v>906</v>
      </c>
      <c r="C680" s="207" t="s">
        <v>159</v>
      </c>
      <c r="D680" s="207" t="s">
        <v>181</v>
      </c>
      <c r="E680" s="207" t="s">
        <v>906</v>
      </c>
      <c r="F680" s="207"/>
      <c r="G680" s="27">
        <f>G681</f>
        <v>0</v>
      </c>
      <c r="J680" s="130"/>
    </row>
    <row r="681" spans="1:10" ht="31.5" hidden="1">
      <c r="A681" s="26" t="s">
        <v>172</v>
      </c>
      <c r="B681" s="367">
        <v>906</v>
      </c>
      <c r="C681" s="207" t="s">
        <v>159</v>
      </c>
      <c r="D681" s="207" t="s">
        <v>181</v>
      </c>
      <c r="E681" s="207" t="s">
        <v>906</v>
      </c>
      <c r="F681" s="207" t="s">
        <v>173</v>
      </c>
      <c r="G681" s="27">
        <f>G682</f>
        <v>0</v>
      </c>
      <c r="J681" s="130"/>
    </row>
    <row r="682" spans="1:10" ht="31.5" hidden="1">
      <c r="A682" s="26" t="s">
        <v>174</v>
      </c>
      <c r="B682" s="367">
        <v>906</v>
      </c>
      <c r="C682" s="207" t="s">
        <v>159</v>
      </c>
      <c r="D682" s="207" t="s">
        <v>181</v>
      </c>
      <c r="E682" s="207" t="s">
        <v>906</v>
      </c>
      <c r="F682" s="207" t="s">
        <v>175</v>
      </c>
      <c r="G682" s="27">
        <v>0</v>
      </c>
      <c r="J682" s="130"/>
    </row>
    <row r="683" spans="1:10" ht="18" customHeight="1" hidden="1">
      <c r="A683" s="33" t="s">
        <v>162</v>
      </c>
      <c r="B683" s="367">
        <v>906</v>
      </c>
      <c r="C683" s="207" t="s">
        <v>159</v>
      </c>
      <c r="D683" s="207" t="s">
        <v>181</v>
      </c>
      <c r="E683" s="207" t="s">
        <v>163</v>
      </c>
      <c r="F683" s="207"/>
      <c r="G683" s="27">
        <f>G684</f>
        <v>0</v>
      </c>
      <c r="J683" s="130"/>
    </row>
    <row r="684" spans="1:10" ht="15.75" hidden="1">
      <c r="A684" s="33" t="s">
        <v>182</v>
      </c>
      <c r="B684" s="367">
        <v>906</v>
      </c>
      <c r="C684" s="207" t="s">
        <v>159</v>
      </c>
      <c r="D684" s="207" t="s">
        <v>181</v>
      </c>
      <c r="E684" s="207" t="s">
        <v>183</v>
      </c>
      <c r="F684" s="207"/>
      <c r="G684" s="27">
        <f>G685</f>
        <v>0</v>
      </c>
      <c r="J684" s="130"/>
    </row>
    <row r="685" spans="1:10" ht="15.75" hidden="1">
      <c r="A685" s="26" t="s">
        <v>220</v>
      </c>
      <c r="B685" s="367">
        <v>906</v>
      </c>
      <c r="C685" s="207" t="s">
        <v>159</v>
      </c>
      <c r="D685" s="207" t="s">
        <v>181</v>
      </c>
      <c r="E685" s="207" t="s">
        <v>246</v>
      </c>
      <c r="F685" s="207"/>
      <c r="G685" s="27">
        <f>G686</f>
        <v>0</v>
      </c>
      <c r="J685" s="130"/>
    </row>
    <row r="686" spans="1:10" ht="31.5" hidden="1">
      <c r="A686" s="26" t="s">
        <v>172</v>
      </c>
      <c r="B686" s="367">
        <v>906</v>
      </c>
      <c r="C686" s="207" t="s">
        <v>159</v>
      </c>
      <c r="D686" s="207" t="s">
        <v>181</v>
      </c>
      <c r="E686" s="207" t="s">
        <v>246</v>
      </c>
      <c r="F686" s="207" t="s">
        <v>173</v>
      </c>
      <c r="G686" s="27">
        <f>G687</f>
        <v>0</v>
      </c>
      <c r="J686" s="130"/>
    </row>
    <row r="687" spans="1:10" ht="31.5" hidden="1">
      <c r="A687" s="26" t="s">
        <v>174</v>
      </c>
      <c r="B687" s="367">
        <v>906</v>
      </c>
      <c r="C687" s="207" t="s">
        <v>159</v>
      </c>
      <c r="D687" s="207" t="s">
        <v>181</v>
      </c>
      <c r="E687" s="207" t="s">
        <v>246</v>
      </c>
      <c r="F687" s="207" t="s">
        <v>175</v>
      </c>
      <c r="G687" s="27">
        <v>0</v>
      </c>
      <c r="J687" s="130"/>
    </row>
    <row r="688" spans="1:10" ht="47.25" hidden="1">
      <c r="A688" s="31" t="s">
        <v>782</v>
      </c>
      <c r="B688" s="367">
        <v>906</v>
      </c>
      <c r="C688" s="207" t="s">
        <v>159</v>
      </c>
      <c r="D688" s="207" t="s">
        <v>181</v>
      </c>
      <c r="E688" s="207" t="s">
        <v>780</v>
      </c>
      <c r="F688" s="386"/>
      <c r="G688" s="27">
        <f>G689</f>
        <v>0</v>
      </c>
      <c r="J688" s="130"/>
    </row>
    <row r="689" spans="1:10" ht="31.5" hidden="1">
      <c r="A689" s="120" t="s">
        <v>922</v>
      </c>
      <c r="B689" s="367">
        <v>906</v>
      </c>
      <c r="C689" s="207" t="s">
        <v>159</v>
      </c>
      <c r="D689" s="207" t="s">
        <v>181</v>
      </c>
      <c r="E689" s="207" t="s">
        <v>923</v>
      </c>
      <c r="F689" s="386"/>
      <c r="G689" s="27">
        <f>G690</f>
        <v>0</v>
      </c>
      <c r="J689" s="130"/>
    </row>
    <row r="690" spans="1:10" ht="31.5" hidden="1">
      <c r="A690" s="31" t="s">
        <v>313</v>
      </c>
      <c r="B690" s="367">
        <v>906</v>
      </c>
      <c r="C690" s="207" t="s">
        <v>159</v>
      </c>
      <c r="D690" s="207" t="s">
        <v>181</v>
      </c>
      <c r="E690" s="207" t="s">
        <v>923</v>
      </c>
      <c r="F690" s="386" t="s">
        <v>314</v>
      </c>
      <c r="G690" s="27">
        <f>G691</f>
        <v>0</v>
      </c>
      <c r="J690" s="130"/>
    </row>
    <row r="691" spans="1:10" ht="15.75" hidden="1">
      <c r="A691" s="31" t="s">
        <v>315</v>
      </c>
      <c r="B691" s="367">
        <v>906</v>
      </c>
      <c r="C691" s="207" t="s">
        <v>159</v>
      </c>
      <c r="D691" s="207" t="s">
        <v>181</v>
      </c>
      <c r="E691" s="207" t="s">
        <v>923</v>
      </c>
      <c r="F691" s="386" t="s">
        <v>316</v>
      </c>
      <c r="G691" s="27">
        <v>0</v>
      </c>
      <c r="H691" s="358"/>
      <c r="J691" s="130"/>
    </row>
    <row r="692" spans="1:10" ht="15.75">
      <c r="A692" s="24" t="s">
        <v>304</v>
      </c>
      <c r="B692" s="382">
        <v>906</v>
      </c>
      <c r="C692" s="383" t="s">
        <v>305</v>
      </c>
      <c r="D692" s="383"/>
      <c r="E692" s="383"/>
      <c r="F692" s="383"/>
      <c r="G692" s="22">
        <f>G693+G752+G860+G872+G832</f>
        <v>300975.69999999995</v>
      </c>
      <c r="J692" s="130"/>
    </row>
    <row r="693" spans="1:10" ht="15.75">
      <c r="A693" s="24" t="s">
        <v>446</v>
      </c>
      <c r="B693" s="382">
        <v>906</v>
      </c>
      <c r="C693" s="383" t="s">
        <v>305</v>
      </c>
      <c r="D693" s="383" t="s">
        <v>159</v>
      </c>
      <c r="E693" s="383"/>
      <c r="F693" s="383"/>
      <c r="G693" s="22">
        <f>G694+G729+G721+G725</f>
        <v>98197.7</v>
      </c>
      <c r="H693" s="353"/>
      <c r="I693" s="340"/>
      <c r="J693" s="130"/>
    </row>
    <row r="694" spans="1:10" ht="31.5">
      <c r="A694" s="26" t="s">
        <v>447</v>
      </c>
      <c r="B694" s="367">
        <v>906</v>
      </c>
      <c r="C694" s="207" t="s">
        <v>305</v>
      </c>
      <c r="D694" s="207" t="s">
        <v>159</v>
      </c>
      <c r="E694" s="207" t="s">
        <v>448</v>
      </c>
      <c r="F694" s="207"/>
      <c r="G694" s="27">
        <f>G695+G699</f>
        <v>23831.100000000002</v>
      </c>
      <c r="H694" s="353"/>
      <c r="J694" s="130"/>
    </row>
    <row r="695" spans="1:10" ht="38.25" customHeight="1">
      <c r="A695" s="26" t="s">
        <v>449</v>
      </c>
      <c r="B695" s="367">
        <v>906</v>
      </c>
      <c r="C695" s="207" t="s">
        <v>305</v>
      </c>
      <c r="D695" s="207" t="s">
        <v>159</v>
      </c>
      <c r="E695" s="207" t="s">
        <v>450</v>
      </c>
      <c r="F695" s="207"/>
      <c r="G695" s="27">
        <f>G696</f>
        <v>13527.000000000002</v>
      </c>
      <c r="J695" s="130"/>
    </row>
    <row r="696" spans="1:10" ht="31.5">
      <c r="A696" s="26" t="s">
        <v>451</v>
      </c>
      <c r="B696" s="367">
        <v>906</v>
      </c>
      <c r="C696" s="207" t="s">
        <v>305</v>
      </c>
      <c r="D696" s="207" t="s">
        <v>159</v>
      </c>
      <c r="E696" s="207" t="s">
        <v>452</v>
      </c>
      <c r="F696" s="207"/>
      <c r="G696" s="27">
        <f>G697</f>
        <v>13527.000000000002</v>
      </c>
      <c r="J696" s="130"/>
    </row>
    <row r="697" spans="1:10" ht="31.5">
      <c r="A697" s="26" t="s">
        <v>313</v>
      </c>
      <c r="B697" s="367">
        <v>906</v>
      </c>
      <c r="C697" s="207" t="s">
        <v>305</v>
      </c>
      <c r="D697" s="207" t="s">
        <v>159</v>
      </c>
      <c r="E697" s="207" t="s">
        <v>452</v>
      </c>
      <c r="F697" s="207" t="s">
        <v>314</v>
      </c>
      <c r="G697" s="27">
        <f>G698</f>
        <v>13527.000000000002</v>
      </c>
      <c r="J697" s="130"/>
    </row>
    <row r="698" spans="1:10" ht="15.75">
      <c r="A698" s="26" t="s">
        <v>315</v>
      </c>
      <c r="B698" s="367">
        <v>906</v>
      </c>
      <c r="C698" s="207" t="s">
        <v>305</v>
      </c>
      <c r="D698" s="207" t="s">
        <v>159</v>
      </c>
      <c r="E698" s="207" t="s">
        <v>452</v>
      </c>
      <c r="F698" s="207" t="s">
        <v>316</v>
      </c>
      <c r="G698" s="28">
        <f>15759.4-2232.4-212-486.9-350-303.8-28.8-105.8+1487.3</f>
        <v>13527.000000000002</v>
      </c>
      <c r="H698" s="362" t="s">
        <v>1174</v>
      </c>
      <c r="I698" s="340" t="s">
        <v>1173</v>
      </c>
      <c r="J698" s="130"/>
    </row>
    <row r="699" spans="1:10" ht="30" customHeight="1">
      <c r="A699" s="26" t="s">
        <v>453</v>
      </c>
      <c r="B699" s="367">
        <v>906</v>
      </c>
      <c r="C699" s="207" t="s">
        <v>305</v>
      </c>
      <c r="D699" s="207" t="s">
        <v>159</v>
      </c>
      <c r="E699" s="207" t="s">
        <v>454</v>
      </c>
      <c r="F699" s="207"/>
      <c r="G699" s="27">
        <f>G700+G703+G706+G709+G712+G715+G718</f>
        <v>10304.1</v>
      </c>
      <c r="I699" s="345"/>
      <c r="J699" s="278"/>
    </row>
    <row r="700" spans="1:10" ht="35.25" customHeight="1">
      <c r="A700" s="26" t="s">
        <v>319</v>
      </c>
      <c r="B700" s="367">
        <v>906</v>
      </c>
      <c r="C700" s="207" t="s">
        <v>305</v>
      </c>
      <c r="D700" s="207" t="s">
        <v>159</v>
      </c>
      <c r="E700" s="207" t="s">
        <v>455</v>
      </c>
      <c r="F700" s="207"/>
      <c r="G700" s="27">
        <f>G701</f>
        <v>503.8</v>
      </c>
      <c r="J700" s="130"/>
    </row>
    <row r="701" spans="1:10" ht="35.25" customHeight="1">
      <c r="A701" s="26" t="s">
        <v>313</v>
      </c>
      <c r="B701" s="367">
        <v>906</v>
      </c>
      <c r="C701" s="207" t="s">
        <v>305</v>
      </c>
      <c r="D701" s="207" t="s">
        <v>159</v>
      </c>
      <c r="E701" s="207" t="s">
        <v>455</v>
      </c>
      <c r="F701" s="207" t="s">
        <v>314</v>
      </c>
      <c r="G701" s="27">
        <f>G702</f>
        <v>503.8</v>
      </c>
      <c r="J701" s="130"/>
    </row>
    <row r="702" spans="1:10" ht="15.75" customHeight="1">
      <c r="A702" s="26" t="s">
        <v>315</v>
      </c>
      <c r="B702" s="367">
        <v>906</v>
      </c>
      <c r="C702" s="207" t="s">
        <v>305</v>
      </c>
      <c r="D702" s="207" t="s">
        <v>159</v>
      </c>
      <c r="E702" s="207" t="s">
        <v>455</v>
      </c>
      <c r="F702" s="207" t="s">
        <v>316</v>
      </c>
      <c r="G702" s="27">
        <f>200+303.8</f>
        <v>503.8</v>
      </c>
      <c r="H702" s="363"/>
      <c r="J702" s="130"/>
    </row>
    <row r="703" spans="1:10" ht="21" customHeight="1">
      <c r="A703" s="26" t="s">
        <v>321</v>
      </c>
      <c r="B703" s="367">
        <v>906</v>
      </c>
      <c r="C703" s="207" t="s">
        <v>305</v>
      </c>
      <c r="D703" s="207" t="s">
        <v>159</v>
      </c>
      <c r="E703" s="207" t="s">
        <v>456</v>
      </c>
      <c r="F703" s="207"/>
      <c r="G703" s="27">
        <f>G704</f>
        <v>291.6</v>
      </c>
      <c r="J703" s="130"/>
    </row>
    <row r="704" spans="1:10" ht="31.5">
      <c r="A704" s="26" t="s">
        <v>313</v>
      </c>
      <c r="B704" s="367">
        <v>906</v>
      </c>
      <c r="C704" s="207" t="s">
        <v>305</v>
      </c>
      <c r="D704" s="207" t="s">
        <v>159</v>
      </c>
      <c r="E704" s="207" t="s">
        <v>456</v>
      </c>
      <c r="F704" s="207" t="s">
        <v>314</v>
      </c>
      <c r="G704" s="27">
        <f>G705</f>
        <v>291.6</v>
      </c>
      <c r="J704" s="130"/>
    </row>
    <row r="705" spans="1:10" ht="15.75">
      <c r="A705" s="26" t="s">
        <v>315</v>
      </c>
      <c r="B705" s="367">
        <v>906</v>
      </c>
      <c r="C705" s="207" t="s">
        <v>305</v>
      </c>
      <c r="D705" s="207" t="s">
        <v>159</v>
      </c>
      <c r="E705" s="207" t="s">
        <v>456</v>
      </c>
      <c r="F705" s="207" t="s">
        <v>316</v>
      </c>
      <c r="G705" s="27">
        <f>212+28.8+50.8</f>
        <v>291.6</v>
      </c>
      <c r="H705" s="352" t="s">
        <v>1186</v>
      </c>
      <c r="I705" s="313" t="s">
        <v>1185</v>
      </c>
      <c r="J705" s="130"/>
    </row>
    <row r="706" spans="1:10" ht="31.5">
      <c r="A706" s="26" t="s">
        <v>457</v>
      </c>
      <c r="B706" s="367">
        <v>906</v>
      </c>
      <c r="C706" s="207" t="s">
        <v>305</v>
      </c>
      <c r="D706" s="207" t="s">
        <v>159</v>
      </c>
      <c r="E706" s="207" t="s">
        <v>458</v>
      </c>
      <c r="F706" s="207"/>
      <c r="G706" s="27">
        <f>G707</f>
        <v>5142.8</v>
      </c>
      <c r="J706" s="130"/>
    </row>
    <row r="707" spans="1:10" ht="31.5">
      <c r="A707" s="26" t="s">
        <v>313</v>
      </c>
      <c r="B707" s="367">
        <v>906</v>
      </c>
      <c r="C707" s="207" t="s">
        <v>305</v>
      </c>
      <c r="D707" s="207" t="s">
        <v>159</v>
      </c>
      <c r="E707" s="207" t="s">
        <v>458</v>
      </c>
      <c r="F707" s="207" t="s">
        <v>314</v>
      </c>
      <c r="G707" s="27">
        <f>G708</f>
        <v>5142.8</v>
      </c>
      <c r="J707" s="130"/>
    </row>
    <row r="708" spans="1:10" ht="15.75">
      <c r="A708" s="26" t="s">
        <v>315</v>
      </c>
      <c r="B708" s="367">
        <v>906</v>
      </c>
      <c r="C708" s="207" t="s">
        <v>305</v>
      </c>
      <c r="D708" s="207" t="s">
        <v>159</v>
      </c>
      <c r="E708" s="207" t="s">
        <v>458</v>
      </c>
      <c r="F708" s="207" t="s">
        <v>316</v>
      </c>
      <c r="G708" s="28">
        <f>5168.8-26</f>
        <v>5142.8</v>
      </c>
      <c r="H708" s="351" t="s">
        <v>1223</v>
      </c>
      <c r="J708" s="130"/>
    </row>
    <row r="709" spans="1:10" ht="31.5" customHeight="1">
      <c r="A709" s="26" t="s">
        <v>325</v>
      </c>
      <c r="B709" s="367">
        <v>906</v>
      </c>
      <c r="C709" s="207" t="s">
        <v>305</v>
      </c>
      <c r="D709" s="207" t="s">
        <v>159</v>
      </c>
      <c r="E709" s="207" t="s">
        <v>459</v>
      </c>
      <c r="F709" s="207"/>
      <c r="G709" s="27">
        <f>G710</f>
        <v>26</v>
      </c>
      <c r="J709" s="130"/>
    </row>
    <row r="710" spans="1:10" ht="31.5">
      <c r="A710" s="26" t="s">
        <v>313</v>
      </c>
      <c r="B710" s="367">
        <v>906</v>
      </c>
      <c r="C710" s="207" t="s">
        <v>305</v>
      </c>
      <c r="D710" s="207" t="s">
        <v>159</v>
      </c>
      <c r="E710" s="207" t="s">
        <v>459</v>
      </c>
      <c r="F710" s="207" t="s">
        <v>314</v>
      </c>
      <c r="G710" s="27">
        <f>G711</f>
        <v>26</v>
      </c>
      <c r="J710" s="130"/>
    </row>
    <row r="711" spans="1:10" ht="15.75" customHeight="1">
      <c r="A711" s="26" t="s">
        <v>315</v>
      </c>
      <c r="B711" s="367">
        <v>906</v>
      </c>
      <c r="C711" s="207" t="s">
        <v>305</v>
      </c>
      <c r="D711" s="207" t="s">
        <v>159</v>
      </c>
      <c r="E711" s="207" t="s">
        <v>459</v>
      </c>
      <c r="F711" s="207" t="s">
        <v>316</v>
      </c>
      <c r="G711" s="27">
        <v>26</v>
      </c>
      <c r="H711" s="351" t="s">
        <v>1224</v>
      </c>
      <c r="J711" s="130"/>
    </row>
    <row r="712" spans="1:10" ht="34.5" customHeight="1">
      <c r="A712" s="31" t="s">
        <v>842</v>
      </c>
      <c r="B712" s="367">
        <v>906</v>
      </c>
      <c r="C712" s="207" t="s">
        <v>305</v>
      </c>
      <c r="D712" s="207" t="s">
        <v>159</v>
      </c>
      <c r="E712" s="207" t="s">
        <v>845</v>
      </c>
      <c r="F712" s="207"/>
      <c r="G712" s="27">
        <f>G713</f>
        <v>2850</v>
      </c>
      <c r="J712" s="130"/>
    </row>
    <row r="713" spans="1:10" ht="32.25" customHeight="1">
      <c r="A713" s="31" t="s">
        <v>313</v>
      </c>
      <c r="B713" s="367">
        <v>906</v>
      </c>
      <c r="C713" s="207" t="s">
        <v>305</v>
      </c>
      <c r="D713" s="207" t="s">
        <v>159</v>
      </c>
      <c r="E713" s="207" t="s">
        <v>845</v>
      </c>
      <c r="F713" s="207" t="s">
        <v>314</v>
      </c>
      <c r="G713" s="27">
        <f>G714</f>
        <v>2850</v>
      </c>
      <c r="J713" s="130"/>
    </row>
    <row r="714" spans="1:10" ht="15.75" customHeight="1">
      <c r="A714" s="31" t="s">
        <v>315</v>
      </c>
      <c r="B714" s="367">
        <v>906</v>
      </c>
      <c r="C714" s="207" t="s">
        <v>305</v>
      </c>
      <c r="D714" s="207" t="s">
        <v>159</v>
      </c>
      <c r="E714" s="207" t="s">
        <v>845</v>
      </c>
      <c r="F714" s="207" t="s">
        <v>316</v>
      </c>
      <c r="G714" s="27">
        <f>2500+350</f>
        <v>2850</v>
      </c>
      <c r="H714" s="352"/>
      <c r="J714" s="130"/>
    </row>
    <row r="715" spans="1:10" ht="50.25" customHeight="1">
      <c r="A715" s="31" t="s">
        <v>851</v>
      </c>
      <c r="B715" s="367">
        <v>906</v>
      </c>
      <c r="C715" s="207" t="s">
        <v>305</v>
      </c>
      <c r="D715" s="207" t="s">
        <v>159</v>
      </c>
      <c r="E715" s="207" t="s">
        <v>846</v>
      </c>
      <c r="F715" s="207"/>
      <c r="G715" s="27">
        <f>G716</f>
        <v>1365.4999999999998</v>
      </c>
      <c r="J715" s="278"/>
    </row>
    <row r="716" spans="1:10" ht="31.5">
      <c r="A716" s="31" t="s">
        <v>313</v>
      </c>
      <c r="B716" s="367">
        <v>906</v>
      </c>
      <c r="C716" s="207" t="s">
        <v>305</v>
      </c>
      <c r="D716" s="207" t="s">
        <v>159</v>
      </c>
      <c r="E716" s="207" t="s">
        <v>846</v>
      </c>
      <c r="F716" s="207" t="s">
        <v>314</v>
      </c>
      <c r="G716" s="27">
        <f>G717</f>
        <v>1365.4999999999998</v>
      </c>
      <c r="J716" s="130"/>
    </row>
    <row r="717" spans="1:10" ht="15.75">
      <c r="A717" s="31" t="s">
        <v>315</v>
      </c>
      <c r="B717" s="367">
        <v>906</v>
      </c>
      <c r="C717" s="207" t="s">
        <v>305</v>
      </c>
      <c r="D717" s="207" t="s">
        <v>159</v>
      </c>
      <c r="E717" s="207" t="s">
        <v>846</v>
      </c>
      <c r="F717" s="207" t="s">
        <v>316</v>
      </c>
      <c r="G717" s="27">
        <f>1230.6-457.8+486.9+105.8</f>
        <v>1365.4999999999998</v>
      </c>
      <c r="H717" s="352" t="s">
        <v>1097</v>
      </c>
      <c r="I717" s="313" t="s">
        <v>1097</v>
      </c>
      <c r="J717" s="130"/>
    </row>
    <row r="718" spans="1:10" ht="132.75" customHeight="1">
      <c r="A718" s="26" t="s">
        <v>985</v>
      </c>
      <c r="B718" s="367">
        <v>906</v>
      </c>
      <c r="C718" s="207" t="s">
        <v>305</v>
      </c>
      <c r="D718" s="207" t="s">
        <v>159</v>
      </c>
      <c r="E718" s="207" t="s">
        <v>984</v>
      </c>
      <c r="F718" s="207"/>
      <c r="G718" s="27">
        <f>G719</f>
        <v>124.4</v>
      </c>
      <c r="J718" s="130"/>
    </row>
    <row r="719" spans="1:10" ht="31.5">
      <c r="A719" s="31" t="s">
        <v>313</v>
      </c>
      <c r="B719" s="367">
        <v>906</v>
      </c>
      <c r="C719" s="207" t="s">
        <v>305</v>
      </c>
      <c r="D719" s="207" t="s">
        <v>159</v>
      </c>
      <c r="E719" s="207" t="s">
        <v>984</v>
      </c>
      <c r="F719" s="207" t="s">
        <v>314</v>
      </c>
      <c r="G719" s="27">
        <f>G720</f>
        <v>124.4</v>
      </c>
      <c r="J719" s="130"/>
    </row>
    <row r="720" spans="1:10" ht="18.75" customHeight="1">
      <c r="A720" s="31" t="s">
        <v>315</v>
      </c>
      <c r="B720" s="367">
        <v>906</v>
      </c>
      <c r="C720" s="207" t="s">
        <v>305</v>
      </c>
      <c r="D720" s="207" t="s">
        <v>159</v>
      </c>
      <c r="E720" s="207" t="s">
        <v>984</v>
      </c>
      <c r="F720" s="207" t="s">
        <v>316</v>
      </c>
      <c r="G720" s="27">
        <v>124.4</v>
      </c>
      <c r="J720" s="130"/>
    </row>
    <row r="721" spans="1:10" ht="43.5" customHeight="1">
      <c r="A721" s="33" t="s">
        <v>927</v>
      </c>
      <c r="B721" s="367">
        <v>906</v>
      </c>
      <c r="C721" s="207" t="s">
        <v>305</v>
      </c>
      <c r="D721" s="207" t="s">
        <v>159</v>
      </c>
      <c r="E721" s="207" t="s">
        <v>365</v>
      </c>
      <c r="F721" s="207"/>
      <c r="G721" s="27">
        <f>G722</f>
        <v>697</v>
      </c>
      <c r="J721" s="130"/>
    </row>
    <row r="722" spans="1:10" ht="50.25" customHeight="1">
      <c r="A722" s="33" t="s">
        <v>366</v>
      </c>
      <c r="B722" s="367">
        <v>906</v>
      </c>
      <c r="C722" s="207" t="s">
        <v>305</v>
      </c>
      <c r="D722" s="207" t="s">
        <v>159</v>
      </c>
      <c r="E722" s="207" t="s">
        <v>367</v>
      </c>
      <c r="F722" s="207"/>
      <c r="G722" s="27">
        <f>G723</f>
        <v>697</v>
      </c>
      <c r="J722" s="130"/>
    </row>
    <row r="723" spans="1:10" ht="42" customHeight="1">
      <c r="A723" s="33" t="s">
        <v>313</v>
      </c>
      <c r="B723" s="367">
        <v>906</v>
      </c>
      <c r="C723" s="207" t="s">
        <v>305</v>
      </c>
      <c r="D723" s="207" t="s">
        <v>159</v>
      </c>
      <c r="E723" s="207" t="s">
        <v>367</v>
      </c>
      <c r="F723" s="207" t="s">
        <v>314</v>
      </c>
      <c r="G723" s="27">
        <f>G724</f>
        <v>697</v>
      </c>
      <c r="J723" s="130"/>
    </row>
    <row r="724" spans="1:10" ht="16.5" customHeight="1">
      <c r="A724" s="33" t="s">
        <v>315</v>
      </c>
      <c r="B724" s="367">
        <v>906</v>
      </c>
      <c r="C724" s="207" t="s">
        <v>305</v>
      </c>
      <c r="D724" s="207" t="s">
        <v>159</v>
      </c>
      <c r="E724" s="207" t="s">
        <v>367</v>
      </c>
      <c r="F724" s="207" t="s">
        <v>316</v>
      </c>
      <c r="G724" s="27">
        <v>697</v>
      </c>
      <c r="J724" s="130"/>
    </row>
    <row r="725" spans="1:10" ht="46.5" customHeight="1">
      <c r="A725" s="31" t="s">
        <v>782</v>
      </c>
      <c r="B725" s="367">
        <v>906</v>
      </c>
      <c r="C725" s="207" t="s">
        <v>305</v>
      </c>
      <c r="D725" s="207" t="s">
        <v>159</v>
      </c>
      <c r="E725" s="207" t="s">
        <v>780</v>
      </c>
      <c r="F725" s="386"/>
      <c r="G725" s="27">
        <f>G726</f>
        <v>464.3</v>
      </c>
      <c r="J725" s="130"/>
    </row>
    <row r="726" spans="1:10" ht="36" customHeight="1">
      <c r="A726" s="120" t="s">
        <v>922</v>
      </c>
      <c r="B726" s="367">
        <v>906</v>
      </c>
      <c r="C726" s="207" t="s">
        <v>305</v>
      </c>
      <c r="D726" s="207" t="s">
        <v>159</v>
      </c>
      <c r="E726" s="207" t="s">
        <v>923</v>
      </c>
      <c r="F726" s="386"/>
      <c r="G726" s="27">
        <f>G727</f>
        <v>464.3</v>
      </c>
      <c r="J726" s="130"/>
    </row>
    <row r="727" spans="1:10" ht="35.25" customHeight="1">
      <c r="A727" s="31" t="s">
        <v>313</v>
      </c>
      <c r="B727" s="367">
        <v>906</v>
      </c>
      <c r="C727" s="207" t="s">
        <v>305</v>
      </c>
      <c r="D727" s="207" t="s">
        <v>159</v>
      </c>
      <c r="E727" s="207" t="s">
        <v>923</v>
      </c>
      <c r="F727" s="386" t="s">
        <v>314</v>
      </c>
      <c r="G727" s="27">
        <f>G728</f>
        <v>464.3</v>
      </c>
      <c r="J727" s="130"/>
    </row>
    <row r="728" spans="1:10" ht="15.75" customHeight="1">
      <c r="A728" s="31" t="s">
        <v>315</v>
      </c>
      <c r="B728" s="367">
        <v>906</v>
      </c>
      <c r="C728" s="207" t="s">
        <v>305</v>
      </c>
      <c r="D728" s="207" t="s">
        <v>159</v>
      </c>
      <c r="E728" s="207" t="s">
        <v>923</v>
      </c>
      <c r="F728" s="386" t="s">
        <v>316</v>
      </c>
      <c r="G728" s="27">
        <v>464.3</v>
      </c>
      <c r="J728" s="130"/>
    </row>
    <row r="729" spans="1:10" ht="15.75">
      <c r="A729" s="26" t="s">
        <v>162</v>
      </c>
      <c r="B729" s="367">
        <v>906</v>
      </c>
      <c r="C729" s="207" t="s">
        <v>305</v>
      </c>
      <c r="D729" s="207" t="s">
        <v>159</v>
      </c>
      <c r="E729" s="207" t="s">
        <v>163</v>
      </c>
      <c r="F729" s="207"/>
      <c r="G729" s="27">
        <f>G730</f>
        <v>73205.29999999999</v>
      </c>
      <c r="J729" s="130"/>
    </row>
    <row r="730" spans="1:10" ht="15.75">
      <c r="A730" s="26" t="s">
        <v>226</v>
      </c>
      <c r="B730" s="367">
        <v>906</v>
      </c>
      <c r="C730" s="207" t="s">
        <v>305</v>
      </c>
      <c r="D730" s="207" t="s">
        <v>159</v>
      </c>
      <c r="E730" s="207" t="s">
        <v>227</v>
      </c>
      <c r="F730" s="207"/>
      <c r="G730" s="27">
        <f>G734+G737+G740+G743+G746+G749+G731</f>
        <v>73205.29999999999</v>
      </c>
      <c r="J730" s="130"/>
    </row>
    <row r="731" spans="1:10" ht="114.75" customHeight="1">
      <c r="A731" s="26" t="s">
        <v>465</v>
      </c>
      <c r="B731" s="367">
        <v>906</v>
      </c>
      <c r="C731" s="207" t="s">
        <v>305</v>
      </c>
      <c r="D731" s="207" t="s">
        <v>159</v>
      </c>
      <c r="E731" s="207" t="s">
        <v>974</v>
      </c>
      <c r="F731" s="207"/>
      <c r="G731" s="27">
        <f>G732</f>
        <v>165.9</v>
      </c>
      <c r="J731" s="130"/>
    </row>
    <row r="732" spans="1:10" ht="31.5">
      <c r="A732" s="26" t="s">
        <v>313</v>
      </c>
      <c r="B732" s="367">
        <v>906</v>
      </c>
      <c r="C732" s="207" t="s">
        <v>305</v>
      </c>
      <c r="D732" s="207" t="s">
        <v>159</v>
      </c>
      <c r="E732" s="207" t="s">
        <v>974</v>
      </c>
      <c r="F732" s="207" t="s">
        <v>314</v>
      </c>
      <c r="G732" s="27">
        <f>G733</f>
        <v>165.9</v>
      </c>
      <c r="J732" s="130"/>
    </row>
    <row r="733" spans="1:10" ht="15.75">
      <c r="A733" s="26" t="s">
        <v>315</v>
      </c>
      <c r="B733" s="367">
        <v>906</v>
      </c>
      <c r="C733" s="207" t="s">
        <v>305</v>
      </c>
      <c r="D733" s="207" t="s">
        <v>159</v>
      </c>
      <c r="E733" s="207" t="s">
        <v>974</v>
      </c>
      <c r="F733" s="207" t="s">
        <v>316</v>
      </c>
      <c r="G733" s="27">
        <v>165.9</v>
      </c>
      <c r="J733" s="130"/>
    </row>
    <row r="734" spans="1:10" ht="31.5" customHeight="1" hidden="1">
      <c r="A734" s="26" t="s">
        <v>460</v>
      </c>
      <c r="B734" s="367">
        <v>906</v>
      </c>
      <c r="C734" s="207" t="s">
        <v>305</v>
      </c>
      <c r="D734" s="207" t="s">
        <v>159</v>
      </c>
      <c r="E734" s="207" t="s">
        <v>461</v>
      </c>
      <c r="F734" s="207"/>
      <c r="G734" s="27">
        <f>G735</f>
        <v>0</v>
      </c>
      <c r="J734" s="130"/>
    </row>
    <row r="735" spans="1:10" ht="47.25" customHeight="1" hidden="1">
      <c r="A735" s="26" t="s">
        <v>313</v>
      </c>
      <c r="B735" s="367">
        <v>906</v>
      </c>
      <c r="C735" s="207" t="s">
        <v>305</v>
      </c>
      <c r="D735" s="207" t="s">
        <v>159</v>
      </c>
      <c r="E735" s="207" t="s">
        <v>461</v>
      </c>
      <c r="F735" s="207" t="s">
        <v>314</v>
      </c>
      <c r="G735" s="27">
        <f>G736</f>
        <v>0</v>
      </c>
      <c r="J735" s="130"/>
    </row>
    <row r="736" spans="1:10" ht="15.75" customHeight="1" hidden="1">
      <c r="A736" s="26" t="s">
        <v>315</v>
      </c>
      <c r="B736" s="367">
        <v>906</v>
      </c>
      <c r="C736" s="207" t="s">
        <v>305</v>
      </c>
      <c r="D736" s="207" t="s">
        <v>159</v>
      </c>
      <c r="E736" s="207" t="s">
        <v>461</v>
      </c>
      <c r="F736" s="207" t="s">
        <v>316</v>
      </c>
      <c r="G736" s="27"/>
      <c r="J736" s="130"/>
    </row>
    <row r="737" spans="1:10" ht="47.25">
      <c r="A737" s="33" t="s">
        <v>330</v>
      </c>
      <c r="B737" s="367">
        <v>906</v>
      </c>
      <c r="C737" s="207" t="s">
        <v>305</v>
      </c>
      <c r="D737" s="207" t="s">
        <v>159</v>
      </c>
      <c r="E737" s="207" t="s">
        <v>331</v>
      </c>
      <c r="F737" s="207"/>
      <c r="G737" s="27">
        <f>G738</f>
        <v>363.7</v>
      </c>
      <c r="J737" s="130"/>
    </row>
    <row r="738" spans="1:10" ht="31.5">
      <c r="A738" s="26" t="s">
        <v>313</v>
      </c>
      <c r="B738" s="367">
        <v>906</v>
      </c>
      <c r="C738" s="207" t="s">
        <v>305</v>
      </c>
      <c r="D738" s="207" t="s">
        <v>159</v>
      </c>
      <c r="E738" s="207" t="s">
        <v>331</v>
      </c>
      <c r="F738" s="207" t="s">
        <v>314</v>
      </c>
      <c r="G738" s="27">
        <f>G739</f>
        <v>363.7</v>
      </c>
      <c r="J738" s="130"/>
    </row>
    <row r="739" spans="1:10" ht="15.75">
      <c r="A739" s="26" t="s">
        <v>315</v>
      </c>
      <c r="B739" s="367">
        <v>906</v>
      </c>
      <c r="C739" s="207" t="s">
        <v>305</v>
      </c>
      <c r="D739" s="207" t="s">
        <v>159</v>
      </c>
      <c r="E739" s="207" t="s">
        <v>331</v>
      </c>
      <c r="F739" s="207" t="s">
        <v>316</v>
      </c>
      <c r="G739" s="27">
        <f>416.2-106+53.5</f>
        <v>363.7</v>
      </c>
      <c r="H739" s="351" t="s">
        <v>1108</v>
      </c>
      <c r="J739" s="130"/>
    </row>
    <row r="740" spans="1:10" ht="63">
      <c r="A740" s="33" t="s">
        <v>462</v>
      </c>
      <c r="B740" s="367">
        <v>906</v>
      </c>
      <c r="C740" s="207" t="s">
        <v>305</v>
      </c>
      <c r="D740" s="207" t="s">
        <v>159</v>
      </c>
      <c r="E740" s="207" t="s">
        <v>333</v>
      </c>
      <c r="F740" s="207"/>
      <c r="G740" s="27">
        <f>G741</f>
        <v>1755.8</v>
      </c>
      <c r="J740" s="130"/>
    </row>
    <row r="741" spans="1:10" ht="31.5">
      <c r="A741" s="26" t="s">
        <v>313</v>
      </c>
      <c r="B741" s="367">
        <v>906</v>
      </c>
      <c r="C741" s="207" t="s">
        <v>305</v>
      </c>
      <c r="D741" s="207" t="s">
        <v>159</v>
      </c>
      <c r="E741" s="207" t="s">
        <v>333</v>
      </c>
      <c r="F741" s="207" t="s">
        <v>314</v>
      </c>
      <c r="G741" s="27">
        <f>G742</f>
        <v>1755.8</v>
      </c>
      <c r="J741" s="130"/>
    </row>
    <row r="742" spans="1:10" ht="15.75">
      <c r="A742" s="26" t="s">
        <v>315</v>
      </c>
      <c r="B742" s="367">
        <v>906</v>
      </c>
      <c r="C742" s="207" t="s">
        <v>305</v>
      </c>
      <c r="D742" s="207" t="s">
        <v>159</v>
      </c>
      <c r="E742" s="207" t="s">
        <v>333</v>
      </c>
      <c r="F742" s="207" t="s">
        <v>316</v>
      </c>
      <c r="G742" s="27">
        <f>1900-203.2+59</f>
        <v>1755.8</v>
      </c>
      <c r="J742" s="130"/>
    </row>
    <row r="743" spans="1:10" ht="78.75">
      <c r="A743" s="33" t="s">
        <v>463</v>
      </c>
      <c r="B743" s="367">
        <v>906</v>
      </c>
      <c r="C743" s="207" t="s">
        <v>305</v>
      </c>
      <c r="D743" s="207" t="s">
        <v>159</v>
      </c>
      <c r="E743" s="207" t="s">
        <v>464</v>
      </c>
      <c r="F743" s="207"/>
      <c r="G743" s="27">
        <f>G744</f>
        <v>68207.5</v>
      </c>
      <c r="J743" s="130"/>
    </row>
    <row r="744" spans="1:10" ht="36.75" customHeight="1">
      <c r="A744" s="26" t="s">
        <v>313</v>
      </c>
      <c r="B744" s="367">
        <v>906</v>
      </c>
      <c r="C744" s="207" t="s">
        <v>305</v>
      </c>
      <c r="D744" s="207" t="s">
        <v>159</v>
      </c>
      <c r="E744" s="207" t="s">
        <v>464</v>
      </c>
      <c r="F744" s="207" t="s">
        <v>314</v>
      </c>
      <c r="G744" s="27">
        <f>G745</f>
        <v>68207.5</v>
      </c>
      <c r="J744" s="130"/>
    </row>
    <row r="745" spans="1:10" ht="15.75">
      <c r="A745" s="26" t="s">
        <v>315</v>
      </c>
      <c r="B745" s="367">
        <v>906</v>
      </c>
      <c r="C745" s="207" t="s">
        <v>305</v>
      </c>
      <c r="D745" s="207" t="s">
        <v>159</v>
      </c>
      <c r="E745" s="207" t="s">
        <v>464</v>
      </c>
      <c r="F745" s="207" t="s">
        <v>316</v>
      </c>
      <c r="G745" s="28">
        <f>70227.1-7695.7+1702.7+5993-2019.6</f>
        <v>68207.5</v>
      </c>
      <c r="H745" s="351" t="s">
        <v>1234</v>
      </c>
      <c r="I745" s="280" t="s">
        <v>1238</v>
      </c>
      <c r="J745" s="130"/>
    </row>
    <row r="746" spans="1:10" ht="93.75" customHeight="1">
      <c r="A746" s="33" t="s">
        <v>334</v>
      </c>
      <c r="B746" s="367">
        <v>906</v>
      </c>
      <c r="C746" s="207" t="s">
        <v>305</v>
      </c>
      <c r="D746" s="207" t="s">
        <v>159</v>
      </c>
      <c r="E746" s="207" t="s">
        <v>335</v>
      </c>
      <c r="F746" s="207"/>
      <c r="G746" s="27">
        <f>G747</f>
        <v>2712.4</v>
      </c>
      <c r="J746" s="130"/>
    </row>
    <row r="747" spans="1:10" ht="35.25" customHeight="1">
      <c r="A747" s="26" t="s">
        <v>313</v>
      </c>
      <c r="B747" s="367">
        <v>906</v>
      </c>
      <c r="C747" s="207" t="s">
        <v>305</v>
      </c>
      <c r="D747" s="207" t="s">
        <v>159</v>
      </c>
      <c r="E747" s="207" t="s">
        <v>335</v>
      </c>
      <c r="F747" s="207" t="s">
        <v>314</v>
      </c>
      <c r="G747" s="27">
        <f>G748</f>
        <v>2712.4</v>
      </c>
      <c r="J747" s="130"/>
    </row>
    <row r="748" spans="1:10" ht="15.75">
      <c r="A748" s="26" t="s">
        <v>315</v>
      </c>
      <c r="B748" s="367">
        <v>906</v>
      </c>
      <c r="C748" s="207" t="s">
        <v>305</v>
      </c>
      <c r="D748" s="207" t="s">
        <v>159</v>
      </c>
      <c r="E748" s="207" t="s">
        <v>335</v>
      </c>
      <c r="F748" s="207" t="s">
        <v>316</v>
      </c>
      <c r="G748" s="28">
        <f>2937.2-58.2-49+300-300-117.6</f>
        <v>2712.4</v>
      </c>
      <c r="H748" s="352"/>
      <c r="I748" s="339"/>
      <c r="J748" s="130"/>
    </row>
    <row r="749" spans="1:10" ht="157.5" customHeight="1" hidden="1">
      <c r="A749" s="26" t="s">
        <v>465</v>
      </c>
      <c r="B749" s="367">
        <v>906</v>
      </c>
      <c r="C749" s="207" t="s">
        <v>305</v>
      </c>
      <c r="D749" s="207" t="s">
        <v>159</v>
      </c>
      <c r="E749" s="207" t="s">
        <v>466</v>
      </c>
      <c r="F749" s="207"/>
      <c r="G749" s="28">
        <f>G750</f>
        <v>0</v>
      </c>
      <c r="J749" s="130"/>
    </row>
    <row r="750" spans="1:10" ht="47.25" customHeight="1" hidden="1">
      <c r="A750" s="26" t="s">
        <v>313</v>
      </c>
      <c r="B750" s="367">
        <v>906</v>
      </c>
      <c r="C750" s="207" t="s">
        <v>305</v>
      </c>
      <c r="D750" s="207" t="s">
        <v>159</v>
      </c>
      <c r="E750" s="207" t="s">
        <v>466</v>
      </c>
      <c r="F750" s="207" t="s">
        <v>314</v>
      </c>
      <c r="G750" s="28">
        <f>G751</f>
        <v>0</v>
      </c>
      <c r="J750" s="130"/>
    </row>
    <row r="751" spans="1:10" ht="15.75" customHeight="1" hidden="1">
      <c r="A751" s="26" t="s">
        <v>315</v>
      </c>
      <c r="B751" s="367">
        <v>906</v>
      </c>
      <c r="C751" s="207" t="s">
        <v>305</v>
      </c>
      <c r="D751" s="207" t="s">
        <v>159</v>
      </c>
      <c r="E751" s="207" t="s">
        <v>466</v>
      </c>
      <c r="F751" s="207" t="s">
        <v>316</v>
      </c>
      <c r="G751" s="28">
        <f>276.5-276.5</f>
        <v>0</v>
      </c>
      <c r="J751" s="130"/>
    </row>
    <row r="752" spans="1:10" ht="15.75">
      <c r="A752" s="24" t="s">
        <v>467</v>
      </c>
      <c r="B752" s="382">
        <v>906</v>
      </c>
      <c r="C752" s="383" t="s">
        <v>305</v>
      </c>
      <c r="D752" s="383" t="s">
        <v>254</v>
      </c>
      <c r="E752" s="383"/>
      <c r="F752" s="383"/>
      <c r="G752" s="22">
        <f>G753+G800+G792+G796</f>
        <v>142621.4</v>
      </c>
      <c r="J752" s="130"/>
    </row>
    <row r="753" spans="1:10" ht="31.5">
      <c r="A753" s="26" t="s">
        <v>468</v>
      </c>
      <c r="B753" s="367">
        <v>906</v>
      </c>
      <c r="C753" s="207" t="s">
        <v>305</v>
      </c>
      <c r="D753" s="207" t="s">
        <v>254</v>
      </c>
      <c r="E753" s="207" t="s">
        <v>448</v>
      </c>
      <c r="F753" s="207"/>
      <c r="G753" s="27">
        <f>G754+G758</f>
        <v>39266.5</v>
      </c>
      <c r="J753" s="130"/>
    </row>
    <row r="754" spans="1:10" ht="37.5" customHeight="1">
      <c r="A754" s="26" t="s">
        <v>449</v>
      </c>
      <c r="B754" s="367">
        <v>906</v>
      </c>
      <c r="C754" s="207" t="s">
        <v>305</v>
      </c>
      <c r="D754" s="207" t="s">
        <v>254</v>
      </c>
      <c r="E754" s="207" t="s">
        <v>450</v>
      </c>
      <c r="F754" s="207"/>
      <c r="G754" s="27">
        <f>G755</f>
        <v>29802.399999999998</v>
      </c>
      <c r="J754" s="130"/>
    </row>
    <row r="755" spans="1:10" ht="31.5">
      <c r="A755" s="26" t="s">
        <v>469</v>
      </c>
      <c r="B755" s="367">
        <v>906</v>
      </c>
      <c r="C755" s="207" t="s">
        <v>305</v>
      </c>
      <c r="D755" s="207" t="s">
        <v>254</v>
      </c>
      <c r="E755" s="207" t="s">
        <v>470</v>
      </c>
      <c r="F755" s="207"/>
      <c r="G755" s="27">
        <f>G756</f>
        <v>29802.399999999998</v>
      </c>
      <c r="J755" s="130"/>
    </row>
    <row r="756" spans="1:10" ht="32.25" customHeight="1">
      <c r="A756" s="26" t="s">
        <v>313</v>
      </c>
      <c r="B756" s="367">
        <v>906</v>
      </c>
      <c r="C756" s="207" t="s">
        <v>305</v>
      </c>
      <c r="D756" s="207" t="s">
        <v>254</v>
      </c>
      <c r="E756" s="207" t="s">
        <v>470</v>
      </c>
      <c r="F756" s="207" t="s">
        <v>314</v>
      </c>
      <c r="G756" s="27">
        <f>G757</f>
        <v>29802.399999999998</v>
      </c>
      <c r="J756" s="130"/>
    </row>
    <row r="757" spans="1:11" ht="15.75">
      <c r="A757" s="26" t="s">
        <v>315</v>
      </c>
      <c r="B757" s="367">
        <v>906</v>
      </c>
      <c r="C757" s="207" t="s">
        <v>305</v>
      </c>
      <c r="D757" s="207" t="s">
        <v>254</v>
      </c>
      <c r="E757" s="207" t="s">
        <v>470</v>
      </c>
      <c r="F757" s="207" t="s">
        <v>316</v>
      </c>
      <c r="G757" s="28">
        <f>31456.1-1653.7-621.6-237.5-539.9-92-100-118.2-355.5-54+2118.7</f>
        <v>29802.399999999998</v>
      </c>
      <c r="H757" s="353" t="s">
        <v>1172</v>
      </c>
      <c r="I757" s="416" t="s">
        <v>1171</v>
      </c>
      <c r="J757" s="417"/>
      <c r="K757" s="130"/>
    </row>
    <row r="758" spans="1:11" ht="36" customHeight="1">
      <c r="A758" s="26" t="s">
        <v>472</v>
      </c>
      <c r="B758" s="367">
        <v>906</v>
      </c>
      <c r="C758" s="207" t="s">
        <v>305</v>
      </c>
      <c r="D758" s="207" t="s">
        <v>254</v>
      </c>
      <c r="E758" s="207" t="s">
        <v>473</v>
      </c>
      <c r="F758" s="207"/>
      <c r="G758" s="27">
        <f>G764+G780+G777+G783+G774+G759+G765+G768+G771+G786+G789</f>
        <v>9464.1</v>
      </c>
      <c r="I758" s="345"/>
      <c r="J758" s="278"/>
      <c r="K758" s="278"/>
    </row>
    <row r="759" spans="1:10" ht="63" customHeight="1" hidden="1">
      <c r="A759" s="26" t="s">
        <v>474</v>
      </c>
      <c r="B759" s="367">
        <v>906</v>
      </c>
      <c r="C759" s="207" t="s">
        <v>305</v>
      </c>
      <c r="D759" s="207" t="s">
        <v>254</v>
      </c>
      <c r="E759" s="207" t="s">
        <v>475</v>
      </c>
      <c r="F759" s="207"/>
      <c r="G759" s="27">
        <f>G760</f>
        <v>0</v>
      </c>
      <c r="J759" s="130"/>
    </row>
    <row r="760" spans="1:10" ht="47.25" customHeight="1" hidden="1">
      <c r="A760" s="26" t="s">
        <v>313</v>
      </c>
      <c r="B760" s="367">
        <v>906</v>
      </c>
      <c r="C760" s="207" t="s">
        <v>305</v>
      </c>
      <c r="D760" s="207" t="s">
        <v>254</v>
      </c>
      <c r="E760" s="207" t="s">
        <v>475</v>
      </c>
      <c r="F760" s="207" t="s">
        <v>314</v>
      </c>
      <c r="G760" s="27">
        <f>G761</f>
        <v>0</v>
      </c>
      <c r="J760" s="130"/>
    </row>
    <row r="761" spans="1:10" ht="15.75" customHeight="1" hidden="1">
      <c r="A761" s="26" t="s">
        <v>315</v>
      </c>
      <c r="B761" s="367">
        <v>906</v>
      </c>
      <c r="C761" s="207" t="s">
        <v>305</v>
      </c>
      <c r="D761" s="207" t="s">
        <v>254</v>
      </c>
      <c r="E761" s="207" t="s">
        <v>475</v>
      </c>
      <c r="F761" s="207" t="s">
        <v>316</v>
      </c>
      <c r="G761" s="27">
        <v>0</v>
      </c>
      <c r="J761" s="130"/>
    </row>
    <row r="762" spans="1:10" ht="48.75" customHeight="1" hidden="1">
      <c r="A762" s="26" t="s">
        <v>476</v>
      </c>
      <c r="B762" s="367">
        <v>906</v>
      </c>
      <c r="C762" s="207" t="s">
        <v>305</v>
      </c>
      <c r="D762" s="207" t="s">
        <v>254</v>
      </c>
      <c r="E762" s="207" t="s">
        <v>477</v>
      </c>
      <c r="F762" s="207"/>
      <c r="G762" s="27">
        <f>G763</f>
        <v>0</v>
      </c>
      <c r="J762" s="130"/>
    </row>
    <row r="763" spans="1:10" ht="47.25" customHeight="1" hidden="1">
      <c r="A763" s="26" t="s">
        <v>313</v>
      </c>
      <c r="B763" s="367">
        <v>906</v>
      </c>
      <c r="C763" s="207" t="s">
        <v>305</v>
      </c>
      <c r="D763" s="207" t="s">
        <v>254</v>
      </c>
      <c r="E763" s="207" t="s">
        <v>477</v>
      </c>
      <c r="F763" s="207" t="s">
        <v>314</v>
      </c>
      <c r="G763" s="27">
        <f>G764</f>
        <v>0</v>
      </c>
      <c r="J763" s="130"/>
    </row>
    <row r="764" spans="1:10" ht="15.75" customHeight="1" hidden="1">
      <c r="A764" s="26" t="s">
        <v>315</v>
      </c>
      <c r="B764" s="367">
        <v>906</v>
      </c>
      <c r="C764" s="207" t="s">
        <v>305</v>
      </c>
      <c r="D764" s="207" t="s">
        <v>254</v>
      </c>
      <c r="E764" s="207" t="s">
        <v>477</v>
      </c>
      <c r="F764" s="207" t="s">
        <v>316</v>
      </c>
      <c r="G764" s="27">
        <v>0</v>
      </c>
      <c r="J764" s="130"/>
    </row>
    <row r="765" spans="1:10" ht="52.5" customHeight="1">
      <c r="A765" s="388" t="s">
        <v>478</v>
      </c>
      <c r="B765" s="367">
        <v>906</v>
      </c>
      <c r="C765" s="207" t="s">
        <v>305</v>
      </c>
      <c r="D765" s="207" t="s">
        <v>254</v>
      </c>
      <c r="E765" s="207" t="s">
        <v>479</v>
      </c>
      <c r="F765" s="207"/>
      <c r="G765" s="27">
        <f>G766</f>
        <v>2681.2000000000003</v>
      </c>
      <c r="J765" s="130"/>
    </row>
    <row r="766" spans="1:10" ht="31.5">
      <c r="A766" s="26" t="s">
        <v>313</v>
      </c>
      <c r="B766" s="367">
        <v>906</v>
      </c>
      <c r="C766" s="207" t="s">
        <v>305</v>
      </c>
      <c r="D766" s="207" t="s">
        <v>254</v>
      </c>
      <c r="E766" s="207" t="s">
        <v>479</v>
      </c>
      <c r="F766" s="207" t="s">
        <v>314</v>
      </c>
      <c r="G766" s="27">
        <f>G767</f>
        <v>2681.2000000000003</v>
      </c>
      <c r="J766" s="130"/>
    </row>
    <row r="767" spans="1:10" ht="15.75">
      <c r="A767" s="26" t="s">
        <v>315</v>
      </c>
      <c r="B767" s="367">
        <v>906</v>
      </c>
      <c r="C767" s="207" t="s">
        <v>305</v>
      </c>
      <c r="D767" s="207" t="s">
        <v>254</v>
      </c>
      <c r="E767" s="207" t="s">
        <v>479</v>
      </c>
      <c r="F767" s="207" t="s">
        <v>316</v>
      </c>
      <c r="G767" s="28">
        <f>2967.9-53.7-233</f>
        <v>2681.2000000000003</v>
      </c>
      <c r="H767" s="353" t="s">
        <v>1225</v>
      </c>
      <c r="J767" s="130"/>
    </row>
    <row r="768" spans="1:10" ht="47.25">
      <c r="A768" s="26" t="s">
        <v>480</v>
      </c>
      <c r="B768" s="367">
        <v>906</v>
      </c>
      <c r="C768" s="207" t="s">
        <v>305</v>
      </c>
      <c r="D768" s="207" t="s">
        <v>254</v>
      </c>
      <c r="E768" s="207" t="s">
        <v>481</v>
      </c>
      <c r="F768" s="207"/>
      <c r="G768" s="27">
        <f>G769</f>
        <v>416</v>
      </c>
      <c r="J768" s="130"/>
    </row>
    <row r="769" spans="1:10" ht="31.5">
      <c r="A769" s="26" t="s">
        <v>313</v>
      </c>
      <c r="B769" s="367">
        <v>906</v>
      </c>
      <c r="C769" s="207" t="s">
        <v>305</v>
      </c>
      <c r="D769" s="207" t="s">
        <v>254</v>
      </c>
      <c r="E769" s="207" t="s">
        <v>481</v>
      </c>
      <c r="F769" s="207" t="s">
        <v>314</v>
      </c>
      <c r="G769" s="27">
        <f>G770</f>
        <v>416</v>
      </c>
      <c r="H769" s="353"/>
      <c r="J769" s="130"/>
    </row>
    <row r="770" spans="1:10" ht="15.75">
      <c r="A770" s="26" t="s">
        <v>315</v>
      </c>
      <c r="B770" s="367">
        <v>906</v>
      </c>
      <c r="C770" s="207" t="s">
        <v>305</v>
      </c>
      <c r="D770" s="207" t="s">
        <v>254</v>
      </c>
      <c r="E770" s="207" t="s">
        <v>481</v>
      </c>
      <c r="F770" s="207" t="s">
        <v>316</v>
      </c>
      <c r="G770" s="27">
        <f>320+96</f>
        <v>416</v>
      </c>
      <c r="J770" s="130"/>
    </row>
    <row r="771" spans="1:10" ht="34.5" customHeight="1">
      <c r="A771" s="26" t="s">
        <v>482</v>
      </c>
      <c r="B771" s="367">
        <v>906</v>
      </c>
      <c r="C771" s="207" t="s">
        <v>305</v>
      </c>
      <c r="D771" s="207" t="s">
        <v>254</v>
      </c>
      <c r="E771" s="207" t="s">
        <v>483</v>
      </c>
      <c r="F771" s="207"/>
      <c r="G771" s="27">
        <f>G772</f>
        <v>57.3</v>
      </c>
      <c r="J771" s="130"/>
    </row>
    <row r="772" spans="1:10" ht="33.75" customHeight="1">
      <c r="A772" s="26" t="s">
        <v>313</v>
      </c>
      <c r="B772" s="367">
        <v>906</v>
      </c>
      <c r="C772" s="207" t="s">
        <v>305</v>
      </c>
      <c r="D772" s="207" t="s">
        <v>254</v>
      </c>
      <c r="E772" s="207" t="s">
        <v>483</v>
      </c>
      <c r="F772" s="207" t="s">
        <v>314</v>
      </c>
      <c r="G772" s="27">
        <f>G773</f>
        <v>57.3</v>
      </c>
      <c r="J772" s="130"/>
    </row>
    <row r="773" spans="1:10" ht="15.75" customHeight="1">
      <c r="A773" s="26" t="s">
        <v>315</v>
      </c>
      <c r="B773" s="367">
        <v>906</v>
      </c>
      <c r="C773" s="207" t="s">
        <v>305</v>
      </c>
      <c r="D773" s="207" t="s">
        <v>254</v>
      </c>
      <c r="E773" s="207" t="s">
        <v>483</v>
      </c>
      <c r="F773" s="207" t="s">
        <v>316</v>
      </c>
      <c r="G773" s="27">
        <f>25.3+32</f>
        <v>57.3</v>
      </c>
      <c r="H773" s="352"/>
      <c r="J773" s="130"/>
    </row>
    <row r="774" spans="1:10" ht="33.75" customHeight="1">
      <c r="A774" s="26" t="s">
        <v>319</v>
      </c>
      <c r="B774" s="367">
        <v>906</v>
      </c>
      <c r="C774" s="207" t="s">
        <v>305</v>
      </c>
      <c r="D774" s="207" t="s">
        <v>254</v>
      </c>
      <c r="E774" s="207" t="s">
        <v>484</v>
      </c>
      <c r="F774" s="207"/>
      <c r="G774" s="27">
        <f>G775</f>
        <v>1337.5</v>
      </c>
      <c r="J774" s="130"/>
    </row>
    <row r="775" spans="1:10" ht="31.5">
      <c r="A775" s="26" t="s">
        <v>313</v>
      </c>
      <c r="B775" s="367">
        <v>906</v>
      </c>
      <c r="C775" s="207" t="s">
        <v>305</v>
      </c>
      <c r="D775" s="207" t="s">
        <v>254</v>
      </c>
      <c r="E775" s="207" t="s">
        <v>484</v>
      </c>
      <c r="F775" s="207" t="s">
        <v>314</v>
      </c>
      <c r="G775" s="27">
        <f>G776</f>
        <v>1337.5</v>
      </c>
      <c r="J775" s="130"/>
    </row>
    <row r="776" spans="1:10" ht="15.75">
      <c r="A776" s="26" t="s">
        <v>315</v>
      </c>
      <c r="B776" s="367">
        <v>906</v>
      </c>
      <c r="C776" s="207" t="s">
        <v>305</v>
      </c>
      <c r="D776" s="207" t="s">
        <v>254</v>
      </c>
      <c r="E776" s="207" t="s">
        <v>484</v>
      </c>
      <c r="F776" s="207" t="s">
        <v>316</v>
      </c>
      <c r="G776" s="27">
        <f>300+100-100+700+237.5+100</f>
        <v>1337.5</v>
      </c>
      <c r="H776" s="352"/>
      <c r="I776" s="338"/>
      <c r="J776" s="130"/>
    </row>
    <row r="777" spans="1:10" ht="31.5" customHeight="1">
      <c r="A777" s="26" t="s">
        <v>321</v>
      </c>
      <c r="B777" s="367">
        <v>906</v>
      </c>
      <c r="C777" s="207" t="s">
        <v>305</v>
      </c>
      <c r="D777" s="207" t="s">
        <v>254</v>
      </c>
      <c r="E777" s="207" t="s">
        <v>485</v>
      </c>
      <c r="F777" s="207"/>
      <c r="G777" s="27">
        <f>G778</f>
        <v>547.2</v>
      </c>
      <c r="J777" s="130"/>
    </row>
    <row r="778" spans="1:10" ht="47.25" customHeight="1">
      <c r="A778" s="26" t="s">
        <v>313</v>
      </c>
      <c r="B778" s="367">
        <v>906</v>
      </c>
      <c r="C778" s="207" t="s">
        <v>305</v>
      </c>
      <c r="D778" s="207" t="s">
        <v>254</v>
      </c>
      <c r="E778" s="207" t="s">
        <v>485</v>
      </c>
      <c r="F778" s="207" t="s">
        <v>314</v>
      </c>
      <c r="G778" s="27">
        <f>G779</f>
        <v>547.2</v>
      </c>
      <c r="J778" s="130"/>
    </row>
    <row r="779" spans="1:10" ht="15.75" customHeight="1">
      <c r="A779" s="26" t="s">
        <v>315</v>
      </c>
      <c r="B779" s="367">
        <v>906</v>
      </c>
      <c r="C779" s="207" t="s">
        <v>305</v>
      </c>
      <c r="D779" s="207" t="s">
        <v>254</v>
      </c>
      <c r="E779" s="207" t="s">
        <v>485</v>
      </c>
      <c r="F779" s="207" t="s">
        <v>316</v>
      </c>
      <c r="G779" s="27">
        <f>92+355.5+99.7</f>
        <v>547.2</v>
      </c>
      <c r="H779" s="363" t="s">
        <v>1148</v>
      </c>
      <c r="I779" s="346" t="s">
        <v>1190</v>
      </c>
      <c r="J779" s="130"/>
    </row>
    <row r="780" spans="1:10" ht="31.5">
      <c r="A780" s="26" t="s">
        <v>323</v>
      </c>
      <c r="B780" s="367">
        <v>906</v>
      </c>
      <c r="C780" s="207" t="s">
        <v>305</v>
      </c>
      <c r="D780" s="207" t="s">
        <v>254</v>
      </c>
      <c r="E780" s="207" t="s">
        <v>486</v>
      </c>
      <c r="F780" s="207"/>
      <c r="G780" s="27">
        <f>G781</f>
        <v>224.2</v>
      </c>
      <c r="H780" s="351" t="s">
        <v>1132</v>
      </c>
      <c r="J780" s="130"/>
    </row>
    <row r="781" spans="1:10" ht="31.5">
      <c r="A781" s="26" t="s">
        <v>313</v>
      </c>
      <c r="B781" s="367">
        <v>906</v>
      </c>
      <c r="C781" s="207" t="s">
        <v>305</v>
      </c>
      <c r="D781" s="207" t="s">
        <v>254</v>
      </c>
      <c r="E781" s="207" t="s">
        <v>486</v>
      </c>
      <c r="F781" s="207" t="s">
        <v>314</v>
      </c>
      <c r="G781" s="27">
        <f>G782</f>
        <v>224.2</v>
      </c>
      <c r="J781" s="130"/>
    </row>
    <row r="782" spans="1:10" ht="15.75">
      <c r="A782" s="26" t="s">
        <v>315</v>
      </c>
      <c r="B782" s="367">
        <v>906</v>
      </c>
      <c r="C782" s="207" t="s">
        <v>305</v>
      </c>
      <c r="D782" s="207" t="s">
        <v>254</v>
      </c>
      <c r="E782" s="207" t="s">
        <v>486</v>
      </c>
      <c r="F782" s="207" t="s">
        <v>316</v>
      </c>
      <c r="G782" s="27">
        <f>127-72+72+97.2</f>
        <v>224.2</v>
      </c>
      <c r="J782" s="130"/>
    </row>
    <row r="783" spans="1:10" ht="31.5">
      <c r="A783" s="26" t="s">
        <v>325</v>
      </c>
      <c r="B783" s="367">
        <v>906</v>
      </c>
      <c r="C783" s="207" t="s">
        <v>305</v>
      </c>
      <c r="D783" s="207" t="s">
        <v>254</v>
      </c>
      <c r="E783" s="207" t="s">
        <v>487</v>
      </c>
      <c r="F783" s="207"/>
      <c r="G783" s="27">
        <f>G784</f>
        <v>945.1</v>
      </c>
      <c r="J783" s="130"/>
    </row>
    <row r="784" spans="1:10" ht="31.5">
      <c r="A784" s="26" t="s">
        <v>313</v>
      </c>
      <c r="B784" s="367">
        <v>906</v>
      </c>
      <c r="C784" s="207" t="s">
        <v>305</v>
      </c>
      <c r="D784" s="207" t="s">
        <v>254</v>
      </c>
      <c r="E784" s="207" t="s">
        <v>487</v>
      </c>
      <c r="F784" s="207" t="s">
        <v>314</v>
      </c>
      <c r="G784" s="27">
        <f>G785</f>
        <v>945.1</v>
      </c>
      <c r="J784" s="130"/>
    </row>
    <row r="785" spans="1:10" ht="15.75">
      <c r="A785" s="26" t="s">
        <v>315</v>
      </c>
      <c r="B785" s="367">
        <v>906</v>
      </c>
      <c r="C785" s="207" t="s">
        <v>305</v>
      </c>
      <c r="D785" s="207" t="s">
        <v>254</v>
      </c>
      <c r="E785" s="207" t="s">
        <v>487</v>
      </c>
      <c r="F785" s="207" t="s">
        <v>316</v>
      </c>
      <c r="G785" s="27">
        <f>539.9+118.2+54+233</f>
        <v>945.1</v>
      </c>
      <c r="H785" s="363" t="s">
        <v>1227</v>
      </c>
      <c r="I785" s="346" t="s">
        <v>1226</v>
      </c>
      <c r="J785" s="130"/>
    </row>
    <row r="786" spans="1:10" ht="38.25" customHeight="1">
      <c r="A786" s="31" t="s">
        <v>842</v>
      </c>
      <c r="B786" s="367">
        <v>906</v>
      </c>
      <c r="C786" s="207" t="s">
        <v>305</v>
      </c>
      <c r="D786" s="207" t="s">
        <v>254</v>
      </c>
      <c r="E786" s="207" t="s">
        <v>844</v>
      </c>
      <c r="F786" s="207"/>
      <c r="G786" s="27">
        <f>G787</f>
        <v>2634</v>
      </c>
      <c r="J786" s="130"/>
    </row>
    <row r="787" spans="1:10" ht="31.5">
      <c r="A787" s="31" t="s">
        <v>313</v>
      </c>
      <c r="B787" s="367">
        <v>906</v>
      </c>
      <c r="C787" s="207" t="s">
        <v>305</v>
      </c>
      <c r="D787" s="207" t="s">
        <v>254</v>
      </c>
      <c r="E787" s="207" t="s">
        <v>844</v>
      </c>
      <c r="F787" s="207" t="s">
        <v>314</v>
      </c>
      <c r="G787" s="27">
        <f>G788</f>
        <v>2634</v>
      </c>
      <c r="J787" s="130"/>
    </row>
    <row r="788" spans="1:10" ht="15.75">
      <c r="A788" s="31" t="s">
        <v>315</v>
      </c>
      <c r="B788" s="367">
        <v>906</v>
      </c>
      <c r="C788" s="207" t="s">
        <v>305</v>
      </c>
      <c r="D788" s="207" t="s">
        <v>254</v>
      </c>
      <c r="E788" s="207" t="s">
        <v>844</v>
      </c>
      <c r="F788" s="207" t="s">
        <v>316</v>
      </c>
      <c r="G788" s="297">
        <f>2634</f>
        <v>2634</v>
      </c>
      <c r="H788" s="352"/>
      <c r="J788" s="281"/>
    </row>
    <row r="789" spans="1:10" s="286" customFormat="1" ht="47.25">
      <c r="A789" s="31" t="s">
        <v>1074</v>
      </c>
      <c r="B789" s="367">
        <v>906</v>
      </c>
      <c r="C789" s="207" t="s">
        <v>305</v>
      </c>
      <c r="D789" s="207" t="s">
        <v>254</v>
      </c>
      <c r="E789" s="207" t="s">
        <v>1075</v>
      </c>
      <c r="F789" s="207"/>
      <c r="G789" s="27">
        <f>G790</f>
        <v>621.6</v>
      </c>
      <c r="H789" s="361"/>
      <c r="I789" s="280"/>
      <c r="J789" s="281"/>
    </row>
    <row r="790" spans="1:10" s="286" customFormat="1" ht="31.5">
      <c r="A790" s="33" t="s">
        <v>313</v>
      </c>
      <c r="B790" s="367">
        <v>906</v>
      </c>
      <c r="C790" s="207" t="s">
        <v>305</v>
      </c>
      <c r="D790" s="207" t="s">
        <v>254</v>
      </c>
      <c r="E790" s="207" t="s">
        <v>1075</v>
      </c>
      <c r="F790" s="207" t="s">
        <v>314</v>
      </c>
      <c r="G790" s="27">
        <f>G791</f>
        <v>621.6</v>
      </c>
      <c r="H790" s="361"/>
      <c r="I790" s="280"/>
      <c r="J790" s="281"/>
    </row>
    <row r="791" spans="1:10" s="286" customFormat="1" ht="15.75">
      <c r="A791" s="33" t="s">
        <v>315</v>
      </c>
      <c r="B791" s="367">
        <v>906</v>
      </c>
      <c r="C791" s="207" t="s">
        <v>305</v>
      </c>
      <c r="D791" s="207" t="s">
        <v>254</v>
      </c>
      <c r="E791" s="207" t="s">
        <v>1075</v>
      </c>
      <c r="F791" s="207" t="s">
        <v>316</v>
      </c>
      <c r="G791" s="27">
        <v>621.6</v>
      </c>
      <c r="H791" s="361"/>
      <c r="I791" s="280"/>
      <c r="J791" s="281"/>
    </row>
    <row r="792" spans="1:10" ht="47.25">
      <c r="A792" s="33" t="s">
        <v>927</v>
      </c>
      <c r="B792" s="367">
        <v>906</v>
      </c>
      <c r="C792" s="207" t="s">
        <v>305</v>
      </c>
      <c r="D792" s="207" t="s">
        <v>254</v>
      </c>
      <c r="E792" s="207" t="s">
        <v>365</v>
      </c>
      <c r="F792" s="207"/>
      <c r="G792" s="27">
        <f>G793</f>
        <v>150</v>
      </c>
      <c r="J792" s="278"/>
    </row>
    <row r="793" spans="1:10" ht="47.25">
      <c r="A793" s="33" t="s">
        <v>366</v>
      </c>
      <c r="B793" s="367">
        <v>906</v>
      </c>
      <c r="C793" s="207" t="s">
        <v>305</v>
      </c>
      <c r="D793" s="207" t="s">
        <v>254</v>
      </c>
      <c r="E793" s="207" t="s">
        <v>367</v>
      </c>
      <c r="F793" s="207"/>
      <c r="G793" s="27">
        <f>G794</f>
        <v>150</v>
      </c>
      <c r="J793" s="130"/>
    </row>
    <row r="794" spans="1:10" ht="31.5">
      <c r="A794" s="33" t="s">
        <v>313</v>
      </c>
      <c r="B794" s="367">
        <v>906</v>
      </c>
      <c r="C794" s="207" t="s">
        <v>305</v>
      </c>
      <c r="D794" s="207" t="s">
        <v>254</v>
      </c>
      <c r="E794" s="207" t="s">
        <v>367</v>
      </c>
      <c r="F794" s="207" t="s">
        <v>314</v>
      </c>
      <c r="G794" s="27">
        <f>G795</f>
        <v>150</v>
      </c>
      <c r="J794" s="130"/>
    </row>
    <row r="795" spans="1:10" ht="15.75">
      <c r="A795" s="33" t="s">
        <v>315</v>
      </c>
      <c r="B795" s="367">
        <v>906</v>
      </c>
      <c r="C795" s="207" t="s">
        <v>305</v>
      </c>
      <c r="D795" s="207" t="s">
        <v>254</v>
      </c>
      <c r="E795" s="207" t="s">
        <v>367</v>
      </c>
      <c r="F795" s="207" t="s">
        <v>316</v>
      </c>
      <c r="G795" s="27">
        <v>150</v>
      </c>
      <c r="J795" s="130"/>
    </row>
    <row r="796" spans="1:10" ht="47.25">
      <c r="A796" s="31" t="s">
        <v>782</v>
      </c>
      <c r="B796" s="367">
        <v>906</v>
      </c>
      <c r="C796" s="207" t="s">
        <v>305</v>
      </c>
      <c r="D796" s="207" t="s">
        <v>254</v>
      </c>
      <c r="E796" s="207" t="s">
        <v>780</v>
      </c>
      <c r="F796" s="386"/>
      <c r="G796" s="27">
        <f>G797</f>
        <v>723.3</v>
      </c>
      <c r="J796" s="130"/>
    </row>
    <row r="797" spans="1:10" ht="31.5">
      <c r="A797" s="120" t="s">
        <v>922</v>
      </c>
      <c r="B797" s="367">
        <v>906</v>
      </c>
      <c r="C797" s="207" t="s">
        <v>305</v>
      </c>
      <c r="D797" s="207" t="s">
        <v>254</v>
      </c>
      <c r="E797" s="207" t="s">
        <v>923</v>
      </c>
      <c r="F797" s="386"/>
      <c r="G797" s="27">
        <f>G798</f>
        <v>723.3</v>
      </c>
      <c r="J797" s="130"/>
    </row>
    <row r="798" spans="1:10" ht="39.75" customHeight="1">
      <c r="A798" s="31" t="s">
        <v>313</v>
      </c>
      <c r="B798" s="367">
        <v>906</v>
      </c>
      <c r="C798" s="207" t="s">
        <v>305</v>
      </c>
      <c r="D798" s="207" t="s">
        <v>254</v>
      </c>
      <c r="E798" s="207" t="s">
        <v>923</v>
      </c>
      <c r="F798" s="386" t="s">
        <v>314</v>
      </c>
      <c r="G798" s="27">
        <f>G799</f>
        <v>723.3</v>
      </c>
      <c r="J798" s="130"/>
    </row>
    <row r="799" spans="1:10" ht="15.75">
      <c r="A799" s="31" t="s">
        <v>315</v>
      </c>
      <c r="B799" s="367">
        <v>906</v>
      </c>
      <c r="C799" s="207" t="s">
        <v>305</v>
      </c>
      <c r="D799" s="207" t="s">
        <v>254</v>
      </c>
      <c r="E799" s="207" t="s">
        <v>923</v>
      </c>
      <c r="F799" s="386" t="s">
        <v>316</v>
      </c>
      <c r="G799" s="27">
        <v>723.3</v>
      </c>
      <c r="J799" s="130"/>
    </row>
    <row r="800" spans="1:10" ht="15.75">
      <c r="A800" s="26" t="s">
        <v>162</v>
      </c>
      <c r="B800" s="367">
        <v>906</v>
      </c>
      <c r="C800" s="207" t="s">
        <v>305</v>
      </c>
      <c r="D800" s="207" t="s">
        <v>254</v>
      </c>
      <c r="E800" s="207" t="s">
        <v>163</v>
      </c>
      <c r="F800" s="207"/>
      <c r="G800" s="27">
        <f>G801</f>
        <v>102481.6</v>
      </c>
      <c r="I800" s="412"/>
      <c r="J800" s="412"/>
    </row>
    <row r="801" spans="1:10" ht="15.75">
      <c r="A801" s="26" t="s">
        <v>226</v>
      </c>
      <c r="B801" s="367">
        <v>906</v>
      </c>
      <c r="C801" s="207" t="s">
        <v>305</v>
      </c>
      <c r="D801" s="207" t="s">
        <v>254</v>
      </c>
      <c r="E801" s="207" t="s">
        <v>227</v>
      </c>
      <c r="F801" s="207"/>
      <c r="G801" s="27">
        <f>G808+G811+G817+G820+G823+G826+G802+G805+G829+G814</f>
        <v>102481.6</v>
      </c>
      <c r="J801" s="130"/>
    </row>
    <row r="802" spans="1:10" ht="47.25" customHeight="1" hidden="1">
      <c r="A802" s="26" t="s">
        <v>492</v>
      </c>
      <c r="B802" s="367">
        <v>906</v>
      </c>
      <c r="C802" s="207" t="s">
        <v>305</v>
      </c>
      <c r="D802" s="207" t="s">
        <v>254</v>
      </c>
      <c r="E802" s="207" t="s">
        <v>493</v>
      </c>
      <c r="F802" s="207"/>
      <c r="G802" s="27">
        <f>G803</f>
        <v>0</v>
      </c>
      <c r="J802" s="130"/>
    </row>
    <row r="803" spans="1:10" ht="47.25" customHeight="1" hidden="1">
      <c r="A803" s="26" t="s">
        <v>313</v>
      </c>
      <c r="B803" s="367">
        <v>906</v>
      </c>
      <c r="C803" s="207" t="s">
        <v>305</v>
      </c>
      <c r="D803" s="207" t="s">
        <v>254</v>
      </c>
      <c r="E803" s="207" t="s">
        <v>493</v>
      </c>
      <c r="F803" s="207" t="s">
        <v>314</v>
      </c>
      <c r="G803" s="27">
        <f>G804</f>
        <v>0</v>
      </c>
      <c r="J803" s="130"/>
    </row>
    <row r="804" spans="1:10" ht="15.75" customHeight="1" hidden="1">
      <c r="A804" s="26" t="s">
        <v>315</v>
      </c>
      <c r="B804" s="367">
        <v>906</v>
      </c>
      <c r="C804" s="207" t="s">
        <v>305</v>
      </c>
      <c r="D804" s="207" t="s">
        <v>254</v>
      </c>
      <c r="E804" s="207" t="s">
        <v>493</v>
      </c>
      <c r="F804" s="207" t="s">
        <v>316</v>
      </c>
      <c r="G804" s="27">
        <v>0</v>
      </c>
      <c r="J804" s="130"/>
    </row>
    <row r="805" spans="1:10" ht="15.75" customHeight="1" hidden="1">
      <c r="A805" s="26" t="s">
        <v>494</v>
      </c>
      <c r="B805" s="367">
        <v>906</v>
      </c>
      <c r="C805" s="207" t="s">
        <v>305</v>
      </c>
      <c r="D805" s="207" t="s">
        <v>254</v>
      </c>
      <c r="E805" s="207" t="s">
        <v>495</v>
      </c>
      <c r="F805" s="207"/>
      <c r="G805" s="27">
        <f>G806</f>
        <v>0</v>
      </c>
      <c r="J805" s="130"/>
    </row>
    <row r="806" spans="1:10" ht="47.25" customHeight="1" hidden="1">
      <c r="A806" s="26" t="s">
        <v>313</v>
      </c>
      <c r="B806" s="367">
        <v>906</v>
      </c>
      <c r="C806" s="207" t="s">
        <v>305</v>
      </c>
      <c r="D806" s="207" t="s">
        <v>254</v>
      </c>
      <c r="E806" s="207" t="s">
        <v>495</v>
      </c>
      <c r="F806" s="207" t="s">
        <v>314</v>
      </c>
      <c r="G806" s="27">
        <f>G807</f>
        <v>0</v>
      </c>
      <c r="J806" s="130"/>
    </row>
    <row r="807" spans="1:10" ht="15.75" customHeight="1" hidden="1">
      <c r="A807" s="26" t="s">
        <v>315</v>
      </c>
      <c r="B807" s="367">
        <v>906</v>
      </c>
      <c r="C807" s="207" t="s">
        <v>305</v>
      </c>
      <c r="D807" s="207" t="s">
        <v>254</v>
      </c>
      <c r="E807" s="207" t="s">
        <v>495</v>
      </c>
      <c r="F807" s="207" t="s">
        <v>316</v>
      </c>
      <c r="G807" s="28">
        <v>0</v>
      </c>
      <c r="J807" s="130"/>
    </row>
    <row r="808" spans="1:10" ht="31.5" customHeight="1" hidden="1">
      <c r="A808" s="26" t="s">
        <v>496</v>
      </c>
      <c r="B808" s="367">
        <v>906</v>
      </c>
      <c r="C808" s="207" t="s">
        <v>305</v>
      </c>
      <c r="D808" s="207" t="s">
        <v>254</v>
      </c>
      <c r="E808" s="207" t="s">
        <v>497</v>
      </c>
      <c r="F808" s="207"/>
      <c r="G808" s="27">
        <f>G809</f>
        <v>0</v>
      </c>
      <c r="J808" s="130"/>
    </row>
    <row r="809" spans="1:10" ht="47.25" customHeight="1" hidden="1">
      <c r="A809" s="26" t="s">
        <v>313</v>
      </c>
      <c r="B809" s="367">
        <v>906</v>
      </c>
      <c r="C809" s="207" t="s">
        <v>305</v>
      </c>
      <c r="D809" s="207" t="s">
        <v>254</v>
      </c>
      <c r="E809" s="207" t="s">
        <v>497</v>
      </c>
      <c r="F809" s="207" t="s">
        <v>314</v>
      </c>
      <c r="G809" s="27">
        <f>G810</f>
        <v>0</v>
      </c>
      <c r="J809" s="130"/>
    </row>
    <row r="810" spans="1:10" ht="15.75" customHeight="1" hidden="1">
      <c r="A810" s="26" t="s">
        <v>315</v>
      </c>
      <c r="B810" s="367">
        <v>906</v>
      </c>
      <c r="C810" s="207" t="s">
        <v>305</v>
      </c>
      <c r="D810" s="207" t="s">
        <v>254</v>
      </c>
      <c r="E810" s="207" t="s">
        <v>497</v>
      </c>
      <c r="F810" s="207" t="s">
        <v>316</v>
      </c>
      <c r="G810" s="27">
        <f>157.3-157.3</f>
        <v>0</v>
      </c>
      <c r="J810" s="130"/>
    </row>
    <row r="811" spans="1:10" ht="31.5">
      <c r="A811" s="26" t="s">
        <v>498</v>
      </c>
      <c r="B811" s="367">
        <v>906</v>
      </c>
      <c r="C811" s="207" t="s">
        <v>305</v>
      </c>
      <c r="D811" s="207" t="s">
        <v>254</v>
      </c>
      <c r="E811" s="207" t="s">
        <v>499</v>
      </c>
      <c r="F811" s="207"/>
      <c r="G811" s="27">
        <f>G812</f>
        <v>1668.6</v>
      </c>
      <c r="J811" s="130"/>
    </row>
    <row r="812" spans="1:10" ht="41.25" customHeight="1">
      <c r="A812" s="26" t="s">
        <v>313</v>
      </c>
      <c r="B812" s="367">
        <v>906</v>
      </c>
      <c r="C812" s="207" t="s">
        <v>305</v>
      </c>
      <c r="D812" s="207" t="s">
        <v>254</v>
      </c>
      <c r="E812" s="207" t="s">
        <v>499</v>
      </c>
      <c r="F812" s="207" t="s">
        <v>314</v>
      </c>
      <c r="G812" s="27">
        <f>G813</f>
        <v>1668.6</v>
      </c>
      <c r="J812" s="130"/>
    </row>
    <row r="813" spans="1:10" ht="15.75">
      <c r="A813" s="26" t="s">
        <v>315</v>
      </c>
      <c r="B813" s="367">
        <v>906</v>
      </c>
      <c r="C813" s="207" t="s">
        <v>305</v>
      </c>
      <c r="D813" s="207" t="s">
        <v>254</v>
      </c>
      <c r="E813" s="207" t="s">
        <v>499</v>
      </c>
      <c r="F813" s="207" t="s">
        <v>316</v>
      </c>
      <c r="G813" s="28">
        <f>1317.5+351.1</f>
        <v>1668.6</v>
      </c>
      <c r="H813" s="352"/>
      <c r="J813" s="130"/>
    </row>
    <row r="814" spans="1:10" ht="31.5">
      <c r="A814" s="26" t="s">
        <v>500</v>
      </c>
      <c r="B814" s="367">
        <v>906</v>
      </c>
      <c r="C814" s="207" t="s">
        <v>305</v>
      </c>
      <c r="D814" s="207" t="s">
        <v>254</v>
      </c>
      <c r="E814" s="207" t="s">
        <v>501</v>
      </c>
      <c r="F814" s="207"/>
      <c r="G814" s="28">
        <f>G815</f>
        <v>496.7</v>
      </c>
      <c r="J814" s="130"/>
    </row>
    <row r="815" spans="1:10" ht="39" customHeight="1">
      <c r="A815" s="26" t="s">
        <v>313</v>
      </c>
      <c r="B815" s="367">
        <v>906</v>
      </c>
      <c r="C815" s="207" t="s">
        <v>305</v>
      </c>
      <c r="D815" s="207" t="s">
        <v>254</v>
      </c>
      <c r="E815" s="207" t="s">
        <v>501</v>
      </c>
      <c r="F815" s="207" t="s">
        <v>314</v>
      </c>
      <c r="G815" s="28">
        <f>G816</f>
        <v>496.7</v>
      </c>
      <c r="J815" s="130"/>
    </row>
    <row r="816" spans="1:10" ht="15.75">
      <c r="A816" s="26" t="s">
        <v>315</v>
      </c>
      <c r="B816" s="367">
        <v>906</v>
      </c>
      <c r="C816" s="207" t="s">
        <v>305</v>
      </c>
      <c r="D816" s="207" t="s">
        <v>254</v>
      </c>
      <c r="E816" s="207" t="s">
        <v>501</v>
      </c>
      <c r="F816" s="207" t="s">
        <v>316</v>
      </c>
      <c r="G816" s="28">
        <f>733.5-244.8+8</f>
        <v>496.7</v>
      </c>
      <c r="H816" s="352"/>
      <c r="J816" s="130"/>
    </row>
    <row r="817" spans="1:10" ht="80.25" customHeight="1">
      <c r="A817" s="33" t="s">
        <v>502</v>
      </c>
      <c r="B817" s="367">
        <v>906</v>
      </c>
      <c r="C817" s="207" t="s">
        <v>305</v>
      </c>
      <c r="D817" s="207" t="s">
        <v>254</v>
      </c>
      <c r="E817" s="207" t="s">
        <v>503</v>
      </c>
      <c r="F817" s="207"/>
      <c r="G817" s="27">
        <f>G818</f>
        <v>91447.9</v>
      </c>
      <c r="J817" s="130"/>
    </row>
    <row r="818" spans="1:10" ht="31.5">
      <c r="A818" s="26" t="s">
        <v>313</v>
      </c>
      <c r="B818" s="367">
        <v>906</v>
      </c>
      <c r="C818" s="207" t="s">
        <v>305</v>
      </c>
      <c r="D818" s="207" t="s">
        <v>254</v>
      </c>
      <c r="E818" s="207" t="s">
        <v>503</v>
      </c>
      <c r="F818" s="207" t="s">
        <v>314</v>
      </c>
      <c r="G818" s="27">
        <f>G819</f>
        <v>91447.9</v>
      </c>
      <c r="J818" s="130"/>
    </row>
    <row r="819" spans="1:10" ht="15.75">
      <c r="A819" s="26" t="s">
        <v>315</v>
      </c>
      <c r="B819" s="367">
        <v>906</v>
      </c>
      <c r="C819" s="207" t="s">
        <v>305</v>
      </c>
      <c r="D819" s="207" t="s">
        <v>254</v>
      </c>
      <c r="E819" s="207" t="s">
        <v>503</v>
      </c>
      <c r="F819" s="207" t="s">
        <v>316</v>
      </c>
      <c r="G819" s="28">
        <f>92921.9-359.1-7019.2+2700+1480+2839.2-1114.9</f>
        <v>91447.9</v>
      </c>
      <c r="H819" s="352" t="s">
        <v>1236</v>
      </c>
      <c r="I819" s="313" t="s">
        <v>1237</v>
      </c>
      <c r="J819" s="130"/>
    </row>
    <row r="820" spans="1:10" ht="47.25">
      <c r="A820" s="33" t="s">
        <v>330</v>
      </c>
      <c r="B820" s="367">
        <v>906</v>
      </c>
      <c r="C820" s="207" t="s">
        <v>305</v>
      </c>
      <c r="D820" s="207" t="s">
        <v>254</v>
      </c>
      <c r="E820" s="207" t="s">
        <v>331</v>
      </c>
      <c r="F820" s="207"/>
      <c r="G820" s="27">
        <f>G821</f>
        <v>809.3999999999999</v>
      </c>
      <c r="J820" s="130"/>
    </row>
    <row r="821" spans="1:10" ht="31.5">
      <c r="A821" s="26" t="s">
        <v>313</v>
      </c>
      <c r="B821" s="367">
        <v>906</v>
      </c>
      <c r="C821" s="207" t="s">
        <v>305</v>
      </c>
      <c r="D821" s="207" t="s">
        <v>254</v>
      </c>
      <c r="E821" s="207" t="s">
        <v>331</v>
      </c>
      <c r="F821" s="207" t="s">
        <v>314</v>
      </c>
      <c r="G821" s="27">
        <f>G822</f>
        <v>809.3999999999999</v>
      </c>
      <c r="J821" s="130"/>
    </row>
    <row r="822" spans="1:10" ht="15.75">
      <c r="A822" s="26" t="s">
        <v>315</v>
      </c>
      <c r="B822" s="367">
        <v>906</v>
      </c>
      <c r="C822" s="207" t="s">
        <v>305</v>
      </c>
      <c r="D822" s="207" t="s">
        <v>254</v>
      </c>
      <c r="E822" s="207" t="s">
        <v>331</v>
      </c>
      <c r="F822" s="207" t="s">
        <v>316</v>
      </c>
      <c r="G822" s="28">
        <f>919.9+10.5-324.8+203.8</f>
        <v>809.3999999999999</v>
      </c>
      <c r="H822" s="352" t="s">
        <v>1109</v>
      </c>
      <c r="J822" s="130"/>
    </row>
    <row r="823" spans="1:10" ht="63">
      <c r="A823" s="33" t="s">
        <v>332</v>
      </c>
      <c r="B823" s="367">
        <v>906</v>
      </c>
      <c r="C823" s="207" t="s">
        <v>305</v>
      </c>
      <c r="D823" s="207" t="s">
        <v>254</v>
      </c>
      <c r="E823" s="207" t="s">
        <v>333</v>
      </c>
      <c r="F823" s="207"/>
      <c r="G823" s="27">
        <f>G824</f>
        <v>2442.6</v>
      </c>
      <c r="J823" s="130"/>
    </row>
    <row r="824" spans="1:10" ht="35.25" customHeight="1">
      <c r="A824" s="26" t="s">
        <v>313</v>
      </c>
      <c r="B824" s="367">
        <v>906</v>
      </c>
      <c r="C824" s="207" t="s">
        <v>305</v>
      </c>
      <c r="D824" s="207" t="s">
        <v>254</v>
      </c>
      <c r="E824" s="207" t="s">
        <v>333</v>
      </c>
      <c r="F824" s="207" t="s">
        <v>314</v>
      </c>
      <c r="G824" s="27">
        <f>G825</f>
        <v>2442.6</v>
      </c>
      <c r="J824" s="130"/>
    </row>
    <row r="825" spans="1:10" ht="15.75">
      <c r="A825" s="26" t="s">
        <v>315</v>
      </c>
      <c r="B825" s="367">
        <v>906</v>
      </c>
      <c r="C825" s="207" t="s">
        <v>305</v>
      </c>
      <c r="D825" s="207" t="s">
        <v>254</v>
      </c>
      <c r="E825" s="207" t="s">
        <v>333</v>
      </c>
      <c r="F825" s="207" t="s">
        <v>316</v>
      </c>
      <c r="G825" s="28">
        <f>2238.4+204.2</f>
        <v>2442.6</v>
      </c>
      <c r="H825" s="352"/>
      <c r="J825" s="130"/>
    </row>
    <row r="826" spans="1:10" ht="47.25">
      <c r="A826" s="33" t="s">
        <v>504</v>
      </c>
      <c r="B826" s="367">
        <v>906</v>
      </c>
      <c r="C826" s="207" t="s">
        <v>305</v>
      </c>
      <c r="D826" s="207" t="s">
        <v>254</v>
      </c>
      <c r="E826" s="207" t="s">
        <v>505</v>
      </c>
      <c r="F826" s="207"/>
      <c r="G826" s="27">
        <f>G827</f>
        <v>946.8</v>
      </c>
      <c r="J826" s="130"/>
    </row>
    <row r="827" spans="1:10" ht="31.5">
      <c r="A827" s="26" t="s">
        <v>313</v>
      </c>
      <c r="B827" s="367">
        <v>906</v>
      </c>
      <c r="C827" s="207" t="s">
        <v>305</v>
      </c>
      <c r="D827" s="207" t="s">
        <v>254</v>
      </c>
      <c r="E827" s="207" t="s">
        <v>505</v>
      </c>
      <c r="F827" s="207" t="s">
        <v>314</v>
      </c>
      <c r="G827" s="27">
        <f>G828</f>
        <v>946.8</v>
      </c>
      <c r="J827" s="130"/>
    </row>
    <row r="828" spans="1:10" ht="15.75">
      <c r="A828" s="26" t="s">
        <v>315</v>
      </c>
      <c r="B828" s="367">
        <v>906</v>
      </c>
      <c r="C828" s="207" t="s">
        <v>305</v>
      </c>
      <c r="D828" s="207" t="s">
        <v>254</v>
      </c>
      <c r="E828" s="207" t="s">
        <v>505</v>
      </c>
      <c r="F828" s="207" t="s">
        <v>316</v>
      </c>
      <c r="G828" s="28">
        <f>'прил.№1 доходы'!I140</f>
        <v>946.8</v>
      </c>
      <c r="J828" s="130"/>
    </row>
    <row r="829" spans="1:10" ht="96" customHeight="1">
      <c r="A829" s="33" t="s">
        <v>506</v>
      </c>
      <c r="B829" s="367">
        <v>906</v>
      </c>
      <c r="C829" s="207" t="s">
        <v>305</v>
      </c>
      <c r="D829" s="207" t="s">
        <v>254</v>
      </c>
      <c r="E829" s="207" t="s">
        <v>335</v>
      </c>
      <c r="F829" s="207"/>
      <c r="G829" s="27">
        <f>G830</f>
        <v>4669.6</v>
      </c>
      <c r="J829" s="130"/>
    </row>
    <row r="830" spans="1:10" ht="36" customHeight="1">
      <c r="A830" s="26" t="s">
        <v>313</v>
      </c>
      <c r="B830" s="367">
        <v>906</v>
      </c>
      <c r="C830" s="207" t="s">
        <v>305</v>
      </c>
      <c r="D830" s="207" t="s">
        <v>254</v>
      </c>
      <c r="E830" s="207" t="s">
        <v>335</v>
      </c>
      <c r="F830" s="207" t="s">
        <v>314</v>
      </c>
      <c r="G830" s="27">
        <f>G831</f>
        <v>4669.6</v>
      </c>
      <c r="J830" s="130"/>
    </row>
    <row r="831" spans="1:11" ht="15.75">
      <c r="A831" s="26" t="s">
        <v>315</v>
      </c>
      <c r="B831" s="367">
        <v>906</v>
      </c>
      <c r="C831" s="207" t="s">
        <v>305</v>
      </c>
      <c r="D831" s="207" t="s">
        <v>254</v>
      </c>
      <c r="E831" s="207" t="s">
        <v>335</v>
      </c>
      <c r="F831" s="207" t="s">
        <v>316</v>
      </c>
      <c r="G831" s="28">
        <f>5441.9-1072.9-74.3+582.6+114.9-114.9-207.7</f>
        <v>4669.6</v>
      </c>
      <c r="H831" s="352"/>
      <c r="I831" s="339"/>
      <c r="J831" s="130"/>
      <c r="K831" s="137"/>
    </row>
    <row r="832" spans="1:10" ht="15.75">
      <c r="A832" s="24" t="s">
        <v>306</v>
      </c>
      <c r="B832" s="382">
        <v>906</v>
      </c>
      <c r="C832" s="383" t="s">
        <v>305</v>
      </c>
      <c r="D832" s="383" t="s">
        <v>256</v>
      </c>
      <c r="E832" s="383"/>
      <c r="F832" s="383"/>
      <c r="G832" s="46">
        <f>G833+G849+G845</f>
        <v>33300.49999999999</v>
      </c>
      <c r="J832" s="130"/>
    </row>
    <row r="833" spans="1:10" ht="31.5">
      <c r="A833" s="26" t="s">
        <v>468</v>
      </c>
      <c r="B833" s="367">
        <v>906</v>
      </c>
      <c r="C833" s="207" t="s">
        <v>305</v>
      </c>
      <c r="D833" s="207" t="s">
        <v>256</v>
      </c>
      <c r="E833" s="207" t="s">
        <v>448</v>
      </c>
      <c r="F833" s="207"/>
      <c r="G833" s="28">
        <f>G834+G838</f>
        <v>31457.399999999998</v>
      </c>
      <c r="J833" s="130"/>
    </row>
    <row r="834" spans="1:10" ht="36.75" customHeight="1">
      <c r="A834" s="26" t="s">
        <v>449</v>
      </c>
      <c r="B834" s="367">
        <v>906</v>
      </c>
      <c r="C834" s="207" t="s">
        <v>305</v>
      </c>
      <c r="D834" s="207" t="s">
        <v>256</v>
      </c>
      <c r="E834" s="207" t="s">
        <v>450</v>
      </c>
      <c r="F834" s="207"/>
      <c r="G834" s="28">
        <f>G835</f>
        <v>30768.399999999998</v>
      </c>
      <c r="J834" s="130"/>
    </row>
    <row r="835" spans="1:10" ht="31.5">
      <c r="A835" s="26" t="s">
        <v>311</v>
      </c>
      <c r="B835" s="367">
        <v>906</v>
      </c>
      <c r="C835" s="207" t="s">
        <v>305</v>
      </c>
      <c r="D835" s="207" t="s">
        <v>256</v>
      </c>
      <c r="E835" s="207" t="s">
        <v>471</v>
      </c>
      <c r="F835" s="207"/>
      <c r="G835" s="28">
        <f>G836</f>
        <v>30768.399999999998</v>
      </c>
      <c r="J835" s="130"/>
    </row>
    <row r="836" spans="1:10" ht="36.75" customHeight="1">
      <c r="A836" s="26" t="s">
        <v>313</v>
      </c>
      <c r="B836" s="367">
        <v>906</v>
      </c>
      <c r="C836" s="207" t="s">
        <v>305</v>
      </c>
      <c r="D836" s="207" t="s">
        <v>256</v>
      </c>
      <c r="E836" s="207" t="s">
        <v>471</v>
      </c>
      <c r="F836" s="207" t="s">
        <v>314</v>
      </c>
      <c r="G836" s="28">
        <f>G837</f>
        <v>30768.399999999998</v>
      </c>
      <c r="J836" s="130"/>
    </row>
    <row r="837" spans="1:10" ht="15.75">
      <c r="A837" s="26" t="s">
        <v>315</v>
      </c>
      <c r="B837" s="367">
        <v>906</v>
      </c>
      <c r="C837" s="207" t="s">
        <v>305</v>
      </c>
      <c r="D837" s="207" t="s">
        <v>256</v>
      </c>
      <c r="E837" s="207" t="s">
        <v>471</v>
      </c>
      <c r="F837" s="207" t="s">
        <v>316</v>
      </c>
      <c r="G837" s="28">
        <f>27381+1173.6+2213.8</f>
        <v>30768.399999999998</v>
      </c>
      <c r="H837" s="354"/>
      <c r="I837" s="340"/>
      <c r="J837" s="135"/>
    </row>
    <row r="838" spans="1:10" ht="38.25" customHeight="1">
      <c r="A838" s="33" t="s">
        <v>773</v>
      </c>
      <c r="B838" s="367">
        <v>906</v>
      </c>
      <c r="C838" s="207" t="s">
        <v>305</v>
      </c>
      <c r="D838" s="207" t="s">
        <v>256</v>
      </c>
      <c r="E838" s="207" t="s">
        <v>489</v>
      </c>
      <c r="F838" s="207"/>
      <c r="G838" s="28">
        <f>G839+G844</f>
        <v>689</v>
      </c>
      <c r="J838" s="278"/>
    </row>
    <row r="839" spans="1:10" ht="31.5" hidden="1">
      <c r="A839" s="47" t="s">
        <v>856</v>
      </c>
      <c r="B839" s="367">
        <v>906</v>
      </c>
      <c r="C839" s="207" t="s">
        <v>305</v>
      </c>
      <c r="D839" s="207" t="s">
        <v>256</v>
      </c>
      <c r="E839" s="207" t="s">
        <v>775</v>
      </c>
      <c r="F839" s="207"/>
      <c r="G839" s="28">
        <f>G840</f>
        <v>0</v>
      </c>
      <c r="J839" s="130"/>
    </row>
    <row r="840" spans="1:10" ht="31.5" hidden="1">
      <c r="A840" s="33" t="s">
        <v>313</v>
      </c>
      <c r="B840" s="367">
        <v>906</v>
      </c>
      <c r="C840" s="207" t="s">
        <v>305</v>
      </c>
      <c r="D840" s="207" t="s">
        <v>256</v>
      </c>
      <c r="E840" s="207" t="s">
        <v>775</v>
      </c>
      <c r="F840" s="207" t="s">
        <v>314</v>
      </c>
      <c r="G840" s="28">
        <f>G841</f>
        <v>0</v>
      </c>
      <c r="J840" s="130"/>
    </row>
    <row r="841" spans="1:10" ht="15.75" hidden="1">
      <c r="A841" s="33" t="s">
        <v>315</v>
      </c>
      <c r="B841" s="367">
        <v>906</v>
      </c>
      <c r="C841" s="207" t="s">
        <v>305</v>
      </c>
      <c r="D841" s="207" t="s">
        <v>256</v>
      </c>
      <c r="E841" s="207" t="s">
        <v>775</v>
      </c>
      <c r="F841" s="207" t="s">
        <v>316</v>
      </c>
      <c r="G841" s="28">
        <v>0</v>
      </c>
      <c r="J841" s="130"/>
    </row>
    <row r="842" spans="1:10" ht="37.5" customHeight="1">
      <c r="A842" s="47" t="s">
        <v>842</v>
      </c>
      <c r="B842" s="367">
        <v>906</v>
      </c>
      <c r="C842" s="207" t="s">
        <v>305</v>
      </c>
      <c r="D842" s="207" t="s">
        <v>256</v>
      </c>
      <c r="E842" s="207" t="s">
        <v>843</v>
      </c>
      <c r="F842" s="207"/>
      <c r="G842" s="28">
        <f>G843</f>
        <v>689</v>
      </c>
      <c r="J842" s="130"/>
    </row>
    <row r="843" spans="1:10" ht="32.25" customHeight="1">
      <c r="A843" s="26" t="s">
        <v>313</v>
      </c>
      <c r="B843" s="367">
        <v>906</v>
      </c>
      <c r="C843" s="207" t="s">
        <v>305</v>
      </c>
      <c r="D843" s="207" t="s">
        <v>256</v>
      </c>
      <c r="E843" s="207" t="s">
        <v>843</v>
      </c>
      <c r="F843" s="207" t="s">
        <v>314</v>
      </c>
      <c r="G843" s="28">
        <f>G844</f>
        <v>689</v>
      </c>
      <c r="J843" s="130"/>
    </row>
    <row r="844" spans="1:10" ht="15.75">
      <c r="A844" s="33" t="s">
        <v>315</v>
      </c>
      <c r="B844" s="367">
        <v>906</v>
      </c>
      <c r="C844" s="207" t="s">
        <v>305</v>
      </c>
      <c r="D844" s="207" t="s">
        <v>256</v>
      </c>
      <c r="E844" s="207" t="s">
        <v>843</v>
      </c>
      <c r="F844" s="207" t="s">
        <v>316</v>
      </c>
      <c r="G844" s="28">
        <f>689</f>
        <v>689</v>
      </c>
      <c r="H844" s="352"/>
      <c r="J844" s="130"/>
    </row>
    <row r="845" spans="1:10" ht="54.75" customHeight="1">
      <c r="A845" s="31" t="s">
        <v>782</v>
      </c>
      <c r="B845" s="367">
        <v>906</v>
      </c>
      <c r="C845" s="207" t="s">
        <v>305</v>
      </c>
      <c r="D845" s="207" t="s">
        <v>256</v>
      </c>
      <c r="E845" s="207" t="s">
        <v>780</v>
      </c>
      <c r="F845" s="386"/>
      <c r="G845" s="28">
        <f>G846</f>
        <v>300.7</v>
      </c>
      <c r="J845" s="278"/>
    </row>
    <row r="846" spans="1:10" ht="31.5">
      <c r="A846" s="120" t="s">
        <v>922</v>
      </c>
      <c r="B846" s="367">
        <v>906</v>
      </c>
      <c r="C846" s="207" t="s">
        <v>305</v>
      </c>
      <c r="D846" s="207" t="s">
        <v>256</v>
      </c>
      <c r="E846" s="207" t="s">
        <v>923</v>
      </c>
      <c r="F846" s="386"/>
      <c r="G846" s="28">
        <f>G847</f>
        <v>300.7</v>
      </c>
      <c r="J846" s="130"/>
    </row>
    <row r="847" spans="1:10" ht="34.5" customHeight="1">
      <c r="A847" s="31" t="s">
        <v>313</v>
      </c>
      <c r="B847" s="367">
        <v>906</v>
      </c>
      <c r="C847" s="207" t="s">
        <v>305</v>
      </c>
      <c r="D847" s="207" t="s">
        <v>256</v>
      </c>
      <c r="E847" s="207" t="s">
        <v>923</v>
      </c>
      <c r="F847" s="386" t="s">
        <v>314</v>
      </c>
      <c r="G847" s="28">
        <f>G848</f>
        <v>300.7</v>
      </c>
      <c r="J847" s="130"/>
    </row>
    <row r="848" spans="1:10" ht="15.75">
      <c r="A848" s="31" t="s">
        <v>315</v>
      </c>
      <c r="B848" s="367">
        <v>906</v>
      </c>
      <c r="C848" s="207" t="s">
        <v>305</v>
      </c>
      <c r="D848" s="207" t="s">
        <v>256</v>
      </c>
      <c r="E848" s="207" t="s">
        <v>923</v>
      </c>
      <c r="F848" s="386" t="s">
        <v>316</v>
      </c>
      <c r="G848" s="28">
        <v>300.7</v>
      </c>
      <c r="J848" s="130"/>
    </row>
    <row r="849" spans="1:10" ht="15.75">
      <c r="A849" s="26" t="s">
        <v>507</v>
      </c>
      <c r="B849" s="367">
        <v>906</v>
      </c>
      <c r="C849" s="207" t="s">
        <v>305</v>
      </c>
      <c r="D849" s="207" t="s">
        <v>256</v>
      </c>
      <c r="E849" s="207" t="s">
        <v>163</v>
      </c>
      <c r="F849" s="207"/>
      <c r="G849" s="28">
        <f>G850</f>
        <v>1542.4</v>
      </c>
      <c r="J849" s="130"/>
    </row>
    <row r="850" spans="1:10" ht="15.75">
      <c r="A850" s="26" t="s">
        <v>226</v>
      </c>
      <c r="B850" s="367">
        <v>906</v>
      </c>
      <c r="C850" s="207" t="s">
        <v>305</v>
      </c>
      <c r="D850" s="207" t="s">
        <v>256</v>
      </c>
      <c r="E850" s="207" t="s">
        <v>227</v>
      </c>
      <c r="F850" s="207"/>
      <c r="G850" s="28">
        <f>G851+G854+G857</f>
        <v>1542.4</v>
      </c>
      <c r="J850" s="130"/>
    </row>
    <row r="851" spans="1:10" ht="47.25">
      <c r="A851" s="33" t="s">
        <v>330</v>
      </c>
      <c r="B851" s="367">
        <v>906</v>
      </c>
      <c r="C851" s="207" t="s">
        <v>305</v>
      </c>
      <c r="D851" s="207" t="s">
        <v>256</v>
      </c>
      <c r="E851" s="207" t="s">
        <v>331</v>
      </c>
      <c r="F851" s="207"/>
      <c r="G851" s="28">
        <f>G852</f>
        <v>110</v>
      </c>
      <c r="J851" s="130"/>
    </row>
    <row r="852" spans="1:10" ht="31.5" customHeight="1">
      <c r="A852" s="26" t="s">
        <v>313</v>
      </c>
      <c r="B852" s="367">
        <v>906</v>
      </c>
      <c r="C852" s="207" t="s">
        <v>305</v>
      </c>
      <c r="D852" s="207" t="s">
        <v>256</v>
      </c>
      <c r="E852" s="207" t="s">
        <v>331</v>
      </c>
      <c r="F852" s="207" t="s">
        <v>314</v>
      </c>
      <c r="G852" s="28">
        <f>G853</f>
        <v>110</v>
      </c>
      <c r="J852" s="130"/>
    </row>
    <row r="853" spans="1:10" ht="15.75">
      <c r="A853" s="26" t="s">
        <v>315</v>
      </c>
      <c r="B853" s="367">
        <v>906</v>
      </c>
      <c r="C853" s="207" t="s">
        <v>305</v>
      </c>
      <c r="D853" s="207" t="s">
        <v>256</v>
      </c>
      <c r="E853" s="207" t="s">
        <v>331</v>
      </c>
      <c r="F853" s="207" t="s">
        <v>316</v>
      </c>
      <c r="G853" s="28">
        <v>110</v>
      </c>
      <c r="J853" s="130"/>
    </row>
    <row r="854" spans="1:10" ht="68.25" customHeight="1">
      <c r="A854" s="33" t="s">
        <v>332</v>
      </c>
      <c r="B854" s="367">
        <v>906</v>
      </c>
      <c r="C854" s="207" t="s">
        <v>305</v>
      </c>
      <c r="D854" s="207" t="s">
        <v>256</v>
      </c>
      <c r="E854" s="207" t="s">
        <v>333</v>
      </c>
      <c r="F854" s="207"/>
      <c r="G854" s="28">
        <f>G855</f>
        <v>592.1</v>
      </c>
      <c r="J854" s="130"/>
    </row>
    <row r="855" spans="1:10" ht="32.25" customHeight="1">
      <c r="A855" s="26" t="s">
        <v>313</v>
      </c>
      <c r="B855" s="367">
        <v>906</v>
      </c>
      <c r="C855" s="207" t="s">
        <v>305</v>
      </c>
      <c r="D855" s="207" t="s">
        <v>256</v>
      </c>
      <c r="E855" s="207" t="s">
        <v>333</v>
      </c>
      <c r="F855" s="207" t="s">
        <v>314</v>
      </c>
      <c r="G855" s="28">
        <f>G856</f>
        <v>592.1</v>
      </c>
      <c r="J855" s="130"/>
    </row>
    <row r="856" spans="1:10" ht="15.75">
      <c r="A856" s="26" t="s">
        <v>315</v>
      </c>
      <c r="B856" s="367">
        <v>906</v>
      </c>
      <c r="C856" s="207" t="s">
        <v>305</v>
      </c>
      <c r="D856" s="207" t="s">
        <v>256</v>
      </c>
      <c r="E856" s="207" t="s">
        <v>333</v>
      </c>
      <c r="F856" s="207" t="s">
        <v>316</v>
      </c>
      <c r="G856" s="28">
        <f>572.2+19.9</f>
        <v>592.1</v>
      </c>
      <c r="J856" s="130"/>
    </row>
    <row r="857" spans="1:10" ht="92.25" customHeight="1">
      <c r="A857" s="33" t="s">
        <v>334</v>
      </c>
      <c r="B857" s="367">
        <v>906</v>
      </c>
      <c r="C857" s="207" t="s">
        <v>305</v>
      </c>
      <c r="D857" s="207" t="s">
        <v>256</v>
      </c>
      <c r="E857" s="207" t="s">
        <v>335</v>
      </c>
      <c r="F857" s="207"/>
      <c r="G857" s="28">
        <f>G858</f>
        <v>840.3</v>
      </c>
      <c r="J857" s="130"/>
    </row>
    <row r="858" spans="1:10" ht="32.25" customHeight="1">
      <c r="A858" s="26" t="s">
        <v>313</v>
      </c>
      <c r="B858" s="367">
        <v>906</v>
      </c>
      <c r="C858" s="207" t="s">
        <v>305</v>
      </c>
      <c r="D858" s="207" t="s">
        <v>256</v>
      </c>
      <c r="E858" s="207" t="s">
        <v>335</v>
      </c>
      <c r="F858" s="207" t="s">
        <v>314</v>
      </c>
      <c r="G858" s="28">
        <f>G859</f>
        <v>840.3</v>
      </c>
      <c r="J858" s="130"/>
    </row>
    <row r="859" spans="1:10" ht="15.75">
      <c r="A859" s="26" t="s">
        <v>315</v>
      </c>
      <c r="B859" s="367">
        <v>906</v>
      </c>
      <c r="C859" s="207" t="s">
        <v>305</v>
      </c>
      <c r="D859" s="207" t="s">
        <v>256</v>
      </c>
      <c r="E859" s="207" t="s">
        <v>335</v>
      </c>
      <c r="F859" s="207" t="s">
        <v>316</v>
      </c>
      <c r="G859" s="28">
        <f>900-15.5-44.2</f>
        <v>840.3</v>
      </c>
      <c r="H859" s="354"/>
      <c r="J859" s="130"/>
    </row>
    <row r="860" spans="1:10" ht="21" customHeight="1">
      <c r="A860" s="24" t="s">
        <v>508</v>
      </c>
      <c r="B860" s="382">
        <v>906</v>
      </c>
      <c r="C860" s="383" t="s">
        <v>305</v>
      </c>
      <c r="D860" s="383" t="s">
        <v>305</v>
      </c>
      <c r="E860" s="383"/>
      <c r="F860" s="383"/>
      <c r="G860" s="22">
        <f>G861+G866</f>
        <v>6836.3</v>
      </c>
      <c r="J860" s="130"/>
    </row>
    <row r="861" spans="1:10" ht="31.5">
      <c r="A861" s="26" t="s">
        <v>468</v>
      </c>
      <c r="B861" s="367">
        <v>906</v>
      </c>
      <c r="C861" s="207" t="s">
        <v>305</v>
      </c>
      <c r="D861" s="207" t="s">
        <v>305</v>
      </c>
      <c r="E861" s="207" t="s">
        <v>448</v>
      </c>
      <c r="F861" s="207"/>
      <c r="G861" s="27">
        <f aca="true" t="shared" si="1" ref="G861:G870">G862</f>
        <v>3584</v>
      </c>
      <c r="J861" s="130"/>
    </row>
    <row r="862" spans="1:10" ht="31.5">
      <c r="A862" s="26" t="s">
        <v>509</v>
      </c>
      <c r="B862" s="367">
        <v>906</v>
      </c>
      <c r="C862" s="207" t="s">
        <v>305</v>
      </c>
      <c r="D862" s="207" t="s">
        <v>510</v>
      </c>
      <c r="E862" s="207" t="s">
        <v>511</v>
      </c>
      <c r="F862" s="207"/>
      <c r="G862" s="27">
        <f t="shared" si="1"/>
        <v>3584</v>
      </c>
      <c r="J862" s="130"/>
    </row>
    <row r="863" spans="1:10" ht="31.5">
      <c r="A863" s="26" t="s">
        <v>512</v>
      </c>
      <c r="B863" s="367">
        <v>906</v>
      </c>
      <c r="C863" s="207" t="s">
        <v>305</v>
      </c>
      <c r="D863" s="207" t="s">
        <v>305</v>
      </c>
      <c r="E863" s="207" t="s">
        <v>513</v>
      </c>
      <c r="F863" s="207"/>
      <c r="G863" s="27">
        <f t="shared" si="1"/>
        <v>3584</v>
      </c>
      <c r="J863" s="130"/>
    </row>
    <row r="864" spans="1:10" ht="36" customHeight="1">
      <c r="A864" s="26" t="s">
        <v>313</v>
      </c>
      <c r="B864" s="367">
        <v>906</v>
      </c>
      <c r="C864" s="207" t="s">
        <v>305</v>
      </c>
      <c r="D864" s="207" t="s">
        <v>305</v>
      </c>
      <c r="E864" s="207" t="s">
        <v>513</v>
      </c>
      <c r="F864" s="207" t="s">
        <v>314</v>
      </c>
      <c r="G864" s="27">
        <f t="shared" si="1"/>
        <v>3584</v>
      </c>
      <c r="J864" s="130"/>
    </row>
    <row r="865" spans="1:10" ht="15.75">
      <c r="A865" s="26" t="s">
        <v>315</v>
      </c>
      <c r="B865" s="367">
        <v>906</v>
      </c>
      <c r="C865" s="207" t="s">
        <v>305</v>
      </c>
      <c r="D865" s="207" t="s">
        <v>305</v>
      </c>
      <c r="E865" s="207" t="s">
        <v>513</v>
      </c>
      <c r="F865" s="207" t="s">
        <v>316</v>
      </c>
      <c r="G865" s="28">
        <f>3485+99</f>
        <v>3584</v>
      </c>
      <c r="J865" s="130"/>
    </row>
    <row r="866" spans="1:10" ht="15.75">
      <c r="A866" s="26" t="s">
        <v>162</v>
      </c>
      <c r="B866" s="367">
        <v>906</v>
      </c>
      <c r="C866" s="207" t="s">
        <v>305</v>
      </c>
      <c r="D866" s="207" t="s">
        <v>305</v>
      </c>
      <c r="E866" s="207" t="s">
        <v>163</v>
      </c>
      <c r="F866" s="207"/>
      <c r="G866" s="27">
        <f>G868</f>
        <v>3252.3</v>
      </c>
      <c r="J866" s="130"/>
    </row>
    <row r="867" spans="1:10" ht="63" customHeight="1" hidden="1">
      <c r="A867" s="26" t="s">
        <v>514</v>
      </c>
      <c r="B867" s="367">
        <v>906</v>
      </c>
      <c r="C867" s="207" t="s">
        <v>305</v>
      </c>
      <c r="D867" s="207" t="s">
        <v>305</v>
      </c>
      <c r="E867" s="207" t="s">
        <v>515</v>
      </c>
      <c r="F867" s="207"/>
      <c r="G867" s="27">
        <f>G869</f>
        <v>3252.3</v>
      </c>
      <c r="J867" s="130"/>
    </row>
    <row r="868" spans="1:10" ht="19.5" customHeight="1">
      <c r="A868" s="33" t="s">
        <v>226</v>
      </c>
      <c r="B868" s="367">
        <v>906</v>
      </c>
      <c r="C868" s="207" t="s">
        <v>305</v>
      </c>
      <c r="D868" s="207" t="s">
        <v>305</v>
      </c>
      <c r="E868" s="207" t="s">
        <v>227</v>
      </c>
      <c r="F868" s="207"/>
      <c r="G868" s="27">
        <f>G869</f>
        <v>3252.3</v>
      </c>
      <c r="J868" s="130"/>
    </row>
    <row r="869" spans="1:10" ht="31.5">
      <c r="A869" s="33" t="s">
        <v>516</v>
      </c>
      <c r="B869" s="367">
        <v>906</v>
      </c>
      <c r="C869" s="207" t="s">
        <v>305</v>
      </c>
      <c r="D869" s="207" t="s">
        <v>305</v>
      </c>
      <c r="E869" s="207" t="s">
        <v>517</v>
      </c>
      <c r="F869" s="207"/>
      <c r="G869" s="27">
        <f t="shared" si="1"/>
        <v>3252.3</v>
      </c>
      <c r="I869" s="340"/>
      <c r="J869" s="130"/>
    </row>
    <row r="870" spans="1:10" ht="36.75" customHeight="1">
      <c r="A870" s="26" t="s">
        <v>313</v>
      </c>
      <c r="B870" s="367">
        <v>906</v>
      </c>
      <c r="C870" s="207" t="s">
        <v>305</v>
      </c>
      <c r="D870" s="207" t="s">
        <v>305</v>
      </c>
      <c r="E870" s="207" t="s">
        <v>517</v>
      </c>
      <c r="F870" s="207" t="s">
        <v>314</v>
      </c>
      <c r="G870" s="27">
        <f t="shared" si="1"/>
        <v>3252.3</v>
      </c>
      <c r="J870" s="130"/>
    </row>
    <row r="871" spans="1:10" ht="15.75">
      <c r="A871" s="26" t="s">
        <v>315</v>
      </c>
      <c r="B871" s="367">
        <v>906</v>
      </c>
      <c r="C871" s="207" t="s">
        <v>305</v>
      </c>
      <c r="D871" s="207" t="s">
        <v>305</v>
      </c>
      <c r="E871" s="207" t="s">
        <v>517</v>
      </c>
      <c r="F871" s="207" t="s">
        <v>316</v>
      </c>
      <c r="G871" s="28">
        <f>2124.9+1127.4</f>
        <v>3252.3</v>
      </c>
      <c r="H871" s="352"/>
      <c r="J871" s="130"/>
    </row>
    <row r="872" spans="1:10" ht="15.75">
      <c r="A872" s="24" t="s">
        <v>336</v>
      </c>
      <c r="B872" s="382">
        <v>906</v>
      </c>
      <c r="C872" s="383" t="s">
        <v>305</v>
      </c>
      <c r="D872" s="383" t="s">
        <v>260</v>
      </c>
      <c r="E872" s="383"/>
      <c r="F872" s="383"/>
      <c r="G872" s="22">
        <f>G873+G882</f>
        <v>20019.8</v>
      </c>
      <c r="J872" s="130"/>
    </row>
    <row r="873" spans="1:10" ht="31.5" hidden="1">
      <c r="A873" s="26" t="s">
        <v>375</v>
      </c>
      <c r="B873" s="367">
        <v>906</v>
      </c>
      <c r="C873" s="207" t="s">
        <v>305</v>
      </c>
      <c r="D873" s="207" t="s">
        <v>260</v>
      </c>
      <c r="E873" s="207" t="s">
        <v>376</v>
      </c>
      <c r="F873" s="207"/>
      <c r="G873" s="27">
        <f>G874+G877</f>
        <v>0</v>
      </c>
      <c r="J873" s="130"/>
    </row>
    <row r="874" spans="1:10" ht="31.5" customHeight="1" hidden="1">
      <c r="A874" s="26" t="s">
        <v>377</v>
      </c>
      <c r="B874" s="367">
        <v>906</v>
      </c>
      <c r="C874" s="207" t="s">
        <v>305</v>
      </c>
      <c r="D874" s="207" t="s">
        <v>260</v>
      </c>
      <c r="E874" s="207" t="s">
        <v>378</v>
      </c>
      <c r="F874" s="207"/>
      <c r="G874" s="27">
        <f>G875</f>
        <v>0</v>
      </c>
      <c r="J874" s="130"/>
    </row>
    <row r="875" spans="1:10" ht="31.5" customHeight="1" hidden="1">
      <c r="A875" s="26" t="s">
        <v>172</v>
      </c>
      <c r="B875" s="367">
        <v>906</v>
      </c>
      <c r="C875" s="207" t="s">
        <v>305</v>
      </c>
      <c r="D875" s="207" t="s">
        <v>260</v>
      </c>
      <c r="E875" s="207" t="s">
        <v>378</v>
      </c>
      <c r="F875" s="207" t="s">
        <v>173</v>
      </c>
      <c r="G875" s="27">
        <f>G876</f>
        <v>0</v>
      </c>
      <c r="J875" s="130"/>
    </row>
    <row r="876" spans="1:10" ht="47.25" customHeight="1" hidden="1">
      <c r="A876" s="26" t="s">
        <v>174</v>
      </c>
      <c r="B876" s="367">
        <v>906</v>
      </c>
      <c r="C876" s="207" t="s">
        <v>305</v>
      </c>
      <c r="D876" s="207" t="s">
        <v>260</v>
      </c>
      <c r="E876" s="207" t="s">
        <v>378</v>
      </c>
      <c r="F876" s="207" t="s">
        <v>175</v>
      </c>
      <c r="G876" s="27">
        <f>50-50</f>
        <v>0</v>
      </c>
      <c r="J876" s="130"/>
    </row>
    <row r="877" spans="1:10" ht="47.25" hidden="1">
      <c r="A877" s="26" t="s">
        <v>518</v>
      </c>
      <c r="B877" s="367">
        <v>906</v>
      </c>
      <c r="C877" s="207" t="s">
        <v>305</v>
      </c>
      <c r="D877" s="207" t="s">
        <v>260</v>
      </c>
      <c r="E877" s="207" t="s">
        <v>519</v>
      </c>
      <c r="F877" s="207"/>
      <c r="G877" s="27">
        <f>G878+G880</f>
        <v>0</v>
      </c>
      <c r="J877" s="130"/>
    </row>
    <row r="878" spans="1:10" ht="63" hidden="1">
      <c r="A878" s="26" t="s">
        <v>168</v>
      </c>
      <c r="B878" s="367">
        <v>906</v>
      </c>
      <c r="C878" s="207" t="s">
        <v>305</v>
      </c>
      <c r="D878" s="207" t="s">
        <v>260</v>
      </c>
      <c r="E878" s="207" t="s">
        <v>519</v>
      </c>
      <c r="F878" s="207" t="s">
        <v>169</v>
      </c>
      <c r="G878" s="27">
        <f>G879</f>
        <v>0</v>
      </c>
      <c r="J878" s="130"/>
    </row>
    <row r="879" spans="1:10" ht="15.75" hidden="1">
      <c r="A879" s="26" t="s">
        <v>383</v>
      </c>
      <c r="B879" s="367">
        <v>906</v>
      </c>
      <c r="C879" s="207" t="s">
        <v>305</v>
      </c>
      <c r="D879" s="207" t="s">
        <v>260</v>
      </c>
      <c r="E879" s="207" t="s">
        <v>519</v>
      </c>
      <c r="F879" s="207" t="s">
        <v>250</v>
      </c>
      <c r="G879" s="27">
        <v>0</v>
      </c>
      <c r="J879" s="130"/>
    </row>
    <row r="880" spans="1:10" ht="31.5" hidden="1">
      <c r="A880" s="26" t="s">
        <v>172</v>
      </c>
      <c r="B880" s="367">
        <v>906</v>
      </c>
      <c r="C880" s="207" t="s">
        <v>305</v>
      </c>
      <c r="D880" s="207" t="s">
        <v>260</v>
      </c>
      <c r="E880" s="207" t="s">
        <v>519</v>
      </c>
      <c r="F880" s="207" t="s">
        <v>173</v>
      </c>
      <c r="G880" s="27">
        <f>G881</f>
        <v>0</v>
      </c>
      <c r="J880" s="130"/>
    </row>
    <row r="881" spans="1:10" ht="31.5" hidden="1">
      <c r="A881" s="26" t="s">
        <v>174</v>
      </c>
      <c r="B881" s="367">
        <v>906</v>
      </c>
      <c r="C881" s="207" t="s">
        <v>305</v>
      </c>
      <c r="D881" s="207" t="s">
        <v>260</v>
      </c>
      <c r="E881" s="207" t="s">
        <v>519</v>
      </c>
      <c r="F881" s="207" t="s">
        <v>175</v>
      </c>
      <c r="G881" s="27">
        <v>0</v>
      </c>
      <c r="J881" s="130"/>
    </row>
    <row r="882" spans="1:10" ht="15.75">
      <c r="A882" s="26" t="s">
        <v>162</v>
      </c>
      <c r="B882" s="367">
        <v>906</v>
      </c>
      <c r="C882" s="207" t="s">
        <v>305</v>
      </c>
      <c r="D882" s="207" t="s">
        <v>260</v>
      </c>
      <c r="E882" s="207" t="s">
        <v>163</v>
      </c>
      <c r="F882" s="207"/>
      <c r="G882" s="27">
        <f>G883+G889</f>
        <v>20019.8</v>
      </c>
      <c r="J882" s="130"/>
    </row>
    <row r="883" spans="1:10" ht="31.5">
      <c r="A883" s="26" t="s">
        <v>164</v>
      </c>
      <c r="B883" s="367">
        <v>906</v>
      </c>
      <c r="C883" s="207" t="s">
        <v>305</v>
      </c>
      <c r="D883" s="207" t="s">
        <v>260</v>
      </c>
      <c r="E883" s="207" t="s">
        <v>165</v>
      </c>
      <c r="F883" s="207"/>
      <c r="G883" s="27">
        <f>G884</f>
        <v>5636.6</v>
      </c>
      <c r="J883" s="130"/>
    </row>
    <row r="884" spans="1:10" ht="36.75" customHeight="1">
      <c r="A884" s="26" t="s">
        <v>166</v>
      </c>
      <c r="B884" s="367">
        <v>906</v>
      </c>
      <c r="C884" s="207" t="s">
        <v>305</v>
      </c>
      <c r="D884" s="207" t="s">
        <v>260</v>
      </c>
      <c r="E884" s="207" t="s">
        <v>167</v>
      </c>
      <c r="F884" s="207"/>
      <c r="G884" s="27">
        <f>G885+G887</f>
        <v>5636.6</v>
      </c>
      <c r="J884" s="130"/>
    </row>
    <row r="885" spans="1:10" ht="72" customHeight="1">
      <c r="A885" s="26" t="s">
        <v>168</v>
      </c>
      <c r="B885" s="367">
        <v>906</v>
      </c>
      <c r="C885" s="207" t="s">
        <v>305</v>
      </c>
      <c r="D885" s="207" t="s">
        <v>260</v>
      </c>
      <c r="E885" s="207" t="s">
        <v>167</v>
      </c>
      <c r="F885" s="207" t="s">
        <v>169</v>
      </c>
      <c r="G885" s="27">
        <f>G886</f>
        <v>5381</v>
      </c>
      <c r="J885" s="130"/>
    </row>
    <row r="886" spans="1:10" ht="31.5">
      <c r="A886" s="26" t="s">
        <v>170</v>
      </c>
      <c r="B886" s="367">
        <v>906</v>
      </c>
      <c r="C886" s="207" t="s">
        <v>305</v>
      </c>
      <c r="D886" s="207" t="s">
        <v>260</v>
      </c>
      <c r="E886" s="207" t="s">
        <v>167</v>
      </c>
      <c r="F886" s="207" t="s">
        <v>171</v>
      </c>
      <c r="G886" s="28">
        <f>5430.2-175.2+169.2-98.4+55.2</f>
        <v>5381</v>
      </c>
      <c r="H886" s="352" t="s">
        <v>833</v>
      </c>
      <c r="J886" s="130"/>
    </row>
    <row r="887" spans="1:10" ht="31.5">
      <c r="A887" s="26" t="s">
        <v>172</v>
      </c>
      <c r="B887" s="367">
        <v>906</v>
      </c>
      <c r="C887" s="207" t="s">
        <v>305</v>
      </c>
      <c r="D887" s="207" t="s">
        <v>260</v>
      </c>
      <c r="E887" s="207" t="s">
        <v>167</v>
      </c>
      <c r="F887" s="207" t="s">
        <v>173</v>
      </c>
      <c r="G887" s="27">
        <f>G888</f>
        <v>255.6</v>
      </c>
      <c r="J887" s="130"/>
    </row>
    <row r="888" spans="1:10" ht="31.5">
      <c r="A888" s="26" t="s">
        <v>174</v>
      </c>
      <c r="B888" s="367">
        <v>906</v>
      </c>
      <c r="C888" s="207" t="s">
        <v>305</v>
      </c>
      <c r="D888" s="207" t="s">
        <v>260</v>
      </c>
      <c r="E888" s="207" t="s">
        <v>167</v>
      </c>
      <c r="F888" s="207" t="s">
        <v>175</v>
      </c>
      <c r="G888" s="27">
        <f>157.2+98.4</f>
        <v>255.6</v>
      </c>
      <c r="H888" s="352"/>
      <c r="J888" s="281"/>
    </row>
    <row r="889" spans="1:10" ht="15.75">
      <c r="A889" s="26" t="s">
        <v>182</v>
      </c>
      <c r="B889" s="367">
        <v>906</v>
      </c>
      <c r="C889" s="207" t="s">
        <v>305</v>
      </c>
      <c r="D889" s="207" t="s">
        <v>260</v>
      </c>
      <c r="E889" s="207" t="s">
        <v>183</v>
      </c>
      <c r="F889" s="207"/>
      <c r="G889" s="27">
        <f>G893+G890</f>
        <v>14383.199999999999</v>
      </c>
      <c r="J889" s="130"/>
    </row>
    <row r="890" spans="1:10" ht="15.75">
      <c r="A890" s="26" t="s">
        <v>520</v>
      </c>
      <c r="B890" s="367">
        <v>906</v>
      </c>
      <c r="C890" s="207" t="s">
        <v>305</v>
      </c>
      <c r="D890" s="207" t="s">
        <v>260</v>
      </c>
      <c r="E890" s="207" t="s">
        <v>521</v>
      </c>
      <c r="F890" s="207"/>
      <c r="G890" s="27">
        <f>G891</f>
        <v>600</v>
      </c>
      <c r="J890" s="130"/>
    </row>
    <row r="891" spans="1:10" ht="31.5">
      <c r="A891" s="26" t="s">
        <v>172</v>
      </c>
      <c r="B891" s="367">
        <v>906</v>
      </c>
      <c r="C891" s="207" t="s">
        <v>305</v>
      </c>
      <c r="D891" s="207" t="s">
        <v>260</v>
      </c>
      <c r="E891" s="207" t="s">
        <v>521</v>
      </c>
      <c r="F891" s="207" t="s">
        <v>173</v>
      </c>
      <c r="G891" s="27">
        <f>G892</f>
        <v>600</v>
      </c>
      <c r="J891" s="130"/>
    </row>
    <row r="892" spans="1:10" ht="31.5">
      <c r="A892" s="26" t="s">
        <v>174</v>
      </c>
      <c r="B892" s="367">
        <v>906</v>
      </c>
      <c r="C892" s="207" t="s">
        <v>305</v>
      </c>
      <c r="D892" s="207" t="s">
        <v>260</v>
      </c>
      <c r="E892" s="207" t="s">
        <v>521</v>
      </c>
      <c r="F892" s="207" t="s">
        <v>175</v>
      </c>
      <c r="G892" s="27">
        <f>350-35+35+250</f>
        <v>600</v>
      </c>
      <c r="J892" s="130"/>
    </row>
    <row r="893" spans="1:10" ht="31.5">
      <c r="A893" s="26" t="s">
        <v>381</v>
      </c>
      <c r="B893" s="367">
        <v>906</v>
      </c>
      <c r="C893" s="207" t="s">
        <v>305</v>
      </c>
      <c r="D893" s="207" t="s">
        <v>260</v>
      </c>
      <c r="E893" s="207" t="s">
        <v>382</v>
      </c>
      <c r="F893" s="207"/>
      <c r="G893" s="27">
        <f>G894+G896+G898</f>
        <v>13783.199999999999</v>
      </c>
      <c r="J893" s="130"/>
    </row>
    <row r="894" spans="1:10" ht="61.5" customHeight="1">
      <c r="A894" s="26" t="s">
        <v>168</v>
      </c>
      <c r="B894" s="367">
        <v>906</v>
      </c>
      <c r="C894" s="207" t="s">
        <v>305</v>
      </c>
      <c r="D894" s="207" t="s">
        <v>260</v>
      </c>
      <c r="E894" s="207" t="s">
        <v>382</v>
      </c>
      <c r="F894" s="207" t="s">
        <v>169</v>
      </c>
      <c r="G894" s="27">
        <f>G895</f>
        <v>12465.699999999999</v>
      </c>
      <c r="J894" s="130"/>
    </row>
    <row r="895" spans="1:10" ht="15.75">
      <c r="A895" s="26" t="s">
        <v>383</v>
      </c>
      <c r="B895" s="367">
        <v>906</v>
      </c>
      <c r="C895" s="207" t="s">
        <v>305</v>
      </c>
      <c r="D895" s="207" t="s">
        <v>260</v>
      </c>
      <c r="E895" s="207" t="s">
        <v>382</v>
      </c>
      <c r="F895" s="207" t="s">
        <v>250</v>
      </c>
      <c r="G895" s="28">
        <f>11858.3-4.3+509+157.9-55.2</f>
        <v>12465.699999999999</v>
      </c>
      <c r="H895" s="352" t="s">
        <v>832</v>
      </c>
      <c r="I895" s="339"/>
      <c r="J895" s="130"/>
    </row>
    <row r="896" spans="1:10" ht="31.5">
      <c r="A896" s="26" t="s">
        <v>172</v>
      </c>
      <c r="B896" s="367">
        <v>906</v>
      </c>
      <c r="C896" s="207" t="s">
        <v>305</v>
      </c>
      <c r="D896" s="207" t="s">
        <v>260</v>
      </c>
      <c r="E896" s="207" t="s">
        <v>382</v>
      </c>
      <c r="F896" s="207" t="s">
        <v>173</v>
      </c>
      <c r="G896" s="27">
        <f>G897</f>
        <v>1302.1</v>
      </c>
      <c r="J896" s="278"/>
    </row>
    <row r="897" spans="1:10" ht="33" customHeight="1">
      <c r="A897" s="26" t="s">
        <v>174</v>
      </c>
      <c r="B897" s="367">
        <v>906</v>
      </c>
      <c r="C897" s="207" t="s">
        <v>305</v>
      </c>
      <c r="D897" s="207" t="s">
        <v>260</v>
      </c>
      <c r="E897" s="207" t="s">
        <v>382</v>
      </c>
      <c r="F897" s="207" t="s">
        <v>175</v>
      </c>
      <c r="G897" s="27">
        <f>1272.1+30</f>
        <v>1302.1</v>
      </c>
      <c r="H897" s="352"/>
      <c r="J897" s="130"/>
    </row>
    <row r="898" spans="1:10" ht="15.75">
      <c r="A898" s="26" t="s">
        <v>176</v>
      </c>
      <c r="B898" s="367">
        <v>906</v>
      </c>
      <c r="C898" s="207" t="s">
        <v>305</v>
      </c>
      <c r="D898" s="207" t="s">
        <v>260</v>
      </c>
      <c r="E898" s="207" t="s">
        <v>382</v>
      </c>
      <c r="F898" s="207" t="s">
        <v>186</v>
      </c>
      <c r="G898" s="27">
        <f>G899</f>
        <v>15.4</v>
      </c>
      <c r="J898" s="130"/>
    </row>
    <row r="899" spans="1:10" ht="15.75">
      <c r="A899" s="26" t="s">
        <v>610</v>
      </c>
      <c r="B899" s="367">
        <v>906</v>
      </c>
      <c r="C899" s="207" t="s">
        <v>305</v>
      </c>
      <c r="D899" s="207" t="s">
        <v>260</v>
      </c>
      <c r="E899" s="207" t="s">
        <v>382</v>
      </c>
      <c r="F899" s="207" t="s">
        <v>179</v>
      </c>
      <c r="G899" s="27">
        <f>15.4</f>
        <v>15.4</v>
      </c>
      <c r="H899" s="352"/>
      <c r="J899" s="130"/>
    </row>
    <row r="900" spans="1:10" ht="36.75" customHeight="1">
      <c r="A900" s="20" t="s">
        <v>522</v>
      </c>
      <c r="B900" s="382">
        <v>907</v>
      </c>
      <c r="C900" s="207"/>
      <c r="D900" s="207"/>
      <c r="E900" s="207"/>
      <c r="F900" s="207"/>
      <c r="G900" s="22">
        <f>G907+G944+G901</f>
        <v>59348.2</v>
      </c>
      <c r="J900" s="278"/>
    </row>
    <row r="901" spans="1:10" ht="24" customHeight="1" hidden="1">
      <c r="A901" s="24" t="s">
        <v>158</v>
      </c>
      <c r="B901" s="382">
        <v>907</v>
      </c>
      <c r="C901" s="383" t="s">
        <v>159</v>
      </c>
      <c r="D901" s="383"/>
      <c r="E901" s="207"/>
      <c r="F901" s="207"/>
      <c r="G901" s="22">
        <f>G902</f>
        <v>0</v>
      </c>
      <c r="J901" s="130"/>
    </row>
    <row r="902" spans="1:10" ht="21.75" customHeight="1" hidden="1">
      <c r="A902" s="36" t="s">
        <v>180</v>
      </c>
      <c r="B902" s="382">
        <v>907</v>
      </c>
      <c r="C902" s="383" t="s">
        <v>159</v>
      </c>
      <c r="D902" s="383" t="s">
        <v>181</v>
      </c>
      <c r="E902" s="207"/>
      <c r="F902" s="207"/>
      <c r="G902" s="22">
        <f>G903</f>
        <v>0</v>
      </c>
      <c r="J902" s="130"/>
    </row>
    <row r="903" spans="1:10" ht="47.25" customHeight="1" hidden="1">
      <c r="A903" s="31" t="s">
        <v>782</v>
      </c>
      <c r="B903" s="367">
        <v>907</v>
      </c>
      <c r="C903" s="207" t="s">
        <v>159</v>
      </c>
      <c r="D903" s="207" t="s">
        <v>181</v>
      </c>
      <c r="E903" s="207" t="s">
        <v>780</v>
      </c>
      <c r="F903" s="386"/>
      <c r="G903" s="27">
        <f>G904</f>
        <v>0</v>
      </c>
      <c r="J903" s="130"/>
    </row>
    <row r="904" spans="1:10" ht="40.5" customHeight="1" hidden="1">
      <c r="A904" s="120" t="s">
        <v>922</v>
      </c>
      <c r="B904" s="367">
        <v>907</v>
      </c>
      <c r="C904" s="207" t="s">
        <v>159</v>
      </c>
      <c r="D904" s="207" t="s">
        <v>181</v>
      </c>
      <c r="E904" s="207" t="s">
        <v>923</v>
      </c>
      <c r="F904" s="386"/>
      <c r="G904" s="27">
        <f>G905</f>
        <v>0</v>
      </c>
      <c r="J904" s="130"/>
    </row>
    <row r="905" spans="1:10" ht="36" customHeight="1" hidden="1">
      <c r="A905" s="31" t="s">
        <v>313</v>
      </c>
      <c r="B905" s="367">
        <v>907</v>
      </c>
      <c r="C905" s="207" t="s">
        <v>159</v>
      </c>
      <c r="D905" s="207" t="s">
        <v>181</v>
      </c>
      <c r="E905" s="207" t="s">
        <v>923</v>
      </c>
      <c r="F905" s="386" t="s">
        <v>314</v>
      </c>
      <c r="G905" s="27">
        <f>G906</f>
        <v>0</v>
      </c>
      <c r="J905" s="130"/>
    </row>
    <row r="906" spans="1:10" ht="18.75" customHeight="1" hidden="1">
      <c r="A906" s="31" t="s">
        <v>315</v>
      </c>
      <c r="B906" s="367">
        <v>907</v>
      </c>
      <c r="C906" s="207" t="s">
        <v>159</v>
      </c>
      <c r="D906" s="207" t="s">
        <v>181</v>
      </c>
      <c r="E906" s="207" t="s">
        <v>923</v>
      </c>
      <c r="F906" s="386" t="s">
        <v>316</v>
      </c>
      <c r="G906" s="27">
        <v>0</v>
      </c>
      <c r="H906" s="358"/>
      <c r="J906" s="130"/>
    </row>
    <row r="907" spans="1:10" ht="15.75" hidden="1">
      <c r="A907" s="24" t="s">
        <v>304</v>
      </c>
      <c r="B907" s="382">
        <v>907</v>
      </c>
      <c r="C907" s="383" t="s">
        <v>510</v>
      </c>
      <c r="D907" s="383"/>
      <c r="E907" s="383"/>
      <c r="F907" s="383"/>
      <c r="G907" s="22">
        <f>G908</f>
        <v>0</v>
      </c>
      <c r="J907" s="130"/>
    </row>
    <row r="908" spans="1:10" ht="15.75" hidden="1">
      <c r="A908" s="24" t="s">
        <v>306</v>
      </c>
      <c r="B908" s="382">
        <v>907</v>
      </c>
      <c r="C908" s="383" t="s">
        <v>305</v>
      </c>
      <c r="D908" s="383" t="s">
        <v>256</v>
      </c>
      <c r="E908" s="383"/>
      <c r="F908" s="383"/>
      <c r="G908" s="22">
        <f>G909+G933+G929</f>
        <v>0</v>
      </c>
      <c r="J908" s="130"/>
    </row>
    <row r="909" spans="1:10" ht="31.5" hidden="1">
      <c r="A909" s="26" t="s">
        <v>523</v>
      </c>
      <c r="B909" s="367">
        <v>907</v>
      </c>
      <c r="C909" s="207" t="s">
        <v>305</v>
      </c>
      <c r="D909" s="207" t="s">
        <v>256</v>
      </c>
      <c r="E909" s="207" t="s">
        <v>524</v>
      </c>
      <c r="F909" s="207"/>
      <c r="G909" s="27">
        <f>G910</f>
        <v>0</v>
      </c>
      <c r="J909" s="130"/>
    </row>
    <row r="910" spans="1:10" ht="33.75" customHeight="1" hidden="1">
      <c r="A910" s="26" t="s">
        <v>525</v>
      </c>
      <c r="B910" s="367">
        <v>907</v>
      </c>
      <c r="C910" s="207" t="s">
        <v>305</v>
      </c>
      <c r="D910" s="207" t="s">
        <v>256</v>
      </c>
      <c r="E910" s="207" t="s">
        <v>526</v>
      </c>
      <c r="F910" s="207"/>
      <c r="G910" s="27">
        <f>G911+G914+G917+G923+G920+G926</f>
        <v>0</v>
      </c>
      <c r="J910" s="130"/>
    </row>
    <row r="911" spans="1:10" ht="32.25" customHeight="1" hidden="1">
      <c r="A911" s="26" t="s">
        <v>311</v>
      </c>
      <c r="B911" s="367">
        <v>907</v>
      </c>
      <c r="C911" s="207" t="s">
        <v>305</v>
      </c>
      <c r="D911" s="207" t="s">
        <v>256</v>
      </c>
      <c r="E911" s="207" t="s">
        <v>527</v>
      </c>
      <c r="F911" s="207"/>
      <c r="G911" s="27">
        <f>G912</f>
        <v>0</v>
      </c>
      <c r="J911" s="130"/>
    </row>
    <row r="912" spans="1:10" ht="33" customHeight="1" hidden="1">
      <c r="A912" s="26" t="s">
        <v>313</v>
      </c>
      <c r="B912" s="367">
        <v>907</v>
      </c>
      <c r="C912" s="207" t="s">
        <v>305</v>
      </c>
      <c r="D912" s="207" t="s">
        <v>256</v>
      </c>
      <c r="E912" s="207" t="s">
        <v>527</v>
      </c>
      <c r="F912" s="207" t="s">
        <v>314</v>
      </c>
      <c r="G912" s="27">
        <f>G913</f>
        <v>0</v>
      </c>
      <c r="J912" s="130"/>
    </row>
    <row r="913" spans="1:10" ht="15.75" hidden="1">
      <c r="A913" s="26" t="s">
        <v>315</v>
      </c>
      <c r="B913" s="367">
        <v>907</v>
      </c>
      <c r="C913" s="207" t="s">
        <v>305</v>
      </c>
      <c r="D913" s="207" t="s">
        <v>256</v>
      </c>
      <c r="E913" s="207" t="s">
        <v>527</v>
      </c>
      <c r="F913" s="207" t="s">
        <v>316</v>
      </c>
      <c r="G913" s="28">
        <f>11398.6-11398.6</f>
        <v>0</v>
      </c>
      <c r="H913" s="354"/>
      <c r="J913" s="130"/>
    </row>
    <row r="914" spans="1:10" ht="47.25" customHeight="1" hidden="1">
      <c r="A914" s="26" t="s">
        <v>319</v>
      </c>
      <c r="B914" s="367">
        <v>907</v>
      </c>
      <c r="C914" s="207" t="s">
        <v>305</v>
      </c>
      <c r="D914" s="207" t="s">
        <v>254</v>
      </c>
      <c r="E914" s="207" t="s">
        <v>528</v>
      </c>
      <c r="F914" s="207"/>
      <c r="G914" s="27">
        <f>G915</f>
        <v>0</v>
      </c>
      <c r="J914" s="130"/>
    </row>
    <row r="915" spans="1:10" ht="47.25" customHeight="1" hidden="1">
      <c r="A915" s="26" t="s">
        <v>313</v>
      </c>
      <c r="B915" s="367">
        <v>907</v>
      </c>
      <c r="C915" s="207" t="s">
        <v>305</v>
      </c>
      <c r="D915" s="207" t="s">
        <v>254</v>
      </c>
      <c r="E915" s="207" t="s">
        <v>528</v>
      </c>
      <c r="F915" s="207" t="s">
        <v>314</v>
      </c>
      <c r="G915" s="27">
        <f>G916</f>
        <v>0</v>
      </c>
      <c r="J915" s="130"/>
    </row>
    <row r="916" spans="1:10" ht="15.75" customHeight="1" hidden="1">
      <c r="A916" s="26" t="s">
        <v>315</v>
      </c>
      <c r="B916" s="367">
        <v>907</v>
      </c>
      <c r="C916" s="207" t="s">
        <v>305</v>
      </c>
      <c r="D916" s="207" t="s">
        <v>254</v>
      </c>
      <c r="E916" s="207" t="s">
        <v>528</v>
      </c>
      <c r="F916" s="207" t="s">
        <v>316</v>
      </c>
      <c r="G916" s="27">
        <v>0</v>
      </c>
      <c r="J916" s="130"/>
    </row>
    <row r="917" spans="1:10" ht="31.5" customHeight="1" hidden="1">
      <c r="A917" s="26" t="s">
        <v>321</v>
      </c>
      <c r="B917" s="367">
        <v>907</v>
      </c>
      <c r="C917" s="207" t="s">
        <v>305</v>
      </c>
      <c r="D917" s="207" t="s">
        <v>254</v>
      </c>
      <c r="E917" s="207" t="s">
        <v>529</v>
      </c>
      <c r="F917" s="207"/>
      <c r="G917" s="27">
        <f>G918</f>
        <v>0</v>
      </c>
      <c r="J917" s="130"/>
    </row>
    <row r="918" spans="1:10" ht="47.25" customHeight="1" hidden="1">
      <c r="A918" s="26" t="s">
        <v>313</v>
      </c>
      <c r="B918" s="367">
        <v>907</v>
      </c>
      <c r="C918" s="207" t="s">
        <v>305</v>
      </c>
      <c r="D918" s="207" t="s">
        <v>254</v>
      </c>
      <c r="E918" s="207" t="s">
        <v>529</v>
      </c>
      <c r="F918" s="207" t="s">
        <v>314</v>
      </c>
      <c r="G918" s="27">
        <f>G919</f>
        <v>0</v>
      </c>
      <c r="J918" s="130"/>
    </row>
    <row r="919" spans="1:10" ht="15.75" customHeight="1" hidden="1">
      <c r="A919" s="26" t="s">
        <v>315</v>
      </c>
      <c r="B919" s="367">
        <v>907</v>
      </c>
      <c r="C919" s="207" t="s">
        <v>305</v>
      </c>
      <c r="D919" s="207" t="s">
        <v>254</v>
      </c>
      <c r="E919" s="207" t="s">
        <v>529</v>
      </c>
      <c r="F919" s="207" t="s">
        <v>316</v>
      </c>
      <c r="G919" s="27">
        <v>0</v>
      </c>
      <c r="J919" s="130"/>
    </row>
    <row r="920" spans="1:10" ht="35.25" customHeight="1" hidden="1">
      <c r="A920" s="26" t="s">
        <v>323</v>
      </c>
      <c r="B920" s="367">
        <v>907</v>
      </c>
      <c r="C920" s="207" t="s">
        <v>305</v>
      </c>
      <c r="D920" s="207" t="s">
        <v>256</v>
      </c>
      <c r="E920" s="207" t="s">
        <v>530</v>
      </c>
      <c r="F920" s="207"/>
      <c r="G920" s="27">
        <f>G921</f>
        <v>0</v>
      </c>
      <c r="H920" s="353"/>
      <c r="J920" s="130"/>
    </row>
    <row r="921" spans="1:10" ht="33" customHeight="1" hidden="1">
      <c r="A921" s="26" t="s">
        <v>313</v>
      </c>
      <c r="B921" s="367">
        <v>907</v>
      </c>
      <c r="C921" s="207" t="s">
        <v>305</v>
      </c>
      <c r="D921" s="207" t="s">
        <v>256</v>
      </c>
      <c r="E921" s="207" t="s">
        <v>530</v>
      </c>
      <c r="F921" s="207" t="s">
        <v>314</v>
      </c>
      <c r="G921" s="27">
        <f>G922</f>
        <v>0</v>
      </c>
      <c r="J921" s="130"/>
    </row>
    <row r="922" spans="1:10" ht="15.75" hidden="1">
      <c r="A922" s="26" t="s">
        <v>315</v>
      </c>
      <c r="B922" s="367">
        <v>907</v>
      </c>
      <c r="C922" s="207" t="s">
        <v>305</v>
      </c>
      <c r="D922" s="207" t="s">
        <v>256</v>
      </c>
      <c r="E922" s="207" t="s">
        <v>530</v>
      </c>
      <c r="F922" s="207" t="s">
        <v>316</v>
      </c>
      <c r="G922" s="27">
        <f>29.4-29.4</f>
        <v>0</v>
      </c>
      <c r="J922" s="130"/>
    </row>
    <row r="923" spans="1:10" ht="31.5" customHeight="1" hidden="1">
      <c r="A923" s="26" t="s">
        <v>325</v>
      </c>
      <c r="B923" s="367">
        <v>907</v>
      </c>
      <c r="C923" s="207" t="s">
        <v>305</v>
      </c>
      <c r="D923" s="207" t="s">
        <v>256</v>
      </c>
      <c r="E923" s="207" t="s">
        <v>531</v>
      </c>
      <c r="F923" s="207"/>
      <c r="G923" s="27">
        <f>G924</f>
        <v>0</v>
      </c>
      <c r="J923" s="130"/>
    </row>
    <row r="924" spans="1:10" ht="47.25" customHeight="1" hidden="1">
      <c r="A924" s="26" t="s">
        <v>313</v>
      </c>
      <c r="B924" s="367">
        <v>907</v>
      </c>
      <c r="C924" s="207" t="s">
        <v>305</v>
      </c>
      <c r="D924" s="207" t="s">
        <v>256</v>
      </c>
      <c r="E924" s="207" t="s">
        <v>531</v>
      </c>
      <c r="F924" s="207" t="s">
        <v>314</v>
      </c>
      <c r="G924" s="27">
        <f>G925</f>
        <v>0</v>
      </c>
      <c r="J924" s="130"/>
    </row>
    <row r="925" spans="1:10" ht="15.75" customHeight="1" hidden="1">
      <c r="A925" s="26" t="s">
        <v>315</v>
      </c>
      <c r="B925" s="367">
        <v>907</v>
      </c>
      <c r="C925" s="207" t="s">
        <v>305</v>
      </c>
      <c r="D925" s="207" t="s">
        <v>256</v>
      </c>
      <c r="E925" s="207" t="s">
        <v>531</v>
      </c>
      <c r="F925" s="207" t="s">
        <v>316</v>
      </c>
      <c r="G925" s="27">
        <v>0</v>
      </c>
      <c r="J925" s="130"/>
    </row>
    <row r="926" spans="1:10" ht="33" customHeight="1" hidden="1">
      <c r="A926" s="47" t="s">
        <v>842</v>
      </c>
      <c r="B926" s="367">
        <v>907</v>
      </c>
      <c r="C926" s="207" t="s">
        <v>305</v>
      </c>
      <c r="D926" s="207" t="s">
        <v>256</v>
      </c>
      <c r="E926" s="207" t="s">
        <v>849</v>
      </c>
      <c r="F926" s="207"/>
      <c r="G926" s="27">
        <f>G927</f>
        <v>0</v>
      </c>
      <c r="J926" s="130"/>
    </row>
    <row r="927" spans="1:10" ht="54.75" customHeight="1" hidden="1">
      <c r="A927" s="33" t="s">
        <v>313</v>
      </c>
      <c r="B927" s="367">
        <v>907</v>
      </c>
      <c r="C927" s="207" t="s">
        <v>305</v>
      </c>
      <c r="D927" s="207" t="s">
        <v>256</v>
      </c>
      <c r="E927" s="207" t="s">
        <v>849</v>
      </c>
      <c r="F927" s="207" t="s">
        <v>314</v>
      </c>
      <c r="G927" s="27">
        <f>G928</f>
        <v>0</v>
      </c>
      <c r="J927" s="130"/>
    </row>
    <row r="928" spans="1:10" ht="15.75" customHeight="1" hidden="1">
      <c r="A928" s="33" t="s">
        <v>315</v>
      </c>
      <c r="B928" s="367">
        <v>907</v>
      </c>
      <c r="C928" s="207" t="s">
        <v>305</v>
      </c>
      <c r="D928" s="207" t="s">
        <v>256</v>
      </c>
      <c r="E928" s="207" t="s">
        <v>849</v>
      </c>
      <c r="F928" s="207" t="s">
        <v>316</v>
      </c>
      <c r="G928" s="27">
        <f>365.2+57-107.1-315.1</f>
        <v>0</v>
      </c>
      <c r="J928" s="130"/>
    </row>
    <row r="929" spans="1:10" ht="48.75" customHeight="1" hidden="1">
      <c r="A929" s="31" t="s">
        <v>782</v>
      </c>
      <c r="B929" s="367">
        <v>907</v>
      </c>
      <c r="C929" s="207" t="s">
        <v>305</v>
      </c>
      <c r="D929" s="207" t="s">
        <v>256</v>
      </c>
      <c r="E929" s="207" t="s">
        <v>780</v>
      </c>
      <c r="F929" s="386"/>
      <c r="G929" s="27">
        <f>G930</f>
        <v>0</v>
      </c>
      <c r="J929" s="130"/>
    </row>
    <row r="930" spans="1:10" ht="35.25" customHeight="1" hidden="1">
      <c r="A930" s="120" t="s">
        <v>922</v>
      </c>
      <c r="B930" s="367">
        <v>907</v>
      </c>
      <c r="C930" s="207" t="s">
        <v>305</v>
      </c>
      <c r="D930" s="207" t="s">
        <v>256</v>
      </c>
      <c r="E930" s="207" t="s">
        <v>923</v>
      </c>
      <c r="F930" s="386"/>
      <c r="G930" s="27">
        <f>G931</f>
        <v>0</v>
      </c>
      <c r="J930" s="130"/>
    </row>
    <row r="931" spans="1:10" ht="38.25" customHeight="1" hidden="1">
      <c r="A931" s="31" t="s">
        <v>313</v>
      </c>
      <c r="B931" s="367">
        <v>907</v>
      </c>
      <c r="C931" s="207" t="s">
        <v>305</v>
      </c>
      <c r="D931" s="207" t="s">
        <v>256</v>
      </c>
      <c r="E931" s="207" t="s">
        <v>923</v>
      </c>
      <c r="F931" s="386" t="s">
        <v>314</v>
      </c>
      <c r="G931" s="27">
        <f>G932</f>
        <v>0</v>
      </c>
      <c r="J931" s="130"/>
    </row>
    <row r="932" spans="1:10" ht="15.75" customHeight="1" hidden="1">
      <c r="A932" s="31" t="s">
        <v>315</v>
      </c>
      <c r="B932" s="367">
        <v>907</v>
      </c>
      <c r="C932" s="207" t="s">
        <v>305</v>
      </c>
      <c r="D932" s="207" t="s">
        <v>256</v>
      </c>
      <c r="E932" s="207" t="s">
        <v>923</v>
      </c>
      <c r="F932" s="386" t="s">
        <v>316</v>
      </c>
      <c r="G932" s="27">
        <f>163.1-163.1</f>
        <v>0</v>
      </c>
      <c r="J932" s="130"/>
    </row>
    <row r="933" spans="1:10" ht="15.75" hidden="1">
      <c r="A933" s="26" t="s">
        <v>162</v>
      </c>
      <c r="B933" s="367">
        <v>907</v>
      </c>
      <c r="C933" s="207" t="s">
        <v>305</v>
      </c>
      <c r="D933" s="207" t="s">
        <v>256</v>
      </c>
      <c r="E933" s="207" t="s">
        <v>163</v>
      </c>
      <c r="F933" s="207"/>
      <c r="G933" s="27">
        <f>G934</f>
        <v>0</v>
      </c>
      <c r="J933" s="130"/>
    </row>
    <row r="934" spans="1:10" ht="22.5" customHeight="1" hidden="1">
      <c r="A934" s="26" t="s">
        <v>226</v>
      </c>
      <c r="B934" s="367">
        <v>907</v>
      </c>
      <c r="C934" s="207" t="s">
        <v>305</v>
      </c>
      <c r="D934" s="207" t="s">
        <v>256</v>
      </c>
      <c r="E934" s="207" t="s">
        <v>227</v>
      </c>
      <c r="F934" s="207"/>
      <c r="G934" s="27">
        <f>G935+G938+G941</f>
        <v>0</v>
      </c>
      <c r="J934" s="130"/>
    </row>
    <row r="935" spans="1:10" ht="47.25" hidden="1">
      <c r="A935" s="33" t="s">
        <v>330</v>
      </c>
      <c r="B935" s="367">
        <v>907</v>
      </c>
      <c r="C935" s="207" t="s">
        <v>305</v>
      </c>
      <c r="D935" s="207" t="s">
        <v>256</v>
      </c>
      <c r="E935" s="207" t="s">
        <v>331</v>
      </c>
      <c r="F935" s="207"/>
      <c r="G935" s="27">
        <f>G936</f>
        <v>0</v>
      </c>
      <c r="J935" s="130"/>
    </row>
    <row r="936" spans="1:10" ht="31.5" hidden="1">
      <c r="A936" s="26" t="s">
        <v>313</v>
      </c>
      <c r="B936" s="367">
        <v>907</v>
      </c>
      <c r="C936" s="207" t="s">
        <v>305</v>
      </c>
      <c r="D936" s="207" t="s">
        <v>256</v>
      </c>
      <c r="E936" s="207" t="s">
        <v>331</v>
      </c>
      <c r="F936" s="207" t="s">
        <v>314</v>
      </c>
      <c r="G936" s="27">
        <f>G937</f>
        <v>0</v>
      </c>
      <c r="J936" s="130"/>
    </row>
    <row r="937" spans="1:10" ht="15.75" hidden="1">
      <c r="A937" s="26" t="s">
        <v>315</v>
      </c>
      <c r="B937" s="367">
        <v>907</v>
      </c>
      <c r="C937" s="207" t="s">
        <v>305</v>
      </c>
      <c r="D937" s="207" t="s">
        <v>256</v>
      </c>
      <c r="E937" s="207" t="s">
        <v>331</v>
      </c>
      <c r="F937" s="207" t="s">
        <v>316</v>
      </c>
      <c r="G937" s="27">
        <f>50-39.5-10.5</f>
        <v>0</v>
      </c>
      <c r="J937" s="130"/>
    </row>
    <row r="938" spans="1:10" ht="63" hidden="1">
      <c r="A938" s="33" t="s">
        <v>332</v>
      </c>
      <c r="B938" s="367">
        <v>907</v>
      </c>
      <c r="C938" s="207" t="s">
        <v>305</v>
      </c>
      <c r="D938" s="207" t="s">
        <v>256</v>
      </c>
      <c r="E938" s="207" t="s">
        <v>333</v>
      </c>
      <c r="F938" s="207"/>
      <c r="G938" s="27">
        <f>G939</f>
        <v>0</v>
      </c>
      <c r="J938" s="130"/>
    </row>
    <row r="939" spans="1:10" ht="31.5" hidden="1">
      <c r="A939" s="26" t="s">
        <v>313</v>
      </c>
      <c r="B939" s="367">
        <v>907</v>
      </c>
      <c r="C939" s="207" t="s">
        <v>305</v>
      </c>
      <c r="D939" s="207" t="s">
        <v>256</v>
      </c>
      <c r="E939" s="207" t="s">
        <v>333</v>
      </c>
      <c r="F939" s="207" t="s">
        <v>314</v>
      </c>
      <c r="G939" s="27">
        <f>G940</f>
        <v>0</v>
      </c>
      <c r="J939" s="130"/>
    </row>
    <row r="940" spans="1:10" ht="15.75" hidden="1">
      <c r="A940" s="26" t="s">
        <v>315</v>
      </c>
      <c r="B940" s="367">
        <v>907</v>
      </c>
      <c r="C940" s="207" t="s">
        <v>305</v>
      </c>
      <c r="D940" s="207" t="s">
        <v>256</v>
      </c>
      <c r="E940" s="207" t="s">
        <v>333</v>
      </c>
      <c r="F940" s="207" t="s">
        <v>316</v>
      </c>
      <c r="G940" s="27">
        <f>200-2.7+6.9-204.2</f>
        <v>0</v>
      </c>
      <c r="J940" s="130"/>
    </row>
    <row r="941" spans="1:10" ht="78.75" hidden="1">
      <c r="A941" s="33" t="s">
        <v>506</v>
      </c>
      <c r="B941" s="367">
        <v>907</v>
      </c>
      <c r="C941" s="207" t="s">
        <v>305</v>
      </c>
      <c r="D941" s="207" t="s">
        <v>256</v>
      </c>
      <c r="E941" s="207" t="s">
        <v>335</v>
      </c>
      <c r="F941" s="207"/>
      <c r="G941" s="27">
        <f>G942</f>
        <v>0</v>
      </c>
      <c r="J941" s="130"/>
    </row>
    <row r="942" spans="1:10" ht="31.5" hidden="1">
      <c r="A942" s="26" t="s">
        <v>313</v>
      </c>
      <c r="B942" s="367">
        <v>907</v>
      </c>
      <c r="C942" s="207" t="s">
        <v>305</v>
      </c>
      <c r="D942" s="207" t="s">
        <v>256</v>
      </c>
      <c r="E942" s="207" t="s">
        <v>335</v>
      </c>
      <c r="F942" s="207" t="s">
        <v>314</v>
      </c>
      <c r="G942" s="27">
        <f>G943</f>
        <v>0</v>
      </c>
      <c r="J942" s="130"/>
    </row>
    <row r="943" spans="1:10" ht="15.75" hidden="1">
      <c r="A943" s="26" t="s">
        <v>315</v>
      </c>
      <c r="B943" s="367">
        <v>907</v>
      </c>
      <c r="C943" s="207" t="s">
        <v>305</v>
      </c>
      <c r="D943" s="207" t="s">
        <v>256</v>
      </c>
      <c r="E943" s="207" t="s">
        <v>335</v>
      </c>
      <c r="F943" s="207" t="s">
        <v>316</v>
      </c>
      <c r="G943" s="27">
        <f>500-20.2-8.2-471.6</f>
        <v>0</v>
      </c>
      <c r="J943" s="130"/>
    </row>
    <row r="944" spans="1:10" ht="15.75">
      <c r="A944" s="24" t="s">
        <v>532</v>
      </c>
      <c r="B944" s="382">
        <v>907</v>
      </c>
      <c r="C944" s="383" t="s">
        <v>533</v>
      </c>
      <c r="D944" s="207"/>
      <c r="E944" s="207"/>
      <c r="F944" s="207"/>
      <c r="G944" s="22">
        <f>G945+G997</f>
        <v>59348.2</v>
      </c>
      <c r="J944" s="130"/>
    </row>
    <row r="945" spans="1:10" ht="15.75">
      <c r="A945" s="24" t="s">
        <v>534</v>
      </c>
      <c r="B945" s="382">
        <v>907</v>
      </c>
      <c r="C945" s="383" t="s">
        <v>533</v>
      </c>
      <c r="D945" s="383" t="s">
        <v>159</v>
      </c>
      <c r="E945" s="207"/>
      <c r="F945" s="207"/>
      <c r="G945" s="22">
        <f>G946+G978+G973+G982+G986</f>
        <v>47122.59999999999</v>
      </c>
      <c r="J945" s="130"/>
    </row>
    <row r="946" spans="1:10" ht="31.5">
      <c r="A946" s="26" t="s">
        <v>523</v>
      </c>
      <c r="B946" s="367">
        <v>907</v>
      </c>
      <c r="C946" s="207" t="s">
        <v>533</v>
      </c>
      <c r="D946" s="207" t="s">
        <v>159</v>
      </c>
      <c r="E946" s="207" t="s">
        <v>524</v>
      </c>
      <c r="F946" s="207"/>
      <c r="G946" s="27">
        <f>G947</f>
        <v>45712.299999999996</v>
      </c>
      <c r="J946" s="130"/>
    </row>
    <row r="947" spans="1:10" ht="31.5">
      <c r="A947" s="26" t="s">
        <v>535</v>
      </c>
      <c r="B947" s="367">
        <v>907</v>
      </c>
      <c r="C947" s="207" t="s">
        <v>533</v>
      </c>
      <c r="D947" s="207" t="s">
        <v>159</v>
      </c>
      <c r="E947" s="207" t="s">
        <v>536</v>
      </c>
      <c r="F947" s="207"/>
      <c r="G947" s="27">
        <f>G948+G958+G961+G967+G970+G964</f>
        <v>45712.299999999996</v>
      </c>
      <c r="J947" s="130"/>
    </row>
    <row r="948" spans="1:10" ht="31.5">
      <c r="A948" s="26" t="s">
        <v>537</v>
      </c>
      <c r="B948" s="367">
        <v>907</v>
      </c>
      <c r="C948" s="207" t="s">
        <v>533</v>
      </c>
      <c r="D948" s="207" t="s">
        <v>159</v>
      </c>
      <c r="E948" s="207" t="s">
        <v>538</v>
      </c>
      <c r="F948" s="207"/>
      <c r="G948" s="27">
        <f>G949+G952+G955</f>
        <v>43327.2</v>
      </c>
      <c r="J948" s="130"/>
    </row>
    <row r="949" spans="1:10" ht="47.25">
      <c r="A949" s="26" t="s">
        <v>1016</v>
      </c>
      <c r="B949" s="367">
        <v>907</v>
      </c>
      <c r="C949" s="207" t="s">
        <v>533</v>
      </c>
      <c r="D949" s="207" t="s">
        <v>159</v>
      </c>
      <c r="E949" s="207" t="s">
        <v>1010</v>
      </c>
      <c r="F949" s="207"/>
      <c r="G949" s="27">
        <f>G950</f>
        <v>12832.4</v>
      </c>
      <c r="J949" s="130"/>
    </row>
    <row r="950" spans="1:10" ht="36" customHeight="1">
      <c r="A950" s="26" t="s">
        <v>313</v>
      </c>
      <c r="B950" s="367">
        <v>907</v>
      </c>
      <c r="C950" s="207" t="s">
        <v>533</v>
      </c>
      <c r="D950" s="207" t="s">
        <v>159</v>
      </c>
      <c r="E950" s="207" t="s">
        <v>1010</v>
      </c>
      <c r="F950" s="207" t="s">
        <v>314</v>
      </c>
      <c r="G950" s="27">
        <f>G951</f>
        <v>12832.4</v>
      </c>
      <c r="J950" s="130"/>
    </row>
    <row r="951" spans="1:13" ht="15.75">
      <c r="A951" s="26" t="s">
        <v>315</v>
      </c>
      <c r="B951" s="367">
        <v>907</v>
      </c>
      <c r="C951" s="207" t="s">
        <v>533</v>
      </c>
      <c r="D951" s="207" t="s">
        <v>159</v>
      </c>
      <c r="E951" s="207" t="s">
        <v>1010</v>
      </c>
      <c r="F951" s="207" t="s">
        <v>316</v>
      </c>
      <c r="G951" s="28">
        <f>11428+80.9+894.6+428.9</f>
        <v>12832.4</v>
      </c>
      <c r="H951" s="354" t="s">
        <v>1175</v>
      </c>
      <c r="I951" s="337"/>
      <c r="J951" s="130"/>
      <c r="K951" s="130"/>
      <c r="L951" s="130"/>
      <c r="M951" s="130"/>
    </row>
    <row r="952" spans="1:13" ht="39.75" customHeight="1">
      <c r="A952" s="26" t="s">
        <v>1038</v>
      </c>
      <c r="B952" s="367">
        <v>907</v>
      </c>
      <c r="C952" s="207" t="s">
        <v>533</v>
      </c>
      <c r="D952" s="207" t="s">
        <v>159</v>
      </c>
      <c r="E952" s="207" t="s">
        <v>1011</v>
      </c>
      <c r="F952" s="207"/>
      <c r="G952" s="28">
        <f>G953</f>
        <v>12697.800000000001</v>
      </c>
      <c r="H952" s="364"/>
      <c r="I952" s="337"/>
      <c r="J952" s="278"/>
      <c r="K952" s="130"/>
      <c r="L952" s="130"/>
      <c r="M952" s="130"/>
    </row>
    <row r="953" spans="1:13" ht="31.5">
      <c r="A953" s="26" t="s">
        <v>313</v>
      </c>
      <c r="B953" s="367">
        <v>907</v>
      </c>
      <c r="C953" s="207" t="s">
        <v>533</v>
      </c>
      <c r="D953" s="207" t="s">
        <v>159</v>
      </c>
      <c r="E953" s="207" t="s">
        <v>1011</v>
      </c>
      <c r="F953" s="207" t="s">
        <v>314</v>
      </c>
      <c r="G953" s="28">
        <f>G954</f>
        <v>12697.800000000001</v>
      </c>
      <c r="H953" s="364"/>
      <c r="I953" s="337"/>
      <c r="J953" s="130"/>
      <c r="K953" s="130"/>
      <c r="L953" s="130"/>
      <c r="M953" s="130"/>
    </row>
    <row r="954" spans="1:13" ht="15.75">
      <c r="A954" s="26" t="s">
        <v>315</v>
      </c>
      <c r="B954" s="367">
        <v>907</v>
      </c>
      <c r="C954" s="207" t="s">
        <v>533</v>
      </c>
      <c r="D954" s="207" t="s">
        <v>159</v>
      </c>
      <c r="E954" s="207" t="s">
        <v>1011</v>
      </c>
      <c r="F954" s="207" t="s">
        <v>316</v>
      </c>
      <c r="G954" s="28">
        <f>12609.4-227.5+745.5-87.3-244.4-42.9-55</f>
        <v>12697.800000000001</v>
      </c>
      <c r="H954" s="364" t="s">
        <v>1161</v>
      </c>
      <c r="I954" s="347" t="s">
        <v>1149</v>
      </c>
      <c r="J954" s="130"/>
      <c r="K954" s="130"/>
      <c r="L954" s="130"/>
      <c r="M954" s="130"/>
    </row>
    <row r="955" spans="1:13" ht="47.25">
      <c r="A955" s="26" t="s">
        <v>1039</v>
      </c>
      <c r="B955" s="367">
        <v>907</v>
      </c>
      <c r="C955" s="207" t="s">
        <v>533</v>
      </c>
      <c r="D955" s="207" t="s">
        <v>159</v>
      </c>
      <c r="E955" s="207" t="s">
        <v>1012</v>
      </c>
      <c r="F955" s="207"/>
      <c r="G955" s="28">
        <f>G956</f>
        <v>17797</v>
      </c>
      <c r="H955" s="364"/>
      <c r="I955" s="337"/>
      <c r="J955" s="278"/>
      <c r="K955" s="130"/>
      <c r="L955" s="130"/>
      <c r="M955" s="130"/>
    </row>
    <row r="956" spans="1:13" ht="31.5">
      <c r="A956" s="26" t="s">
        <v>313</v>
      </c>
      <c r="B956" s="367">
        <v>907</v>
      </c>
      <c r="C956" s="207" t="s">
        <v>533</v>
      </c>
      <c r="D956" s="207" t="s">
        <v>159</v>
      </c>
      <c r="E956" s="207" t="s">
        <v>1012</v>
      </c>
      <c r="F956" s="207" t="s">
        <v>314</v>
      </c>
      <c r="G956" s="28">
        <f>G957</f>
        <v>17797</v>
      </c>
      <c r="H956" s="364"/>
      <c r="I956" s="337"/>
      <c r="J956" s="130"/>
      <c r="K956" s="130"/>
      <c r="L956" s="130"/>
      <c r="M956" s="130"/>
    </row>
    <row r="957" spans="1:13" ht="15.75">
      <c r="A957" s="26" t="s">
        <v>315</v>
      </c>
      <c r="B957" s="367">
        <v>907</v>
      </c>
      <c r="C957" s="207" t="s">
        <v>533</v>
      </c>
      <c r="D957" s="207" t="s">
        <v>159</v>
      </c>
      <c r="E957" s="207" t="s">
        <v>1012</v>
      </c>
      <c r="F957" s="207" t="s">
        <v>316</v>
      </c>
      <c r="G957" s="298">
        <f>19339.5-1636.2+863.4-36-97.2-185.4+36-487.1</f>
        <v>17797</v>
      </c>
      <c r="H957" s="364" t="s">
        <v>1206</v>
      </c>
      <c r="I957" s="415" t="s">
        <v>1205</v>
      </c>
      <c r="J957" s="415"/>
      <c r="K957" s="290"/>
      <c r="L957" s="130"/>
      <c r="M957" s="130"/>
    </row>
    <row r="958" spans="1:13" ht="31.5">
      <c r="A958" s="26" t="s">
        <v>319</v>
      </c>
      <c r="B958" s="367">
        <v>907</v>
      </c>
      <c r="C958" s="207" t="s">
        <v>533</v>
      </c>
      <c r="D958" s="207" t="s">
        <v>159</v>
      </c>
      <c r="E958" s="207" t="s">
        <v>539</v>
      </c>
      <c r="F958" s="207"/>
      <c r="G958" s="27">
        <f>G959</f>
        <v>916.7</v>
      </c>
      <c r="J958" s="130"/>
      <c r="K958" s="130"/>
      <c r="L958" s="411"/>
      <c r="M958" s="411"/>
    </row>
    <row r="959" spans="1:13" ht="31.5">
      <c r="A959" s="26" t="s">
        <v>313</v>
      </c>
      <c r="B959" s="367">
        <v>907</v>
      </c>
      <c r="C959" s="207" t="s">
        <v>533</v>
      </c>
      <c r="D959" s="207" t="s">
        <v>159</v>
      </c>
      <c r="E959" s="207" t="s">
        <v>539</v>
      </c>
      <c r="F959" s="207" t="s">
        <v>314</v>
      </c>
      <c r="G959" s="27">
        <f>G960</f>
        <v>916.7</v>
      </c>
      <c r="J959" s="130"/>
      <c r="K959" s="130"/>
      <c r="L959" s="130"/>
      <c r="M959" s="130"/>
    </row>
    <row r="960" spans="1:13" ht="15.75">
      <c r="A960" s="26" t="s">
        <v>315</v>
      </c>
      <c r="B960" s="367">
        <v>907</v>
      </c>
      <c r="C960" s="207" t="s">
        <v>533</v>
      </c>
      <c r="D960" s="207" t="s">
        <v>159</v>
      </c>
      <c r="E960" s="207" t="s">
        <v>539</v>
      </c>
      <c r="F960" s="207" t="s">
        <v>316</v>
      </c>
      <c r="G960" s="27">
        <f>87.3+244.4+42.9+55+487.1</f>
        <v>916.7</v>
      </c>
      <c r="H960" s="358" t="s">
        <v>1208</v>
      </c>
      <c r="I960" s="313" t="s">
        <v>1207</v>
      </c>
      <c r="J960" s="130"/>
      <c r="K960" s="130"/>
      <c r="L960" s="130"/>
      <c r="M960" s="130"/>
    </row>
    <row r="961" spans="1:13" ht="28.5" customHeight="1">
      <c r="A961" s="26" t="s">
        <v>321</v>
      </c>
      <c r="B961" s="367">
        <v>907</v>
      </c>
      <c r="C961" s="207" t="s">
        <v>533</v>
      </c>
      <c r="D961" s="207" t="s">
        <v>159</v>
      </c>
      <c r="E961" s="207" t="s">
        <v>540</v>
      </c>
      <c r="F961" s="207"/>
      <c r="G961" s="27">
        <f>G962</f>
        <v>185.4</v>
      </c>
      <c r="J961" s="130"/>
      <c r="K961" s="130"/>
      <c r="L961" s="130"/>
      <c r="M961" s="130"/>
    </row>
    <row r="962" spans="1:13" ht="37.5" customHeight="1">
      <c r="A962" s="26" t="s">
        <v>313</v>
      </c>
      <c r="B962" s="367">
        <v>907</v>
      </c>
      <c r="C962" s="207" t="s">
        <v>533</v>
      </c>
      <c r="D962" s="207" t="s">
        <v>159</v>
      </c>
      <c r="E962" s="207" t="s">
        <v>540</v>
      </c>
      <c r="F962" s="207" t="s">
        <v>314</v>
      </c>
      <c r="G962" s="27">
        <f>G963</f>
        <v>185.4</v>
      </c>
      <c r="J962" s="130"/>
      <c r="K962" s="130"/>
      <c r="L962" s="130"/>
      <c r="M962" s="130"/>
    </row>
    <row r="963" spans="1:13" ht="15.75" customHeight="1">
      <c r="A963" s="26" t="s">
        <v>315</v>
      </c>
      <c r="B963" s="367">
        <v>907</v>
      </c>
      <c r="C963" s="207" t="s">
        <v>533</v>
      </c>
      <c r="D963" s="207" t="s">
        <v>159</v>
      </c>
      <c r="E963" s="207" t="s">
        <v>540</v>
      </c>
      <c r="F963" s="207" t="s">
        <v>316</v>
      </c>
      <c r="G963" s="27">
        <v>185.4</v>
      </c>
      <c r="H963" s="363"/>
      <c r="J963" s="130"/>
      <c r="K963" s="130"/>
      <c r="L963" s="130"/>
      <c r="M963" s="130"/>
    </row>
    <row r="964" spans="1:13" s="286" customFormat="1" ht="15.75" customHeight="1">
      <c r="A964" s="26" t="s">
        <v>1077</v>
      </c>
      <c r="B964" s="367">
        <v>907</v>
      </c>
      <c r="C964" s="207" t="s">
        <v>533</v>
      </c>
      <c r="D964" s="207" t="s">
        <v>159</v>
      </c>
      <c r="E964" s="207" t="s">
        <v>1078</v>
      </c>
      <c r="F964" s="207"/>
      <c r="G964" s="27">
        <f>G965</f>
        <v>36</v>
      </c>
      <c r="H964" s="351"/>
      <c r="I964" s="280"/>
      <c r="J964" s="130"/>
      <c r="K964" s="130"/>
      <c r="L964" s="130"/>
      <c r="M964" s="130"/>
    </row>
    <row r="965" spans="1:13" s="286" customFormat="1" ht="15.75" customHeight="1">
      <c r="A965" s="26" t="s">
        <v>313</v>
      </c>
      <c r="B965" s="367">
        <v>907</v>
      </c>
      <c r="C965" s="207" t="s">
        <v>533</v>
      </c>
      <c r="D965" s="207" t="s">
        <v>159</v>
      </c>
      <c r="E965" s="207" t="s">
        <v>1078</v>
      </c>
      <c r="F965" s="207" t="s">
        <v>314</v>
      </c>
      <c r="G965" s="27">
        <f>G966</f>
        <v>36</v>
      </c>
      <c r="H965" s="351"/>
      <c r="I965" s="280"/>
      <c r="J965" s="130"/>
      <c r="K965" s="130"/>
      <c r="L965" s="130"/>
      <c r="M965" s="130"/>
    </row>
    <row r="966" spans="1:13" s="286" customFormat="1" ht="15.75" customHeight="1">
      <c r="A966" s="26" t="s">
        <v>315</v>
      </c>
      <c r="B966" s="367">
        <v>907</v>
      </c>
      <c r="C966" s="207" t="s">
        <v>533</v>
      </c>
      <c r="D966" s="207" t="s">
        <v>159</v>
      </c>
      <c r="E966" s="207" t="s">
        <v>1078</v>
      </c>
      <c r="F966" s="207" t="s">
        <v>316</v>
      </c>
      <c r="G966" s="27">
        <v>36</v>
      </c>
      <c r="H966" s="352"/>
      <c r="I966" s="280"/>
      <c r="J966" s="130"/>
      <c r="K966" s="130"/>
      <c r="L966" s="130"/>
      <c r="M966" s="130"/>
    </row>
    <row r="967" spans="1:13" ht="33.75" customHeight="1">
      <c r="A967" s="26" t="s">
        <v>959</v>
      </c>
      <c r="B967" s="367">
        <v>907</v>
      </c>
      <c r="C967" s="207" t="s">
        <v>533</v>
      </c>
      <c r="D967" s="207" t="s">
        <v>159</v>
      </c>
      <c r="E967" s="207" t="s">
        <v>541</v>
      </c>
      <c r="F967" s="207"/>
      <c r="G967" s="27">
        <f>G968</f>
        <v>53.7</v>
      </c>
      <c r="J967" s="130"/>
      <c r="K967" s="130"/>
      <c r="L967" s="130"/>
      <c r="M967" s="130"/>
    </row>
    <row r="968" spans="1:13" ht="31.5">
      <c r="A968" s="26" t="s">
        <v>313</v>
      </c>
      <c r="B968" s="367">
        <v>907</v>
      </c>
      <c r="C968" s="207" t="s">
        <v>533</v>
      </c>
      <c r="D968" s="207" t="s">
        <v>159</v>
      </c>
      <c r="E968" s="207" t="s">
        <v>541</v>
      </c>
      <c r="F968" s="207" t="s">
        <v>314</v>
      </c>
      <c r="G968" s="27">
        <f>G969</f>
        <v>53.7</v>
      </c>
      <c r="J968" s="130"/>
      <c r="K968" s="130"/>
      <c r="L968" s="130"/>
      <c r="M968" s="130"/>
    </row>
    <row r="969" spans="1:13" ht="15.75" customHeight="1">
      <c r="A969" s="26" t="s">
        <v>315</v>
      </c>
      <c r="B969" s="367">
        <v>907</v>
      </c>
      <c r="C969" s="207" t="s">
        <v>533</v>
      </c>
      <c r="D969" s="207" t="s">
        <v>159</v>
      </c>
      <c r="E969" s="207" t="s">
        <v>541</v>
      </c>
      <c r="F969" s="207" t="s">
        <v>316</v>
      </c>
      <c r="G969" s="27">
        <v>53.7</v>
      </c>
      <c r="H969" s="363"/>
      <c r="J969" s="130"/>
      <c r="K969" s="130"/>
      <c r="L969" s="130"/>
      <c r="M969" s="130"/>
    </row>
    <row r="970" spans="1:13" ht="34.5" customHeight="1">
      <c r="A970" s="47" t="s">
        <v>842</v>
      </c>
      <c r="B970" s="367">
        <v>907</v>
      </c>
      <c r="C970" s="207" t="s">
        <v>533</v>
      </c>
      <c r="D970" s="207" t="s">
        <v>159</v>
      </c>
      <c r="E970" s="207" t="s">
        <v>850</v>
      </c>
      <c r="F970" s="207"/>
      <c r="G970" s="27">
        <f>G971</f>
        <v>1193.3</v>
      </c>
      <c r="J970" s="278"/>
      <c r="K970" s="130"/>
      <c r="L970" s="130"/>
      <c r="M970" s="130"/>
    </row>
    <row r="971" spans="1:13" ht="27" customHeight="1">
      <c r="A971" s="33" t="s">
        <v>313</v>
      </c>
      <c r="B971" s="367">
        <v>907</v>
      </c>
      <c r="C971" s="207" t="s">
        <v>533</v>
      </c>
      <c r="D971" s="207" t="s">
        <v>159</v>
      </c>
      <c r="E971" s="207" t="s">
        <v>850</v>
      </c>
      <c r="F971" s="207" t="s">
        <v>314</v>
      </c>
      <c r="G971" s="27">
        <f>G972</f>
        <v>1193.3</v>
      </c>
      <c r="J971" s="130"/>
      <c r="K971" s="130"/>
      <c r="L971" s="130"/>
      <c r="M971" s="130"/>
    </row>
    <row r="972" spans="1:13" ht="15.75" customHeight="1">
      <c r="A972" s="33" t="s">
        <v>315</v>
      </c>
      <c r="B972" s="367">
        <v>907</v>
      </c>
      <c r="C972" s="207" t="s">
        <v>533</v>
      </c>
      <c r="D972" s="207" t="s">
        <v>159</v>
      </c>
      <c r="E972" s="207" t="s">
        <v>850</v>
      </c>
      <c r="F972" s="207" t="s">
        <v>316</v>
      </c>
      <c r="G972" s="27">
        <f>808.1+438.9-53.7</f>
        <v>1193.3</v>
      </c>
      <c r="H972" s="352"/>
      <c r="J972" s="130"/>
      <c r="K972" s="130"/>
      <c r="L972" s="130"/>
      <c r="M972" s="130"/>
    </row>
    <row r="973" spans="1:13" ht="61.5" customHeight="1" hidden="1">
      <c r="A973" s="33" t="s">
        <v>927</v>
      </c>
      <c r="B973" s="367">
        <v>907</v>
      </c>
      <c r="C973" s="207" t="s">
        <v>533</v>
      </c>
      <c r="D973" s="207" t="s">
        <v>159</v>
      </c>
      <c r="E973" s="207" t="s">
        <v>365</v>
      </c>
      <c r="F973" s="207"/>
      <c r="G973" s="27">
        <f>G974</f>
        <v>0</v>
      </c>
      <c r="I973" s="411"/>
      <c r="J973" s="411"/>
      <c r="K973" s="130"/>
      <c r="L973" s="130"/>
      <c r="M973" s="130"/>
    </row>
    <row r="974" spans="1:13" ht="47.25" hidden="1">
      <c r="A974" s="33" t="s">
        <v>366</v>
      </c>
      <c r="B974" s="367">
        <v>907</v>
      </c>
      <c r="C974" s="207" t="s">
        <v>533</v>
      </c>
      <c r="D974" s="207" t="s">
        <v>159</v>
      </c>
      <c r="E974" s="207" t="s">
        <v>367</v>
      </c>
      <c r="F974" s="207"/>
      <c r="G974" s="27">
        <f>G975</f>
        <v>0</v>
      </c>
      <c r="J974" s="130"/>
      <c r="K974" s="130"/>
      <c r="L974" s="130"/>
      <c r="M974" s="130"/>
    </row>
    <row r="975" spans="1:13" ht="31.5" hidden="1">
      <c r="A975" s="33" t="s">
        <v>313</v>
      </c>
      <c r="B975" s="367">
        <v>907</v>
      </c>
      <c r="C975" s="207" t="s">
        <v>533</v>
      </c>
      <c r="D975" s="207" t="s">
        <v>159</v>
      </c>
      <c r="E975" s="207" t="s">
        <v>367</v>
      </c>
      <c r="F975" s="207" t="s">
        <v>314</v>
      </c>
      <c r="G975" s="27">
        <f>G976</f>
        <v>0</v>
      </c>
      <c r="J975" s="130"/>
      <c r="K975" s="130"/>
      <c r="L975" s="130"/>
      <c r="M975" s="130"/>
    </row>
    <row r="976" spans="1:13" ht="21" customHeight="1" hidden="1">
      <c r="A976" s="33" t="s">
        <v>315</v>
      </c>
      <c r="B976" s="367">
        <v>907</v>
      </c>
      <c r="C976" s="207" t="s">
        <v>533</v>
      </c>
      <c r="D976" s="207" t="s">
        <v>159</v>
      </c>
      <c r="E976" s="207" t="s">
        <v>367</v>
      </c>
      <c r="F976" s="207" t="s">
        <v>316</v>
      </c>
      <c r="G976" s="27">
        <v>0</v>
      </c>
      <c r="J976" s="130"/>
      <c r="K976" s="130"/>
      <c r="L976" s="130"/>
      <c r="M976" s="130"/>
    </row>
    <row r="977" spans="1:13" ht="15.75" hidden="1">
      <c r="A977" s="26" t="s">
        <v>162</v>
      </c>
      <c r="B977" s="367">
        <v>907</v>
      </c>
      <c r="C977" s="207" t="s">
        <v>533</v>
      </c>
      <c r="D977" s="207" t="s">
        <v>159</v>
      </c>
      <c r="E977" s="207" t="s">
        <v>163</v>
      </c>
      <c r="F977" s="207"/>
      <c r="G977" s="27">
        <f>G978</f>
        <v>0</v>
      </c>
      <c r="J977" s="130"/>
      <c r="K977" s="130"/>
      <c r="L977" s="130"/>
      <c r="M977" s="130"/>
    </row>
    <row r="978" spans="1:13" ht="15.75" hidden="1">
      <c r="A978" s="26" t="s">
        <v>226</v>
      </c>
      <c r="B978" s="367">
        <v>907</v>
      </c>
      <c r="C978" s="207" t="s">
        <v>533</v>
      </c>
      <c r="D978" s="207" t="s">
        <v>159</v>
      </c>
      <c r="E978" s="207" t="s">
        <v>227</v>
      </c>
      <c r="F978" s="207"/>
      <c r="G978" s="27">
        <f>G979</f>
        <v>0</v>
      </c>
      <c r="J978" s="130"/>
      <c r="K978" s="130"/>
      <c r="L978" s="130"/>
      <c r="M978" s="130"/>
    </row>
    <row r="979" spans="1:13" ht="31.5" hidden="1">
      <c r="A979" s="26" t="s">
        <v>972</v>
      </c>
      <c r="B979" s="367">
        <v>907</v>
      </c>
      <c r="C979" s="207" t="s">
        <v>533</v>
      </c>
      <c r="D979" s="207" t="s">
        <v>159</v>
      </c>
      <c r="E979" s="207" t="s">
        <v>973</v>
      </c>
      <c r="F979" s="207"/>
      <c r="G979" s="27">
        <f>G981</f>
        <v>0</v>
      </c>
      <c r="J979" s="130"/>
      <c r="K979" s="130"/>
      <c r="L979" s="130"/>
      <c r="M979" s="130"/>
    </row>
    <row r="980" spans="1:13" ht="31.5" hidden="1">
      <c r="A980" s="26" t="s">
        <v>313</v>
      </c>
      <c r="B980" s="367">
        <v>907</v>
      </c>
      <c r="C980" s="207" t="s">
        <v>533</v>
      </c>
      <c r="D980" s="207" t="s">
        <v>159</v>
      </c>
      <c r="E980" s="207" t="s">
        <v>973</v>
      </c>
      <c r="F980" s="207" t="s">
        <v>314</v>
      </c>
      <c r="G980" s="27">
        <f>G981</f>
        <v>0</v>
      </c>
      <c r="J980" s="130"/>
      <c r="K980" s="130"/>
      <c r="L980" s="130"/>
      <c r="M980" s="130"/>
    </row>
    <row r="981" spans="1:13" ht="15.75" hidden="1">
      <c r="A981" s="26" t="s">
        <v>315</v>
      </c>
      <c r="B981" s="367">
        <v>907</v>
      </c>
      <c r="C981" s="207" t="s">
        <v>533</v>
      </c>
      <c r="D981" s="207" t="s">
        <v>159</v>
      </c>
      <c r="E981" s="207" t="s">
        <v>973</v>
      </c>
      <c r="F981" s="207" t="s">
        <v>316</v>
      </c>
      <c r="G981" s="27">
        <v>0</v>
      </c>
      <c r="J981" s="130"/>
      <c r="K981" s="130"/>
      <c r="L981" s="130"/>
      <c r="M981" s="130"/>
    </row>
    <row r="982" spans="1:13" ht="47.25">
      <c r="A982" s="31" t="s">
        <v>782</v>
      </c>
      <c r="B982" s="367">
        <v>907</v>
      </c>
      <c r="C982" s="207" t="s">
        <v>533</v>
      </c>
      <c r="D982" s="207" t="s">
        <v>159</v>
      </c>
      <c r="E982" s="207" t="s">
        <v>780</v>
      </c>
      <c r="F982" s="386"/>
      <c r="G982" s="27">
        <f>G983</f>
        <v>540.1</v>
      </c>
      <c r="J982" s="278"/>
      <c r="K982" s="130"/>
      <c r="L982" s="130"/>
      <c r="M982" s="130"/>
    </row>
    <row r="983" spans="1:10" ht="31.5">
      <c r="A983" s="120" t="s">
        <v>922</v>
      </c>
      <c r="B983" s="367">
        <v>907</v>
      </c>
      <c r="C983" s="207" t="s">
        <v>533</v>
      </c>
      <c r="D983" s="207" t="s">
        <v>159</v>
      </c>
      <c r="E983" s="207" t="s">
        <v>923</v>
      </c>
      <c r="F983" s="386"/>
      <c r="G983" s="27">
        <f>G984</f>
        <v>540.1</v>
      </c>
      <c r="J983" s="130"/>
    </row>
    <row r="984" spans="1:10" ht="31.5">
      <c r="A984" s="31" t="s">
        <v>313</v>
      </c>
      <c r="B984" s="367">
        <v>907</v>
      </c>
      <c r="C984" s="207" t="s">
        <v>533</v>
      </c>
      <c r="D984" s="207" t="s">
        <v>159</v>
      </c>
      <c r="E984" s="207" t="s">
        <v>923</v>
      </c>
      <c r="F984" s="386" t="s">
        <v>314</v>
      </c>
      <c r="G984" s="27">
        <f>G985</f>
        <v>540.1</v>
      </c>
      <c r="J984" s="130"/>
    </row>
    <row r="985" spans="1:10" ht="15.75">
      <c r="A985" s="31" t="s">
        <v>315</v>
      </c>
      <c r="B985" s="367">
        <v>907</v>
      </c>
      <c r="C985" s="207" t="s">
        <v>533</v>
      </c>
      <c r="D985" s="207" t="s">
        <v>159</v>
      </c>
      <c r="E985" s="207" t="s">
        <v>923</v>
      </c>
      <c r="F985" s="386" t="s">
        <v>316</v>
      </c>
      <c r="G985" s="27">
        <f>377+163.1</f>
        <v>540.1</v>
      </c>
      <c r="J985" s="130"/>
    </row>
    <row r="986" spans="1:10" ht="15.75">
      <c r="A986" s="26" t="s">
        <v>162</v>
      </c>
      <c r="B986" s="367">
        <v>907</v>
      </c>
      <c r="C986" s="207" t="s">
        <v>533</v>
      </c>
      <c r="D986" s="207" t="s">
        <v>159</v>
      </c>
      <c r="E986" s="207" t="s">
        <v>163</v>
      </c>
      <c r="F986" s="207"/>
      <c r="G986" s="27">
        <f>G987</f>
        <v>870.2</v>
      </c>
      <c r="J986" s="130"/>
    </row>
    <row r="987" spans="1:10" ht="15.75">
      <c r="A987" s="26" t="s">
        <v>226</v>
      </c>
      <c r="B987" s="367">
        <v>907</v>
      </c>
      <c r="C987" s="207" t="s">
        <v>533</v>
      </c>
      <c r="D987" s="207" t="s">
        <v>159</v>
      </c>
      <c r="E987" s="207" t="s">
        <v>227</v>
      </c>
      <c r="F987" s="207"/>
      <c r="G987" s="27">
        <f>G988+G991+G994</f>
        <v>870.2</v>
      </c>
      <c r="J987" s="130"/>
    </row>
    <row r="988" spans="1:10" ht="47.25" hidden="1">
      <c r="A988" s="33" t="s">
        <v>330</v>
      </c>
      <c r="B988" s="367">
        <v>907</v>
      </c>
      <c r="C988" s="207" t="s">
        <v>533</v>
      </c>
      <c r="D988" s="207" t="s">
        <v>159</v>
      </c>
      <c r="E988" s="207" t="s">
        <v>331</v>
      </c>
      <c r="F988" s="207"/>
      <c r="G988" s="27">
        <f>G989</f>
        <v>0</v>
      </c>
      <c r="J988" s="130"/>
    </row>
    <row r="989" spans="1:10" ht="31.5" hidden="1">
      <c r="A989" s="26" t="s">
        <v>313</v>
      </c>
      <c r="B989" s="367">
        <v>907</v>
      </c>
      <c r="C989" s="207" t="s">
        <v>533</v>
      </c>
      <c r="D989" s="207" t="s">
        <v>159</v>
      </c>
      <c r="E989" s="207" t="s">
        <v>331</v>
      </c>
      <c r="F989" s="207" t="s">
        <v>314</v>
      </c>
      <c r="G989" s="27">
        <f>G990</f>
        <v>0</v>
      </c>
      <c r="J989" s="130"/>
    </row>
    <row r="990" spans="1:10" ht="15.75" hidden="1">
      <c r="A990" s="26" t="s">
        <v>315</v>
      </c>
      <c r="B990" s="367">
        <v>907</v>
      </c>
      <c r="C990" s="207" t="s">
        <v>533</v>
      </c>
      <c r="D990" s="207" t="s">
        <v>159</v>
      </c>
      <c r="E990" s="207" t="s">
        <v>331</v>
      </c>
      <c r="F990" s="207" t="s">
        <v>316</v>
      </c>
      <c r="G990" s="389">
        <f>10.5-10.5</f>
        <v>0</v>
      </c>
      <c r="H990" s="352"/>
      <c r="I990" s="339"/>
      <c r="J990" s="130"/>
    </row>
    <row r="991" spans="1:10" ht="63" hidden="1">
      <c r="A991" s="33" t="s">
        <v>332</v>
      </c>
      <c r="B991" s="367">
        <v>907</v>
      </c>
      <c r="C991" s="207" t="s">
        <v>533</v>
      </c>
      <c r="D991" s="207" t="s">
        <v>159</v>
      </c>
      <c r="E991" s="207" t="s">
        <v>333</v>
      </c>
      <c r="F991" s="207"/>
      <c r="G991" s="27">
        <f>G992</f>
        <v>0</v>
      </c>
      <c r="J991" s="130"/>
    </row>
    <row r="992" spans="1:10" ht="31.5" hidden="1">
      <c r="A992" s="26" t="s">
        <v>313</v>
      </c>
      <c r="B992" s="367">
        <v>907</v>
      </c>
      <c r="C992" s="207" t="s">
        <v>533</v>
      </c>
      <c r="D992" s="207" t="s">
        <v>159</v>
      </c>
      <c r="E992" s="207" t="s">
        <v>333</v>
      </c>
      <c r="F992" s="207" t="s">
        <v>314</v>
      </c>
      <c r="G992" s="27">
        <f>G993</f>
        <v>0</v>
      </c>
      <c r="J992" s="130"/>
    </row>
    <row r="993" spans="1:10" ht="15.75" hidden="1">
      <c r="A993" s="26" t="s">
        <v>315</v>
      </c>
      <c r="B993" s="367">
        <v>907</v>
      </c>
      <c r="C993" s="207" t="s">
        <v>533</v>
      </c>
      <c r="D993" s="207" t="s">
        <v>159</v>
      </c>
      <c r="E993" s="207" t="s">
        <v>333</v>
      </c>
      <c r="F993" s="207" t="s">
        <v>316</v>
      </c>
      <c r="G993" s="27">
        <f>204.2-204.2</f>
        <v>0</v>
      </c>
      <c r="H993" s="352"/>
      <c r="I993" s="339"/>
      <c r="J993" s="130"/>
    </row>
    <row r="994" spans="1:10" ht="78.75">
      <c r="A994" s="33" t="s">
        <v>506</v>
      </c>
      <c r="B994" s="367">
        <v>907</v>
      </c>
      <c r="C994" s="207" t="s">
        <v>533</v>
      </c>
      <c r="D994" s="207" t="s">
        <v>159</v>
      </c>
      <c r="E994" s="207" t="s">
        <v>335</v>
      </c>
      <c r="F994" s="207"/>
      <c r="G994" s="27">
        <f>G995</f>
        <v>870.2</v>
      </c>
      <c r="J994" s="130"/>
    </row>
    <row r="995" spans="1:10" ht="31.5">
      <c r="A995" s="26" t="s">
        <v>313</v>
      </c>
      <c r="B995" s="367">
        <v>907</v>
      </c>
      <c r="C995" s="207" t="s">
        <v>533</v>
      </c>
      <c r="D995" s="207" t="s">
        <v>159</v>
      </c>
      <c r="E995" s="207" t="s">
        <v>335</v>
      </c>
      <c r="F995" s="207" t="s">
        <v>314</v>
      </c>
      <c r="G995" s="27">
        <f>G996</f>
        <v>870.2</v>
      </c>
      <c r="J995" s="130"/>
    </row>
    <row r="996" spans="1:10" ht="15.75">
      <c r="A996" s="26" t="s">
        <v>315</v>
      </c>
      <c r="B996" s="367">
        <v>907</v>
      </c>
      <c r="C996" s="207" t="s">
        <v>533</v>
      </c>
      <c r="D996" s="207" t="s">
        <v>159</v>
      </c>
      <c r="E996" s="207" t="s">
        <v>335</v>
      </c>
      <c r="F996" s="207" t="s">
        <v>316</v>
      </c>
      <c r="G996" s="27">
        <f>56.7+813.5</f>
        <v>870.2</v>
      </c>
      <c r="H996" s="352"/>
      <c r="I996" s="339"/>
      <c r="J996" s="281"/>
    </row>
    <row r="997" spans="1:10" ht="19.5" customHeight="1">
      <c r="A997" s="24" t="s">
        <v>542</v>
      </c>
      <c r="B997" s="382">
        <v>907</v>
      </c>
      <c r="C997" s="383" t="s">
        <v>533</v>
      </c>
      <c r="D997" s="383" t="s">
        <v>275</v>
      </c>
      <c r="E997" s="383"/>
      <c r="F997" s="383"/>
      <c r="G997" s="22">
        <f>G1005+G998</f>
        <v>12225.600000000002</v>
      </c>
      <c r="J997" s="130"/>
    </row>
    <row r="998" spans="1:10" ht="35.25" customHeight="1">
      <c r="A998" s="31" t="s">
        <v>523</v>
      </c>
      <c r="B998" s="367">
        <v>907</v>
      </c>
      <c r="C998" s="207" t="s">
        <v>533</v>
      </c>
      <c r="D998" s="207" t="s">
        <v>275</v>
      </c>
      <c r="E998" s="377" t="s">
        <v>524</v>
      </c>
      <c r="F998" s="207"/>
      <c r="G998" s="27">
        <f>G999</f>
        <v>2497.2</v>
      </c>
      <c r="J998" s="130"/>
    </row>
    <row r="999" spans="1:10" ht="32.25" customHeight="1">
      <c r="A999" s="47" t="s">
        <v>543</v>
      </c>
      <c r="B999" s="367">
        <v>907</v>
      </c>
      <c r="C999" s="207" t="s">
        <v>533</v>
      </c>
      <c r="D999" s="207" t="s">
        <v>275</v>
      </c>
      <c r="E999" s="377" t="s">
        <v>544</v>
      </c>
      <c r="F999" s="207"/>
      <c r="G999" s="27">
        <f>G1000</f>
        <v>2497.2</v>
      </c>
      <c r="J999" s="130"/>
    </row>
    <row r="1000" spans="1:10" ht="31.5">
      <c r="A1000" s="31" t="s">
        <v>198</v>
      </c>
      <c r="B1000" s="367">
        <v>907</v>
      </c>
      <c r="C1000" s="207" t="s">
        <v>533</v>
      </c>
      <c r="D1000" s="207" t="s">
        <v>275</v>
      </c>
      <c r="E1000" s="377" t="s">
        <v>545</v>
      </c>
      <c r="F1000" s="207"/>
      <c r="G1000" s="27">
        <f>G1001+G1003</f>
        <v>2497.2</v>
      </c>
      <c r="H1000" s="353"/>
      <c r="I1000" s="340"/>
      <c r="J1000" s="135"/>
    </row>
    <row r="1001" spans="1:10" ht="68.25" customHeight="1">
      <c r="A1001" s="26" t="s">
        <v>168</v>
      </c>
      <c r="B1001" s="367">
        <v>907</v>
      </c>
      <c r="C1001" s="207" t="s">
        <v>533</v>
      </c>
      <c r="D1001" s="207" t="s">
        <v>275</v>
      </c>
      <c r="E1001" s="377" t="s">
        <v>545</v>
      </c>
      <c r="F1001" s="207" t="s">
        <v>169</v>
      </c>
      <c r="G1001" s="27">
        <f>G1002</f>
        <v>1911</v>
      </c>
      <c r="J1001" s="130"/>
    </row>
    <row r="1002" spans="1:10" ht="15.75">
      <c r="A1002" s="26" t="s">
        <v>383</v>
      </c>
      <c r="B1002" s="367">
        <v>907</v>
      </c>
      <c r="C1002" s="207" t="s">
        <v>533</v>
      </c>
      <c r="D1002" s="207" t="s">
        <v>275</v>
      </c>
      <c r="E1002" s="377" t="s">
        <v>545</v>
      </c>
      <c r="F1002" s="207" t="s">
        <v>250</v>
      </c>
      <c r="G1002" s="27">
        <f>1611-4.8+4.8+300</f>
        <v>1911</v>
      </c>
      <c r="H1002" s="356" t="s">
        <v>1203</v>
      </c>
      <c r="J1002" s="130"/>
    </row>
    <row r="1003" spans="1:10" ht="31.5">
      <c r="A1003" s="31" t="s">
        <v>172</v>
      </c>
      <c r="B1003" s="367">
        <v>907</v>
      </c>
      <c r="C1003" s="207" t="s">
        <v>533</v>
      </c>
      <c r="D1003" s="207" t="s">
        <v>275</v>
      </c>
      <c r="E1003" s="377" t="s">
        <v>545</v>
      </c>
      <c r="F1003" s="207" t="s">
        <v>173</v>
      </c>
      <c r="G1003" s="27">
        <f>G1004</f>
        <v>586.2</v>
      </c>
      <c r="J1003" s="130"/>
    </row>
    <row r="1004" spans="1:10" ht="35.25" customHeight="1">
      <c r="A1004" s="31" t="s">
        <v>174</v>
      </c>
      <c r="B1004" s="367">
        <v>907</v>
      </c>
      <c r="C1004" s="207" t="s">
        <v>533</v>
      </c>
      <c r="D1004" s="207" t="s">
        <v>275</v>
      </c>
      <c r="E1004" s="377" t="s">
        <v>545</v>
      </c>
      <c r="F1004" s="207" t="s">
        <v>175</v>
      </c>
      <c r="G1004" s="27">
        <f>789+97.2+4.8-4.8-300</f>
        <v>586.2</v>
      </c>
      <c r="H1004" s="352" t="s">
        <v>1204</v>
      </c>
      <c r="J1004" s="130"/>
    </row>
    <row r="1005" spans="1:10" ht="15.75">
      <c r="A1005" s="26" t="s">
        <v>162</v>
      </c>
      <c r="B1005" s="367">
        <v>907</v>
      </c>
      <c r="C1005" s="207" t="s">
        <v>533</v>
      </c>
      <c r="D1005" s="207" t="s">
        <v>275</v>
      </c>
      <c r="E1005" s="207" t="s">
        <v>163</v>
      </c>
      <c r="F1005" s="207"/>
      <c r="G1005" s="27">
        <f>G1006+G1012</f>
        <v>9728.400000000001</v>
      </c>
      <c r="J1005" s="130"/>
    </row>
    <row r="1006" spans="1:10" ht="31.5">
      <c r="A1006" s="26" t="s">
        <v>164</v>
      </c>
      <c r="B1006" s="367">
        <v>907</v>
      </c>
      <c r="C1006" s="207" t="s">
        <v>533</v>
      </c>
      <c r="D1006" s="207" t="s">
        <v>275</v>
      </c>
      <c r="E1006" s="207" t="s">
        <v>165</v>
      </c>
      <c r="F1006" s="207"/>
      <c r="G1006" s="27">
        <f>G1007</f>
        <v>4537.200000000001</v>
      </c>
      <c r="J1006" s="130"/>
    </row>
    <row r="1007" spans="1:10" ht="33" customHeight="1">
      <c r="A1007" s="26" t="s">
        <v>166</v>
      </c>
      <c r="B1007" s="367">
        <v>907</v>
      </c>
      <c r="C1007" s="207" t="s">
        <v>533</v>
      </c>
      <c r="D1007" s="207" t="s">
        <v>275</v>
      </c>
      <c r="E1007" s="207" t="s">
        <v>167</v>
      </c>
      <c r="F1007" s="207"/>
      <c r="G1007" s="27">
        <f>G1008+G1010</f>
        <v>4537.200000000001</v>
      </c>
      <c r="J1007" s="130"/>
    </row>
    <row r="1008" spans="1:10" ht="64.5" customHeight="1">
      <c r="A1008" s="26" t="s">
        <v>168</v>
      </c>
      <c r="B1008" s="367">
        <v>907</v>
      </c>
      <c r="C1008" s="207" t="s">
        <v>533</v>
      </c>
      <c r="D1008" s="207" t="s">
        <v>275</v>
      </c>
      <c r="E1008" s="207" t="s">
        <v>167</v>
      </c>
      <c r="F1008" s="207" t="s">
        <v>169</v>
      </c>
      <c r="G1008" s="27">
        <f>G1009</f>
        <v>4537.200000000001</v>
      </c>
      <c r="J1008" s="130"/>
    </row>
    <row r="1009" spans="1:10" ht="31.5">
      <c r="A1009" s="26" t="s">
        <v>170</v>
      </c>
      <c r="B1009" s="367">
        <v>907</v>
      </c>
      <c r="C1009" s="207" t="s">
        <v>533</v>
      </c>
      <c r="D1009" s="207" t="s">
        <v>275</v>
      </c>
      <c r="E1009" s="207" t="s">
        <v>167</v>
      </c>
      <c r="F1009" s="207" t="s">
        <v>171</v>
      </c>
      <c r="G1009" s="28">
        <f>4378.8-26.2+184.6</f>
        <v>4537.200000000001</v>
      </c>
      <c r="H1009" s="352"/>
      <c r="J1009" s="130"/>
    </row>
    <row r="1010" spans="1:10" ht="31.5" customHeight="1" hidden="1">
      <c r="A1010" s="26" t="s">
        <v>172</v>
      </c>
      <c r="B1010" s="367">
        <v>907</v>
      </c>
      <c r="C1010" s="207" t="s">
        <v>533</v>
      </c>
      <c r="D1010" s="207" t="s">
        <v>275</v>
      </c>
      <c r="E1010" s="207" t="s">
        <v>167</v>
      </c>
      <c r="F1010" s="207" t="s">
        <v>173</v>
      </c>
      <c r="G1010" s="27">
        <f>G1011</f>
        <v>0</v>
      </c>
      <c r="J1010" s="130"/>
    </row>
    <row r="1011" spans="1:10" ht="47.25" customHeight="1" hidden="1">
      <c r="A1011" s="26" t="s">
        <v>174</v>
      </c>
      <c r="B1011" s="367">
        <v>907</v>
      </c>
      <c r="C1011" s="207" t="s">
        <v>533</v>
      </c>
      <c r="D1011" s="207" t="s">
        <v>275</v>
      </c>
      <c r="E1011" s="207" t="s">
        <v>167</v>
      </c>
      <c r="F1011" s="207" t="s">
        <v>175</v>
      </c>
      <c r="G1011" s="27">
        <v>0</v>
      </c>
      <c r="J1011" s="130"/>
    </row>
    <row r="1012" spans="1:10" ht="15.75">
      <c r="A1012" s="26" t="s">
        <v>182</v>
      </c>
      <c r="B1012" s="367">
        <v>907</v>
      </c>
      <c r="C1012" s="207" t="s">
        <v>533</v>
      </c>
      <c r="D1012" s="207" t="s">
        <v>275</v>
      </c>
      <c r="E1012" s="207" t="s">
        <v>183</v>
      </c>
      <c r="F1012" s="207"/>
      <c r="G1012" s="27">
        <f>G1013</f>
        <v>5191.2</v>
      </c>
      <c r="J1012" s="130"/>
    </row>
    <row r="1013" spans="1:10" ht="31.5">
      <c r="A1013" s="26" t="s">
        <v>381</v>
      </c>
      <c r="B1013" s="367">
        <v>907</v>
      </c>
      <c r="C1013" s="207" t="s">
        <v>533</v>
      </c>
      <c r="D1013" s="207" t="s">
        <v>275</v>
      </c>
      <c r="E1013" s="207" t="s">
        <v>382</v>
      </c>
      <c r="F1013" s="207"/>
      <c r="G1013" s="27">
        <f>G1014+G1016+G1018</f>
        <v>5191.2</v>
      </c>
      <c r="J1013" s="130"/>
    </row>
    <row r="1014" spans="1:10" ht="72.75" customHeight="1">
      <c r="A1014" s="26" t="s">
        <v>168</v>
      </c>
      <c r="B1014" s="367">
        <v>907</v>
      </c>
      <c r="C1014" s="207" t="s">
        <v>533</v>
      </c>
      <c r="D1014" s="207" t="s">
        <v>275</v>
      </c>
      <c r="E1014" s="207" t="s">
        <v>382</v>
      </c>
      <c r="F1014" s="207" t="s">
        <v>169</v>
      </c>
      <c r="G1014" s="27">
        <f>G1015</f>
        <v>4542.6</v>
      </c>
      <c r="J1014" s="130"/>
    </row>
    <row r="1015" spans="1:10" ht="20.25" customHeight="1">
      <c r="A1015" s="26" t="s">
        <v>383</v>
      </c>
      <c r="B1015" s="367">
        <v>907</v>
      </c>
      <c r="C1015" s="207" t="s">
        <v>533</v>
      </c>
      <c r="D1015" s="207" t="s">
        <v>275</v>
      </c>
      <c r="E1015" s="207" t="s">
        <v>382</v>
      </c>
      <c r="F1015" s="207" t="s">
        <v>250</v>
      </c>
      <c r="G1015" s="28">
        <f>3501.9+462.6+159.1+419</f>
        <v>4542.6</v>
      </c>
      <c r="H1015" s="352"/>
      <c r="I1015" s="339"/>
      <c r="J1015" s="281"/>
    </row>
    <row r="1016" spans="1:10" ht="31.5">
      <c r="A1016" s="26" t="s">
        <v>172</v>
      </c>
      <c r="B1016" s="367">
        <v>907</v>
      </c>
      <c r="C1016" s="207" t="s">
        <v>533</v>
      </c>
      <c r="D1016" s="207" t="s">
        <v>275</v>
      </c>
      <c r="E1016" s="207" t="s">
        <v>382</v>
      </c>
      <c r="F1016" s="207" t="s">
        <v>173</v>
      </c>
      <c r="G1016" s="27">
        <f>G1017</f>
        <v>597.4000000000001</v>
      </c>
      <c r="J1016" s="130"/>
    </row>
    <row r="1017" spans="1:10" ht="31.5">
      <c r="A1017" s="26" t="s">
        <v>174</v>
      </c>
      <c r="B1017" s="367">
        <v>907</v>
      </c>
      <c r="C1017" s="207" t="s">
        <v>533</v>
      </c>
      <c r="D1017" s="207" t="s">
        <v>275</v>
      </c>
      <c r="E1017" s="207" t="s">
        <v>382</v>
      </c>
      <c r="F1017" s="207" t="s">
        <v>175</v>
      </c>
      <c r="G1017" s="28">
        <f>764.2-166.8</f>
        <v>597.4000000000001</v>
      </c>
      <c r="H1017" s="352"/>
      <c r="J1017" s="281"/>
    </row>
    <row r="1018" spans="1:10" ht="15.75">
      <c r="A1018" s="26" t="s">
        <v>176</v>
      </c>
      <c r="B1018" s="367">
        <v>907</v>
      </c>
      <c r="C1018" s="207" t="s">
        <v>533</v>
      </c>
      <c r="D1018" s="207" t="s">
        <v>275</v>
      </c>
      <c r="E1018" s="207" t="s">
        <v>382</v>
      </c>
      <c r="F1018" s="207" t="s">
        <v>186</v>
      </c>
      <c r="G1018" s="27">
        <f>G1019</f>
        <v>51.2</v>
      </c>
      <c r="J1018" s="130"/>
    </row>
    <row r="1019" spans="1:10" ht="15.75">
      <c r="A1019" s="26" t="s">
        <v>610</v>
      </c>
      <c r="B1019" s="367">
        <v>907</v>
      </c>
      <c r="C1019" s="207" t="s">
        <v>533</v>
      </c>
      <c r="D1019" s="207" t="s">
        <v>275</v>
      </c>
      <c r="E1019" s="207" t="s">
        <v>382</v>
      </c>
      <c r="F1019" s="207" t="s">
        <v>179</v>
      </c>
      <c r="G1019" s="27">
        <f>27.1+24.1</f>
        <v>51.2</v>
      </c>
      <c r="J1019" s="130"/>
    </row>
    <row r="1020" spans="1:10" ht="31.5">
      <c r="A1020" s="20" t="s">
        <v>546</v>
      </c>
      <c r="B1020" s="382">
        <v>908</v>
      </c>
      <c r="C1020" s="207"/>
      <c r="D1020" s="207"/>
      <c r="E1020" s="207"/>
      <c r="F1020" s="207"/>
      <c r="G1020" s="22">
        <f>G1035+G1042+G1056+G1251+G1021</f>
        <v>226233.05000000002</v>
      </c>
      <c r="J1020" s="130"/>
    </row>
    <row r="1021" spans="1:10" ht="15.75">
      <c r="A1021" s="36" t="s">
        <v>158</v>
      </c>
      <c r="B1021" s="382">
        <v>908</v>
      </c>
      <c r="C1021" s="383" t="s">
        <v>159</v>
      </c>
      <c r="D1021" s="207"/>
      <c r="E1021" s="207"/>
      <c r="F1021" s="207"/>
      <c r="G1021" s="22">
        <f>G1022</f>
        <v>46568.799999999996</v>
      </c>
      <c r="J1021" s="130"/>
    </row>
    <row r="1022" spans="1:10" ht="15.75">
      <c r="A1022" s="36" t="s">
        <v>180</v>
      </c>
      <c r="B1022" s="382">
        <v>908</v>
      </c>
      <c r="C1022" s="383" t="s">
        <v>159</v>
      </c>
      <c r="D1022" s="383" t="s">
        <v>181</v>
      </c>
      <c r="E1022" s="207"/>
      <c r="F1022" s="207"/>
      <c r="G1022" s="22">
        <f>G1024+G1027</f>
        <v>46568.799999999996</v>
      </c>
      <c r="J1022" s="130"/>
    </row>
    <row r="1023" spans="1:10" ht="15.75" hidden="1">
      <c r="A1023" s="26" t="s">
        <v>182</v>
      </c>
      <c r="B1023" s="367">
        <v>908</v>
      </c>
      <c r="C1023" s="207" t="s">
        <v>159</v>
      </c>
      <c r="D1023" s="207" t="s">
        <v>181</v>
      </c>
      <c r="E1023" s="207" t="s">
        <v>183</v>
      </c>
      <c r="F1023" s="207"/>
      <c r="G1023" s="27">
        <f>G1024</f>
        <v>0</v>
      </c>
      <c r="J1023" s="130"/>
    </row>
    <row r="1024" spans="1:10" ht="15.75" hidden="1">
      <c r="A1024" s="26" t="s">
        <v>184</v>
      </c>
      <c r="B1024" s="367">
        <v>908</v>
      </c>
      <c r="C1024" s="207" t="s">
        <v>159</v>
      </c>
      <c r="D1024" s="207" t="s">
        <v>181</v>
      </c>
      <c r="E1024" s="207" t="s">
        <v>185</v>
      </c>
      <c r="F1024" s="207"/>
      <c r="G1024" s="27">
        <f>G1025</f>
        <v>0</v>
      </c>
      <c r="J1024" s="130"/>
    </row>
    <row r="1025" spans="1:10" ht="15.75" hidden="1">
      <c r="A1025" s="26" t="s">
        <v>176</v>
      </c>
      <c r="B1025" s="367">
        <v>908</v>
      </c>
      <c r="C1025" s="207" t="s">
        <v>159</v>
      </c>
      <c r="D1025" s="207" t="s">
        <v>181</v>
      </c>
      <c r="E1025" s="207" t="s">
        <v>185</v>
      </c>
      <c r="F1025" s="207" t="s">
        <v>186</v>
      </c>
      <c r="G1025" s="27">
        <f>G1026</f>
        <v>0</v>
      </c>
      <c r="J1025" s="130"/>
    </row>
    <row r="1026" spans="1:10" ht="15.75" hidden="1">
      <c r="A1026" s="26" t="s">
        <v>610</v>
      </c>
      <c r="B1026" s="367">
        <v>908</v>
      </c>
      <c r="C1026" s="207" t="s">
        <v>159</v>
      </c>
      <c r="D1026" s="207" t="s">
        <v>181</v>
      </c>
      <c r="E1026" s="207" t="s">
        <v>185</v>
      </c>
      <c r="F1026" s="207" t="s">
        <v>179</v>
      </c>
      <c r="G1026" s="27">
        <v>0</v>
      </c>
      <c r="J1026" s="130"/>
    </row>
    <row r="1027" spans="1:10" ht="21" customHeight="1">
      <c r="A1027" s="26" t="s">
        <v>626</v>
      </c>
      <c r="B1027" s="367">
        <v>908</v>
      </c>
      <c r="C1027" s="207" t="s">
        <v>159</v>
      </c>
      <c r="D1027" s="207" t="s">
        <v>181</v>
      </c>
      <c r="E1027" s="207" t="s">
        <v>627</v>
      </c>
      <c r="F1027" s="207"/>
      <c r="G1027" s="28">
        <f>G1028</f>
        <v>46568.799999999996</v>
      </c>
      <c r="J1027" s="130"/>
    </row>
    <row r="1028" spans="1:10" ht="15.75">
      <c r="A1028" s="26" t="s">
        <v>997</v>
      </c>
      <c r="B1028" s="367">
        <v>908</v>
      </c>
      <c r="C1028" s="207" t="s">
        <v>159</v>
      </c>
      <c r="D1028" s="207" t="s">
        <v>181</v>
      </c>
      <c r="E1028" s="207" t="s">
        <v>628</v>
      </c>
      <c r="F1028" s="207"/>
      <c r="G1028" s="28">
        <f>G1029+G1031+G1033</f>
        <v>46568.799999999996</v>
      </c>
      <c r="J1028" s="130"/>
    </row>
    <row r="1029" spans="1:10" ht="74.25" customHeight="1">
      <c r="A1029" s="26" t="s">
        <v>168</v>
      </c>
      <c r="B1029" s="367">
        <v>908</v>
      </c>
      <c r="C1029" s="207" t="s">
        <v>159</v>
      </c>
      <c r="D1029" s="207" t="s">
        <v>181</v>
      </c>
      <c r="E1029" s="207" t="s">
        <v>628</v>
      </c>
      <c r="F1029" s="207" t="s">
        <v>169</v>
      </c>
      <c r="G1029" s="28">
        <f>G1030</f>
        <v>35598.6</v>
      </c>
      <c r="J1029" s="130"/>
    </row>
    <row r="1030" spans="1:11" ht="15.75">
      <c r="A1030" s="47" t="s">
        <v>383</v>
      </c>
      <c r="B1030" s="367">
        <v>908</v>
      </c>
      <c r="C1030" s="207" t="s">
        <v>159</v>
      </c>
      <c r="D1030" s="207" t="s">
        <v>181</v>
      </c>
      <c r="E1030" s="207" t="s">
        <v>628</v>
      </c>
      <c r="F1030" s="207" t="s">
        <v>250</v>
      </c>
      <c r="G1030" s="28">
        <f>30242.8+2244.5+3111.3</f>
        <v>35598.6</v>
      </c>
      <c r="H1030" s="352"/>
      <c r="J1030" s="130"/>
      <c r="K1030" s="270"/>
    </row>
    <row r="1031" spans="1:11" ht="31.5">
      <c r="A1031" s="26" t="s">
        <v>172</v>
      </c>
      <c r="B1031" s="367">
        <v>908</v>
      </c>
      <c r="C1031" s="207" t="s">
        <v>159</v>
      </c>
      <c r="D1031" s="207" t="s">
        <v>181</v>
      </c>
      <c r="E1031" s="207" t="s">
        <v>628</v>
      </c>
      <c r="F1031" s="207" t="s">
        <v>173</v>
      </c>
      <c r="G1031" s="28">
        <f>G1032</f>
        <v>10549.599999999999</v>
      </c>
      <c r="J1031" s="130"/>
      <c r="K1031" s="261"/>
    </row>
    <row r="1032" spans="1:12" ht="31.5">
      <c r="A1032" s="26" t="s">
        <v>174</v>
      </c>
      <c r="B1032" s="367">
        <v>908</v>
      </c>
      <c r="C1032" s="207" t="s">
        <v>159</v>
      </c>
      <c r="D1032" s="207" t="s">
        <v>181</v>
      </c>
      <c r="E1032" s="207" t="s">
        <v>628</v>
      </c>
      <c r="F1032" s="207" t="s">
        <v>175</v>
      </c>
      <c r="G1032" s="28">
        <f>8950+1731.8-124.7-7.5</f>
        <v>10549.599999999999</v>
      </c>
      <c r="H1032" s="353"/>
      <c r="J1032" s="130"/>
      <c r="L1032" s="130"/>
    </row>
    <row r="1033" spans="1:10" ht="15.75">
      <c r="A1033" s="26" t="s">
        <v>176</v>
      </c>
      <c r="B1033" s="367">
        <v>908</v>
      </c>
      <c r="C1033" s="207" t="s">
        <v>159</v>
      </c>
      <c r="D1033" s="207" t="s">
        <v>181</v>
      </c>
      <c r="E1033" s="207" t="s">
        <v>628</v>
      </c>
      <c r="F1033" s="207" t="s">
        <v>186</v>
      </c>
      <c r="G1033" s="28">
        <f>G1034</f>
        <v>420.59999999999997</v>
      </c>
      <c r="J1033" s="130"/>
    </row>
    <row r="1034" spans="1:10" ht="15.75">
      <c r="A1034" s="26" t="s">
        <v>779</v>
      </c>
      <c r="B1034" s="367">
        <v>908</v>
      </c>
      <c r="C1034" s="207" t="s">
        <v>159</v>
      </c>
      <c r="D1034" s="207" t="s">
        <v>181</v>
      </c>
      <c r="E1034" s="207" t="s">
        <v>628</v>
      </c>
      <c r="F1034" s="207" t="s">
        <v>179</v>
      </c>
      <c r="G1034" s="28">
        <f>156.7+131.7+124.7+7.5</f>
        <v>420.59999999999997</v>
      </c>
      <c r="H1034" s="352"/>
      <c r="J1034" s="130"/>
    </row>
    <row r="1035" spans="1:10" ht="31.5">
      <c r="A1035" s="24" t="s">
        <v>263</v>
      </c>
      <c r="B1035" s="382">
        <v>908</v>
      </c>
      <c r="C1035" s="383" t="s">
        <v>256</v>
      </c>
      <c r="D1035" s="383"/>
      <c r="E1035" s="383"/>
      <c r="F1035" s="383"/>
      <c r="G1035" s="22">
        <f aca="true" t="shared" si="2" ref="G1035:G1040">G1036</f>
        <v>106.9</v>
      </c>
      <c r="J1035" s="130"/>
    </row>
    <row r="1036" spans="1:10" ht="47.25">
      <c r="A1036" s="24" t="s">
        <v>264</v>
      </c>
      <c r="B1036" s="382">
        <v>908</v>
      </c>
      <c r="C1036" s="383" t="s">
        <v>256</v>
      </c>
      <c r="D1036" s="383" t="s">
        <v>260</v>
      </c>
      <c r="E1036" s="383"/>
      <c r="F1036" s="383"/>
      <c r="G1036" s="22">
        <f t="shared" si="2"/>
        <v>106.9</v>
      </c>
      <c r="J1036" s="130"/>
    </row>
    <row r="1037" spans="1:10" ht="21.75" customHeight="1">
      <c r="A1037" s="26" t="s">
        <v>162</v>
      </c>
      <c r="B1037" s="367">
        <v>908</v>
      </c>
      <c r="C1037" s="207" t="s">
        <v>256</v>
      </c>
      <c r="D1037" s="207" t="s">
        <v>260</v>
      </c>
      <c r="E1037" s="207" t="s">
        <v>163</v>
      </c>
      <c r="F1037" s="207"/>
      <c r="G1037" s="27">
        <f t="shared" si="2"/>
        <v>106.9</v>
      </c>
      <c r="J1037" s="130"/>
    </row>
    <row r="1038" spans="1:10" ht="15.75">
      <c r="A1038" s="26" t="s">
        <v>182</v>
      </c>
      <c r="B1038" s="367">
        <v>908</v>
      </c>
      <c r="C1038" s="207" t="s">
        <v>256</v>
      </c>
      <c r="D1038" s="207" t="s">
        <v>260</v>
      </c>
      <c r="E1038" s="207" t="s">
        <v>183</v>
      </c>
      <c r="F1038" s="207"/>
      <c r="G1038" s="27">
        <f t="shared" si="2"/>
        <v>106.9</v>
      </c>
      <c r="J1038" s="130"/>
    </row>
    <row r="1039" spans="1:10" ht="15.75">
      <c r="A1039" s="26" t="s">
        <v>271</v>
      </c>
      <c r="B1039" s="367">
        <v>908</v>
      </c>
      <c r="C1039" s="207" t="s">
        <v>256</v>
      </c>
      <c r="D1039" s="207" t="s">
        <v>260</v>
      </c>
      <c r="E1039" s="207" t="s">
        <v>272</v>
      </c>
      <c r="F1039" s="207"/>
      <c r="G1039" s="27">
        <f t="shared" si="2"/>
        <v>106.9</v>
      </c>
      <c r="J1039" s="130"/>
    </row>
    <row r="1040" spans="1:10" ht="31.5">
      <c r="A1040" s="26" t="s">
        <v>172</v>
      </c>
      <c r="B1040" s="367">
        <v>908</v>
      </c>
      <c r="C1040" s="207" t="s">
        <v>256</v>
      </c>
      <c r="D1040" s="207" t="s">
        <v>260</v>
      </c>
      <c r="E1040" s="207" t="s">
        <v>272</v>
      </c>
      <c r="F1040" s="207" t="s">
        <v>173</v>
      </c>
      <c r="G1040" s="27">
        <f t="shared" si="2"/>
        <v>106.9</v>
      </c>
      <c r="J1040" s="130"/>
    </row>
    <row r="1041" spans="1:10" ht="31.5">
      <c r="A1041" s="26" t="s">
        <v>174</v>
      </c>
      <c r="B1041" s="367">
        <v>908</v>
      </c>
      <c r="C1041" s="207" t="s">
        <v>256</v>
      </c>
      <c r="D1041" s="207" t="s">
        <v>260</v>
      </c>
      <c r="E1041" s="207" t="s">
        <v>272</v>
      </c>
      <c r="F1041" s="207" t="s">
        <v>175</v>
      </c>
      <c r="G1041" s="27">
        <v>106.9</v>
      </c>
      <c r="H1041" s="363"/>
      <c r="J1041" s="130"/>
    </row>
    <row r="1042" spans="1:10" ht="15.75">
      <c r="A1042" s="24" t="s">
        <v>273</v>
      </c>
      <c r="B1042" s="382">
        <v>908</v>
      </c>
      <c r="C1042" s="383" t="s">
        <v>191</v>
      </c>
      <c r="D1042" s="383"/>
      <c r="E1042" s="383"/>
      <c r="F1042" s="383"/>
      <c r="G1042" s="22">
        <f>G1043+G1049</f>
        <v>8024.9</v>
      </c>
      <c r="J1042" s="130"/>
    </row>
    <row r="1043" spans="1:10" ht="15.75">
      <c r="A1043" s="24" t="s">
        <v>547</v>
      </c>
      <c r="B1043" s="382">
        <v>908</v>
      </c>
      <c r="C1043" s="383" t="s">
        <v>191</v>
      </c>
      <c r="D1043" s="383" t="s">
        <v>340</v>
      </c>
      <c r="E1043" s="383"/>
      <c r="F1043" s="383"/>
      <c r="G1043" s="22">
        <f>G1044</f>
        <v>3258.3</v>
      </c>
      <c r="J1043" s="130"/>
    </row>
    <row r="1044" spans="1:10" ht="15.75">
      <c r="A1044" s="26" t="s">
        <v>162</v>
      </c>
      <c r="B1044" s="367">
        <v>908</v>
      </c>
      <c r="C1044" s="207" t="s">
        <v>191</v>
      </c>
      <c r="D1044" s="207" t="s">
        <v>340</v>
      </c>
      <c r="E1044" s="207" t="s">
        <v>163</v>
      </c>
      <c r="F1044" s="383"/>
      <c r="G1044" s="27">
        <f>G1045</f>
        <v>3258.3</v>
      </c>
      <c r="J1044" s="130"/>
    </row>
    <row r="1045" spans="1:10" ht="15.75">
      <c r="A1045" s="26" t="s">
        <v>182</v>
      </c>
      <c r="B1045" s="367">
        <v>908</v>
      </c>
      <c r="C1045" s="207" t="s">
        <v>191</v>
      </c>
      <c r="D1045" s="207" t="s">
        <v>340</v>
      </c>
      <c r="E1045" s="207" t="s">
        <v>183</v>
      </c>
      <c r="F1045" s="383"/>
      <c r="G1045" s="27">
        <f>G1046</f>
        <v>3258.3</v>
      </c>
      <c r="J1045" s="130"/>
    </row>
    <row r="1046" spans="1:10" ht="18" customHeight="1">
      <c r="A1046" s="26" t="s">
        <v>548</v>
      </c>
      <c r="B1046" s="367">
        <v>908</v>
      </c>
      <c r="C1046" s="207" t="s">
        <v>191</v>
      </c>
      <c r="D1046" s="207" t="s">
        <v>340</v>
      </c>
      <c r="E1046" s="207" t="s">
        <v>549</v>
      </c>
      <c r="F1046" s="207"/>
      <c r="G1046" s="27">
        <f>G1047</f>
        <v>3258.3</v>
      </c>
      <c r="J1046" s="130"/>
    </row>
    <row r="1047" spans="1:10" ht="31.5">
      <c r="A1047" s="26" t="s">
        <v>172</v>
      </c>
      <c r="B1047" s="367">
        <v>908</v>
      </c>
      <c r="C1047" s="207" t="s">
        <v>191</v>
      </c>
      <c r="D1047" s="207" t="s">
        <v>340</v>
      </c>
      <c r="E1047" s="207" t="s">
        <v>549</v>
      </c>
      <c r="F1047" s="207" t="s">
        <v>173</v>
      </c>
      <c r="G1047" s="27">
        <f>G1048</f>
        <v>3258.3</v>
      </c>
      <c r="J1047" s="130"/>
    </row>
    <row r="1048" spans="1:10" ht="31.5">
      <c r="A1048" s="26" t="s">
        <v>174</v>
      </c>
      <c r="B1048" s="367">
        <v>908</v>
      </c>
      <c r="C1048" s="207" t="s">
        <v>191</v>
      </c>
      <c r="D1048" s="207" t="s">
        <v>340</v>
      </c>
      <c r="E1048" s="207" t="s">
        <v>549</v>
      </c>
      <c r="F1048" s="207" t="s">
        <v>175</v>
      </c>
      <c r="G1048" s="27">
        <f>3258.3</f>
        <v>3258.3</v>
      </c>
      <c r="J1048" s="130"/>
    </row>
    <row r="1049" spans="1:10" ht="15.75">
      <c r="A1049" s="24" t="s">
        <v>550</v>
      </c>
      <c r="B1049" s="382">
        <v>908</v>
      </c>
      <c r="C1049" s="383" t="s">
        <v>191</v>
      </c>
      <c r="D1049" s="383" t="s">
        <v>260</v>
      </c>
      <c r="E1049" s="207"/>
      <c r="F1049" s="383"/>
      <c r="G1049" s="22">
        <f>G1050</f>
        <v>4766.599999999999</v>
      </c>
      <c r="J1049" s="130"/>
    </row>
    <row r="1050" spans="1:10" ht="47.25">
      <c r="A1050" s="33" t="s">
        <v>958</v>
      </c>
      <c r="B1050" s="367">
        <v>908</v>
      </c>
      <c r="C1050" s="207" t="s">
        <v>191</v>
      </c>
      <c r="D1050" s="207" t="s">
        <v>260</v>
      </c>
      <c r="E1050" s="207" t="s">
        <v>552</v>
      </c>
      <c r="F1050" s="207"/>
      <c r="G1050" s="27">
        <f>G1051</f>
        <v>4766.599999999999</v>
      </c>
      <c r="J1050" s="130"/>
    </row>
    <row r="1051" spans="1:10" ht="15.75">
      <c r="A1051" s="31" t="s">
        <v>553</v>
      </c>
      <c r="B1051" s="367">
        <v>908</v>
      </c>
      <c r="C1051" s="207" t="s">
        <v>191</v>
      </c>
      <c r="D1051" s="207" t="s">
        <v>260</v>
      </c>
      <c r="E1051" s="377" t="s">
        <v>554</v>
      </c>
      <c r="F1051" s="207"/>
      <c r="G1051" s="27">
        <f>G1052+G1054</f>
        <v>4766.599999999999</v>
      </c>
      <c r="J1051" s="130"/>
    </row>
    <row r="1052" spans="1:10" ht="31.5">
      <c r="A1052" s="26" t="s">
        <v>172</v>
      </c>
      <c r="B1052" s="367">
        <v>908</v>
      </c>
      <c r="C1052" s="207" t="s">
        <v>191</v>
      </c>
      <c r="D1052" s="207" t="s">
        <v>260</v>
      </c>
      <c r="E1052" s="377" t="s">
        <v>554</v>
      </c>
      <c r="F1052" s="207" t="s">
        <v>173</v>
      </c>
      <c r="G1052" s="27">
        <f>G1053</f>
        <v>4740.499999999999</v>
      </c>
      <c r="J1052" s="130"/>
    </row>
    <row r="1053" spans="1:10" ht="31.5">
      <c r="A1053" s="26" t="s">
        <v>174</v>
      </c>
      <c r="B1053" s="367">
        <v>908</v>
      </c>
      <c r="C1053" s="207" t="s">
        <v>191</v>
      </c>
      <c r="D1053" s="207" t="s">
        <v>260</v>
      </c>
      <c r="E1053" s="377" t="s">
        <v>554</v>
      </c>
      <c r="F1053" s="207" t="s">
        <v>175</v>
      </c>
      <c r="G1053" s="27">
        <f>6346.5-10.1-91.6-44-300-1376.6+216.3</f>
        <v>4740.499999999999</v>
      </c>
      <c r="H1053" s="352" t="s">
        <v>1162</v>
      </c>
      <c r="I1053" s="338" t="s">
        <v>1188</v>
      </c>
      <c r="J1053" s="130"/>
    </row>
    <row r="1054" spans="1:10" ht="15.75">
      <c r="A1054" s="26" t="s">
        <v>176</v>
      </c>
      <c r="B1054" s="367">
        <v>908</v>
      </c>
      <c r="C1054" s="207" t="s">
        <v>191</v>
      </c>
      <c r="D1054" s="207" t="s">
        <v>260</v>
      </c>
      <c r="E1054" s="377" t="s">
        <v>554</v>
      </c>
      <c r="F1054" s="207" t="s">
        <v>186</v>
      </c>
      <c r="G1054" s="27">
        <f>G1055</f>
        <v>26.1</v>
      </c>
      <c r="J1054" s="130"/>
    </row>
    <row r="1055" spans="1:10" ht="15.75">
      <c r="A1055" s="26" t="s">
        <v>610</v>
      </c>
      <c r="B1055" s="367">
        <v>908</v>
      </c>
      <c r="C1055" s="207" t="s">
        <v>191</v>
      </c>
      <c r="D1055" s="207" t="s">
        <v>260</v>
      </c>
      <c r="E1055" s="377" t="s">
        <v>554</v>
      </c>
      <c r="F1055" s="207" t="s">
        <v>179</v>
      </c>
      <c r="G1055" s="27">
        <f>16+10.1</f>
        <v>26.1</v>
      </c>
      <c r="H1055" s="352"/>
      <c r="J1055" s="130"/>
    </row>
    <row r="1056" spans="1:10" ht="15.75">
      <c r="A1056" s="24" t="s">
        <v>432</v>
      </c>
      <c r="B1056" s="382">
        <v>908</v>
      </c>
      <c r="C1056" s="383" t="s">
        <v>275</v>
      </c>
      <c r="D1056" s="383"/>
      <c r="E1056" s="383"/>
      <c r="F1056" s="383"/>
      <c r="G1056" s="22">
        <f>G1057+G1080+G1163+G1229</f>
        <v>171445.35000000003</v>
      </c>
      <c r="J1056" s="130"/>
    </row>
    <row r="1057" spans="1:10" ht="15.75">
      <c r="A1057" s="24" t="s">
        <v>433</v>
      </c>
      <c r="B1057" s="382">
        <v>908</v>
      </c>
      <c r="C1057" s="383" t="s">
        <v>275</v>
      </c>
      <c r="D1057" s="383" t="s">
        <v>159</v>
      </c>
      <c r="E1057" s="383"/>
      <c r="F1057" s="383"/>
      <c r="G1057" s="22">
        <f>G1058</f>
        <v>23847.3</v>
      </c>
      <c r="J1057" s="130"/>
    </row>
    <row r="1058" spans="1:10" ht="15.75">
      <c r="A1058" s="26" t="s">
        <v>162</v>
      </c>
      <c r="B1058" s="367">
        <v>908</v>
      </c>
      <c r="C1058" s="207" t="s">
        <v>275</v>
      </c>
      <c r="D1058" s="207" t="s">
        <v>159</v>
      </c>
      <c r="E1058" s="207" t="s">
        <v>163</v>
      </c>
      <c r="F1058" s="207"/>
      <c r="G1058" s="27">
        <f>G1059+G1066</f>
        <v>23847.3</v>
      </c>
      <c r="J1058" s="130"/>
    </row>
    <row r="1059" spans="1:10" ht="15.75">
      <c r="A1059" s="26" t="s">
        <v>226</v>
      </c>
      <c r="B1059" s="367">
        <v>908</v>
      </c>
      <c r="C1059" s="207" t="s">
        <v>275</v>
      </c>
      <c r="D1059" s="207" t="s">
        <v>159</v>
      </c>
      <c r="E1059" s="207" t="s">
        <v>227</v>
      </c>
      <c r="F1059" s="207"/>
      <c r="G1059" s="27">
        <f>G1063</f>
        <v>8668.8</v>
      </c>
      <c r="J1059" s="130"/>
    </row>
    <row r="1060" spans="1:10" ht="15.75" customHeight="1" hidden="1">
      <c r="A1060" s="26" t="s">
        <v>555</v>
      </c>
      <c r="B1060" s="367">
        <v>908</v>
      </c>
      <c r="C1060" s="207" t="s">
        <v>275</v>
      </c>
      <c r="D1060" s="207" t="s">
        <v>159</v>
      </c>
      <c r="E1060" s="207" t="s">
        <v>556</v>
      </c>
      <c r="F1060" s="207"/>
      <c r="G1060" s="27">
        <f>G1061</f>
        <v>0</v>
      </c>
      <c r="J1060" s="130"/>
    </row>
    <row r="1061" spans="1:10" ht="15.75" customHeight="1" hidden="1">
      <c r="A1061" s="26" t="s">
        <v>176</v>
      </c>
      <c r="B1061" s="367">
        <v>908</v>
      </c>
      <c r="C1061" s="207" t="s">
        <v>275</v>
      </c>
      <c r="D1061" s="207" t="s">
        <v>159</v>
      </c>
      <c r="E1061" s="207" t="s">
        <v>556</v>
      </c>
      <c r="F1061" s="207" t="s">
        <v>186</v>
      </c>
      <c r="G1061" s="27">
        <f>G1062</f>
        <v>0</v>
      </c>
      <c r="J1061" s="130"/>
    </row>
    <row r="1062" spans="1:10" ht="63" customHeight="1" hidden="1">
      <c r="A1062" s="26" t="s">
        <v>225</v>
      </c>
      <c r="B1062" s="367">
        <v>908</v>
      </c>
      <c r="C1062" s="207" t="s">
        <v>275</v>
      </c>
      <c r="D1062" s="207" t="s">
        <v>159</v>
      </c>
      <c r="E1062" s="207" t="s">
        <v>556</v>
      </c>
      <c r="F1062" s="207" t="s">
        <v>201</v>
      </c>
      <c r="G1062" s="27">
        <v>0</v>
      </c>
      <c r="J1062" s="130"/>
    </row>
    <row r="1063" spans="1:10" s="286" customFormat="1" ht="31.5">
      <c r="A1063" s="26" t="s">
        <v>1137</v>
      </c>
      <c r="B1063" s="367">
        <v>908</v>
      </c>
      <c r="C1063" s="207" t="s">
        <v>275</v>
      </c>
      <c r="D1063" s="207" t="s">
        <v>159</v>
      </c>
      <c r="E1063" s="207" t="s">
        <v>1138</v>
      </c>
      <c r="F1063" s="207"/>
      <c r="G1063" s="27">
        <f>G1064</f>
        <v>8668.8</v>
      </c>
      <c r="H1063" s="351"/>
      <c r="I1063" s="280"/>
      <c r="J1063" s="130"/>
    </row>
    <row r="1064" spans="1:10" s="286" customFormat="1" ht="31.5">
      <c r="A1064" s="26" t="s">
        <v>172</v>
      </c>
      <c r="B1064" s="367">
        <v>908</v>
      </c>
      <c r="C1064" s="207" t="s">
        <v>275</v>
      </c>
      <c r="D1064" s="207" t="s">
        <v>159</v>
      </c>
      <c r="E1064" s="207" t="s">
        <v>1138</v>
      </c>
      <c r="F1064" s="207" t="s">
        <v>173</v>
      </c>
      <c r="G1064" s="27">
        <f>G1065</f>
        <v>8668.8</v>
      </c>
      <c r="H1064" s="351"/>
      <c r="I1064" s="280"/>
      <c r="J1064" s="130"/>
    </row>
    <row r="1065" spans="1:10" s="286" customFormat="1" ht="31.5">
      <c r="A1065" s="26" t="s">
        <v>174</v>
      </c>
      <c r="B1065" s="367">
        <v>908</v>
      </c>
      <c r="C1065" s="207" t="s">
        <v>275</v>
      </c>
      <c r="D1065" s="207" t="s">
        <v>159</v>
      </c>
      <c r="E1065" s="207" t="s">
        <v>1138</v>
      </c>
      <c r="F1065" s="207" t="s">
        <v>175</v>
      </c>
      <c r="G1065" s="27">
        <f>10230.9-1562.1</f>
        <v>8668.8</v>
      </c>
      <c r="H1065" s="351" t="s">
        <v>1232</v>
      </c>
      <c r="I1065" s="280" t="s">
        <v>1231</v>
      </c>
      <c r="J1065" s="130"/>
    </row>
    <row r="1066" spans="1:10" ht="15.75">
      <c r="A1066" s="26" t="s">
        <v>182</v>
      </c>
      <c r="B1066" s="367">
        <v>908</v>
      </c>
      <c r="C1066" s="207" t="s">
        <v>275</v>
      </c>
      <c r="D1066" s="207" t="s">
        <v>159</v>
      </c>
      <c r="E1066" s="207" t="s">
        <v>183</v>
      </c>
      <c r="F1066" s="383"/>
      <c r="G1066" s="27">
        <f>G1077+G1074+G1067</f>
        <v>15178.5</v>
      </c>
      <c r="J1066" s="130"/>
    </row>
    <row r="1067" spans="1:10" ht="15.75">
      <c r="A1067" s="26" t="s">
        <v>557</v>
      </c>
      <c r="B1067" s="367">
        <v>908</v>
      </c>
      <c r="C1067" s="207" t="s">
        <v>908</v>
      </c>
      <c r="D1067" s="207" t="s">
        <v>159</v>
      </c>
      <c r="E1067" s="207" t="s">
        <v>558</v>
      </c>
      <c r="F1067" s="383"/>
      <c r="G1067" s="27">
        <f>G1072+G1068+G1070</f>
        <v>10095.6</v>
      </c>
      <c r="J1067" s="130"/>
    </row>
    <row r="1068" spans="1:10" s="286" customFormat="1" ht="31.5">
      <c r="A1068" s="26" t="s">
        <v>172</v>
      </c>
      <c r="B1068" s="367">
        <v>908</v>
      </c>
      <c r="C1068" s="207" t="s">
        <v>908</v>
      </c>
      <c r="D1068" s="207" t="s">
        <v>159</v>
      </c>
      <c r="E1068" s="207" t="s">
        <v>558</v>
      </c>
      <c r="F1068" s="207" t="s">
        <v>173</v>
      </c>
      <c r="G1068" s="27">
        <f>G1069</f>
        <v>70</v>
      </c>
      <c r="H1068" s="351"/>
      <c r="I1068" s="280"/>
      <c r="J1068" s="130"/>
    </row>
    <row r="1069" spans="1:10" s="286" customFormat="1" ht="31.5">
      <c r="A1069" s="26" t="s">
        <v>174</v>
      </c>
      <c r="B1069" s="367">
        <v>908</v>
      </c>
      <c r="C1069" s="207" t="s">
        <v>908</v>
      </c>
      <c r="D1069" s="207" t="s">
        <v>159</v>
      </c>
      <c r="E1069" s="207" t="s">
        <v>558</v>
      </c>
      <c r="F1069" s="207" t="s">
        <v>175</v>
      </c>
      <c r="G1069" s="27">
        <f>10000-10000+70</f>
        <v>70</v>
      </c>
      <c r="H1069" s="351" t="s">
        <v>1220</v>
      </c>
      <c r="I1069" s="280"/>
      <c r="J1069" s="130"/>
    </row>
    <row r="1070" spans="1:10" s="286" customFormat="1" ht="31.5">
      <c r="A1070" s="26" t="s">
        <v>1100</v>
      </c>
      <c r="B1070" s="367">
        <v>908</v>
      </c>
      <c r="C1070" s="207" t="s">
        <v>908</v>
      </c>
      <c r="D1070" s="207" t="s">
        <v>159</v>
      </c>
      <c r="E1070" s="207" t="s">
        <v>558</v>
      </c>
      <c r="F1070" s="207" t="s">
        <v>1098</v>
      </c>
      <c r="G1070" s="27">
        <f>G1071</f>
        <v>10000</v>
      </c>
      <c r="H1070" s="351"/>
      <c r="I1070" s="280"/>
      <c r="J1070" s="130"/>
    </row>
    <row r="1071" spans="1:10" s="286" customFormat="1" ht="15.75">
      <c r="A1071" s="26" t="s">
        <v>1152</v>
      </c>
      <c r="B1071" s="367">
        <v>908</v>
      </c>
      <c r="C1071" s="207" t="s">
        <v>908</v>
      </c>
      <c r="D1071" s="207" t="s">
        <v>159</v>
      </c>
      <c r="E1071" s="207" t="s">
        <v>558</v>
      </c>
      <c r="F1071" s="207" t="s">
        <v>1153</v>
      </c>
      <c r="G1071" s="27">
        <v>10000</v>
      </c>
      <c r="H1071" s="351" t="s">
        <v>1118</v>
      </c>
      <c r="I1071" s="280"/>
      <c r="J1071" s="130"/>
    </row>
    <row r="1072" spans="1:10" ht="15.75">
      <c r="A1072" s="26" t="s">
        <v>176</v>
      </c>
      <c r="B1072" s="367">
        <v>908</v>
      </c>
      <c r="C1072" s="207" t="s">
        <v>275</v>
      </c>
      <c r="D1072" s="207" t="s">
        <v>159</v>
      </c>
      <c r="E1072" s="207" t="s">
        <v>558</v>
      </c>
      <c r="F1072" s="207" t="s">
        <v>186</v>
      </c>
      <c r="G1072" s="27">
        <f>G1073</f>
        <v>25.59999999999991</v>
      </c>
      <c r="J1072" s="130"/>
    </row>
    <row r="1073" spans="1:10" ht="48.75" customHeight="1">
      <c r="A1073" s="26" t="s">
        <v>225</v>
      </c>
      <c r="B1073" s="367">
        <v>908</v>
      </c>
      <c r="C1073" s="207" t="s">
        <v>275</v>
      </c>
      <c r="D1073" s="207" t="s">
        <v>159</v>
      </c>
      <c r="E1073" s="207" t="s">
        <v>558</v>
      </c>
      <c r="F1073" s="207" t="s">
        <v>201</v>
      </c>
      <c r="G1073" s="27">
        <f>1525.6-1500</f>
        <v>25.59999999999991</v>
      </c>
      <c r="H1073" s="351" t="s">
        <v>1199</v>
      </c>
      <c r="J1073" s="130"/>
    </row>
    <row r="1074" spans="1:10" ht="31.5">
      <c r="A1074" s="31" t="s">
        <v>440</v>
      </c>
      <c r="B1074" s="367">
        <v>908</v>
      </c>
      <c r="C1074" s="207" t="s">
        <v>275</v>
      </c>
      <c r="D1074" s="207" t="s">
        <v>159</v>
      </c>
      <c r="E1074" s="207" t="s">
        <v>441</v>
      </c>
      <c r="F1074" s="383"/>
      <c r="G1074" s="27">
        <f>G1075</f>
        <v>3822.6</v>
      </c>
      <c r="J1074" s="130"/>
    </row>
    <row r="1075" spans="1:10" ht="31.5">
      <c r="A1075" s="26" t="s">
        <v>172</v>
      </c>
      <c r="B1075" s="367">
        <v>908</v>
      </c>
      <c r="C1075" s="207" t="s">
        <v>275</v>
      </c>
      <c r="D1075" s="207" t="s">
        <v>159</v>
      </c>
      <c r="E1075" s="207" t="s">
        <v>441</v>
      </c>
      <c r="F1075" s="207" t="s">
        <v>173</v>
      </c>
      <c r="G1075" s="27">
        <f>G1076</f>
        <v>3822.6</v>
      </c>
      <c r="J1075" s="130"/>
    </row>
    <row r="1076" spans="1:12" ht="33" customHeight="1">
      <c r="A1076" s="26" t="s">
        <v>174</v>
      </c>
      <c r="B1076" s="367">
        <v>908</v>
      </c>
      <c r="C1076" s="207" t="s">
        <v>275</v>
      </c>
      <c r="D1076" s="207" t="s">
        <v>159</v>
      </c>
      <c r="E1076" s="207" t="s">
        <v>441</v>
      </c>
      <c r="F1076" s="207" t="s">
        <v>175</v>
      </c>
      <c r="G1076" s="28">
        <f>4017.6-195</f>
        <v>3822.6</v>
      </c>
      <c r="H1076" s="351" t="s">
        <v>1219</v>
      </c>
      <c r="J1076" s="130"/>
      <c r="K1076" s="137"/>
      <c r="L1076" s="137"/>
    </row>
    <row r="1077" spans="1:10" ht="15.75">
      <c r="A1077" s="26" t="s">
        <v>581</v>
      </c>
      <c r="B1077" s="367">
        <v>908</v>
      </c>
      <c r="C1077" s="207" t="s">
        <v>275</v>
      </c>
      <c r="D1077" s="207" t="s">
        <v>159</v>
      </c>
      <c r="E1077" s="207" t="s">
        <v>582</v>
      </c>
      <c r="F1077" s="383"/>
      <c r="G1077" s="27">
        <f>G1078</f>
        <v>1260.3</v>
      </c>
      <c r="J1077" s="130"/>
    </row>
    <row r="1078" spans="1:10" ht="31.5">
      <c r="A1078" s="26" t="s">
        <v>172</v>
      </c>
      <c r="B1078" s="367">
        <v>908</v>
      </c>
      <c r="C1078" s="207" t="s">
        <v>275</v>
      </c>
      <c r="D1078" s="207" t="s">
        <v>159</v>
      </c>
      <c r="E1078" s="207" t="s">
        <v>582</v>
      </c>
      <c r="F1078" s="207" t="s">
        <v>173</v>
      </c>
      <c r="G1078" s="27">
        <f>G1079</f>
        <v>1260.3</v>
      </c>
      <c r="J1078" s="130"/>
    </row>
    <row r="1079" spans="1:10" ht="33" customHeight="1">
      <c r="A1079" s="26" t="s">
        <v>174</v>
      </c>
      <c r="B1079" s="367">
        <v>908</v>
      </c>
      <c r="C1079" s="207" t="s">
        <v>275</v>
      </c>
      <c r="D1079" s="207" t="s">
        <v>159</v>
      </c>
      <c r="E1079" s="207" t="s">
        <v>582</v>
      </c>
      <c r="F1079" s="207" t="s">
        <v>175</v>
      </c>
      <c r="G1079" s="27">
        <f>1191.6-15-41.3+125</f>
        <v>1260.3</v>
      </c>
      <c r="H1079" s="351" t="s">
        <v>1222</v>
      </c>
      <c r="I1079" s="313" t="s">
        <v>1221</v>
      </c>
      <c r="J1079" s="130"/>
    </row>
    <row r="1080" spans="1:10" ht="15.75">
      <c r="A1080" s="24" t="s">
        <v>559</v>
      </c>
      <c r="B1080" s="382">
        <v>908</v>
      </c>
      <c r="C1080" s="383" t="s">
        <v>275</v>
      </c>
      <c r="D1080" s="383" t="s">
        <v>254</v>
      </c>
      <c r="E1080" s="383"/>
      <c r="F1080" s="383"/>
      <c r="G1080" s="22">
        <f>G1081+G1112</f>
        <v>107017.96</v>
      </c>
      <c r="J1080" s="130"/>
    </row>
    <row r="1081" spans="1:10" ht="47.25">
      <c r="A1081" s="26" t="s">
        <v>1060</v>
      </c>
      <c r="B1081" s="367">
        <v>908</v>
      </c>
      <c r="C1081" s="207" t="s">
        <v>275</v>
      </c>
      <c r="D1081" s="207" t="s">
        <v>254</v>
      </c>
      <c r="E1081" s="207" t="s">
        <v>560</v>
      </c>
      <c r="F1081" s="383"/>
      <c r="G1081" s="27">
        <f>G1085+G1088+G1093+G1098+G1103+G1109+G1106</f>
        <v>9226.800000000001</v>
      </c>
      <c r="J1081" s="135"/>
    </row>
    <row r="1082" spans="1:10" ht="47.25" customHeight="1" hidden="1">
      <c r="A1082" s="26" t="s">
        <v>561</v>
      </c>
      <c r="B1082" s="367">
        <v>908</v>
      </c>
      <c r="C1082" s="207" t="s">
        <v>275</v>
      </c>
      <c r="D1082" s="207" t="s">
        <v>254</v>
      </c>
      <c r="E1082" s="207" t="s">
        <v>562</v>
      </c>
      <c r="F1082" s="207"/>
      <c r="G1082" s="27">
        <f>G1083</f>
        <v>0</v>
      </c>
      <c r="J1082" s="130"/>
    </row>
    <row r="1083" spans="1:10" ht="31.5" customHeight="1" hidden="1">
      <c r="A1083" s="26" t="s">
        <v>172</v>
      </c>
      <c r="B1083" s="367">
        <v>908</v>
      </c>
      <c r="C1083" s="207" t="s">
        <v>275</v>
      </c>
      <c r="D1083" s="207" t="s">
        <v>254</v>
      </c>
      <c r="E1083" s="207" t="s">
        <v>562</v>
      </c>
      <c r="F1083" s="207" t="s">
        <v>173</v>
      </c>
      <c r="G1083" s="27">
        <f>G1084</f>
        <v>0</v>
      </c>
      <c r="J1083" s="130"/>
    </row>
    <row r="1084" spans="1:10" ht="47.25" customHeight="1" hidden="1">
      <c r="A1084" s="26" t="s">
        <v>174</v>
      </c>
      <c r="B1084" s="367">
        <v>908</v>
      </c>
      <c r="C1084" s="207" t="s">
        <v>275</v>
      </c>
      <c r="D1084" s="207" t="s">
        <v>254</v>
      </c>
      <c r="E1084" s="207" t="s">
        <v>562</v>
      </c>
      <c r="F1084" s="207" t="s">
        <v>175</v>
      </c>
      <c r="G1084" s="27">
        <v>0</v>
      </c>
      <c r="J1084" s="130"/>
    </row>
    <row r="1085" spans="1:10" ht="15.75">
      <c r="A1085" s="47" t="s">
        <v>563</v>
      </c>
      <c r="B1085" s="367">
        <v>908</v>
      </c>
      <c r="C1085" s="377" t="s">
        <v>275</v>
      </c>
      <c r="D1085" s="377" t="s">
        <v>254</v>
      </c>
      <c r="E1085" s="207" t="s">
        <v>564</v>
      </c>
      <c r="F1085" s="377"/>
      <c r="G1085" s="27">
        <f>G1086</f>
        <v>4377</v>
      </c>
      <c r="J1085" s="130"/>
    </row>
    <row r="1086" spans="1:10" ht="31.5">
      <c r="A1086" s="33" t="s">
        <v>172</v>
      </c>
      <c r="B1086" s="367">
        <v>908</v>
      </c>
      <c r="C1086" s="377" t="s">
        <v>275</v>
      </c>
      <c r="D1086" s="377" t="s">
        <v>254</v>
      </c>
      <c r="E1086" s="207" t="s">
        <v>564</v>
      </c>
      <c r="F1086" s="377" t="s">
        <v>173</v>
      </c>
      <c r="G1086" s="27">
        <f>G1087</f>
        <v>4377</v>
      </c>
      <c r="J1086" s="130"/>
    </row>
    <row r="1087" spans="1:11" ht="31.5">
      <c r="A1087" s="33" t="s">
        <v>174</v>
      </c>
      <c r="B1087" s="367">
        <v>908</v>
      </c>
      <c r="C1087" s="377" t="s">
        <v>275</v>
      </c>
      <c r="D1087" s="377" t="s">
        <v>254</v>
      </c>
      <c r="E1087" s="207" t="s">
        <v>564</v>
      </c>
      <c r="F1087" s="377" t="s">
        <v>175</v>
      </c>
      <c r="G1087" s="27">
        <f>2903+250+60+1164</f>
        <v>4377</v>
      </c>
      <c r="H1087" s="356"/>
      <c r="I1087" s="343"/>
      <c r="J1087" s="130"/>
      <c r="K1087" s="130"/>
    </row>
    <row r="1088" spans="1:10" ht="15.75">
      <c r="A1088" s="47" t="s">
        <v>565</v>
      </c>
      <c r="B1088" s="367">
        <v>908</v>
      </c>
      <c r="C1088" s="377" t="s">
        <v>275</v>
      </c>
      <c r="D1088" s="377" t="s">
        <v>254</v>
      </c>
      <c r="E1088" s="207" t="s">
        <v>566</v>
      </c>
      <c r="F1088" s="377"/>
      <c r="G1088" s="27">
        <f>G1089+G1091</f>
        <v>400</v>
      </c>
      <c r="J1088" s="130"/>
    </row>
    <row r="1089" spans="1:10" ht="31.5">
      <c r="A1089" s="33" t="s">
        <v>172</v>
      </c>
      <c r="B1089" s="367">
        <v>908</v>
      </c>
      <c r="C1089" s="377" t="s">
        <v>275</v>
      </c>
      <c r="D1089" s="377" t="s">
        <v>254</v>
      </c>
      <c r="E1089" s="207" t="s">
        <v>566</v>
      </c>
      <c r="F1089" s="377" t="s">
        <v>173</v>
      </c>
      <c r="G1089" s="27">
        <f>G1090</f>
        <v>400</v>
      </c>
      <c r="J1089" s="130"/>
    </row>
    <row r="1090" spans="1:10" ht="31.5">
      <c r="A1090" s="33" t="s">
        <v>174</v>
      </c>
      <c r="B1090" s="367">
        <v>908</v>
      </c>
      <c r="C1090" s="377" t="s">
        <v>275</v>
      </c>
      <c r="D1090" s="377" t="s">
        <v>254</v>
      </c>
      <c r="E1090" s="207" t="s">
        <v>566</v>
      </c>
      <c r="F1090" s="377" t="s">
        <v>175</v>
      </c>
      <c r="G1090" s="7">
        <f>400</f>
        <v>400</v>
      </c>
      <c r="H1090" s="356"/>
      <c r="J1090" s="130"/>
    </row>
    <row r="1091" spans="1:10" ht="15.75" hidden="1">
      <c r="A1091" s="26" t="s">
        <v>176</v>
      </c>
      <c r="B1091" s="367">
        <v>908</v>
      </c>
      <c r="C1091" s="377" t="s">
        <v>275</v>
      </c>
      <c r="D1091" s="377" t="s">
        <v>254</v>
      </c>
      <c r="E1091" s="207" t="s">
        <v>566</v>
      </c>
      <c r="F1091" s="377" t="s">
        <v>186</v>
      </c>
      <c r="G1091" s="7">
        <f>G1092</f>
        <v>0</v>
      </c>
      <c r="J1091" s="130"/>
    </row>
    <row r="1092" spans="1:10" ht="15.75" hidden="1">
      <c r="A1092" s="26" t="s">
        <v>187</v>
      </c>
      <c r="B1092" s="367">
        <v>908</v>
      </c>
      <c r="C1092" s="377" t="s">
        <v>275</v>
      </c>
      <c r="D1092" s="377" t="s">
        <v>254</v>
      </c>
      <c r="E1092" s="207" t="s">
        <v>566</v>
      </c>
      <c r="F1092" s="377" t="s">
        <v>188</v>
      </c>
      <c r="G1092" s="7">
        <v>0</v>
      </c>
      <c r="J1092" s="130"/>
    </row>
    <row r="1093" spans="1:10" ht="15.75">
      <c r="A1093" s="120" t="s">
        <v>567</v>
      </c>
      <c r="B1093" s="367">
        <v>908</v>
      </c>
      <c r="C1093" s="377" t="s">
        <v>275</v>
      </c>
      <c r="D1093" s="377" t="s">
        <v>254</v>
      </c>
      <c r="E1093" s="207" t="s">
        <v>568</v>
      </c>
      <c r="F1093" s="377"/>
      <c r="G1093" s="27">
        <f>G1094+G1096</f>
        <v>1733</v>
      </c>
      <c r="J1093" s="130"/>
    </row>
    <row r="1094" spans="1:10" ht="31.5">
      <c r="A1094" s="33" t="s">
        <v>172</v>
      </c>
      <c r="B1094" s="367">
        <v>908</v>
      </c>
      <c r="C1094" s="377" t="s">
        <v>275</v>
      </c>
      <c r="D1094" s="377" t="s">
        <v>254</v>
      </c>
      <c r="E1094" s="207" t="s">
        <v>568</v>
      </c>
      <c r="F1094" s="377" t="s">
        <v>173</v>
      </c>
      <c r="G1094" s="27">
        <f>G1095</f>
        <v>1733</v>
      </c>
      <c r="J1094" s="130"/>
    </row>
    <row r="1095" spans="1:12" ht="31.5">
      <c r="A1095" s="33" t="s">
        <v>174</v>
      </c>
      <c r="B1095" s="367">
        <v>908</v>
      </c>
      <c r="C1095" s="377" t="s">
        <v>275</v>
      </c>
      <c r="D1095" s="377" t="s">
        <v>254</v>
      </c>
      <c r="E1095" s="207" t="s">
        <v>568</v>
      </c>
      <c r="F1095" s="377" t="s">
        <v>175</v>
      </c>
      <c r="G1095" s="7">
        <f>200+20-60+1573</f>
        <v>1733</v>
      </c>
      <c r="H1095" s="356"/>
      <c r="I1095" s="343"/>
      <c r="J1095" s="130"/>
      <c r="K1095" s="130"/>
      <c r="L1095" s="130"/>
    </row>
    <row r="1096" spans="1:10" ht="15.75" hidden="1">
      <c r="A1096" s="26" t="s">
        <v>176</v>
      </c>
      <c r="B1096" s="367">
        <v>908</v>
      </c>
      <c r="C1096" s="377" t="s">
        <v>275</v>
      </c>
      <c r="D1096" s="377" t="s">
        <v>254</v>
      </c>
      <c r="E1096" s="207" t="s">
        <v>568</v>
      </c>
      <c r="F1096" s="377" t="s">
        <v>186</v>
      </c>
      <c r="G1096" s="7">
        <f>G1097</f>
        <v>0</v>
      </c>
      <c r="J1096" s="130"/>
    </row>
    <row r="1097" spans="1:10" ht="15.75" hidden="1">
      <c r="A1097" s="26" t="s">
        <v>779</v>
      </c>
      <c r="B1097" s="367">
        <v>908</v>
      </c>
      <c r="C1097" s="377" t="s">
        <v>275</v>
      </c>
      <c r="D1097" s="377" t="s">
        <v>254</v>
      </c>
      <c r="E1097" s="207" t="s">
        <v>568</v>
      </c>
      <c r="F1097" s="377" t="s">
        <v>179</v>
      </c>
      <c r="G1097" s="7">
        <v>0</v>
      </c>
      <c r="J1097" s="130"/>
    </row>
    <row r="1098" spans="1:10" ht="15.75">
      <c r="A1098" s="47" t="s">
        <v>569</v>
      </c>
      <c r="B1098" s="367">
        <v>908</v>
      </c>
      <c r="C1098" s="377" t="s">
        <v>275</v>
      </c>
      <c r="D1098" s="377" t="s">
        <v>254</v>
      </c>
      <c r="E1098" s="207" t="s">
        <v>570</v>
      </c>
      <c r="F1098" s="377"/>
      <c r="G1098" s="27">
        <f>G1099+G1101</f>
        <v>2588.2</v>
      </c>
      <c r="J1098" s="130"/>
    </row>
    <row r="1099" spans="1:10" ht="31.5">
      <c r="A1099" s="33" t="s">
        <v>172</v>
      </c>
      <c r="B1099" s="367">
        <v>908</v>
      </c>
      <c r="C1099" s="377" t="s">
        <v>275</v>
      </c>
      <c r="D1099" s="377" t="s">
        <v>254</v>
      </c>
      <c r="E1099" s="207" t="s">
        <v>570</v>
      </c>
      <c r="F1099" s="377" t="s">
        <v>173</v>
      </c>
      <c r="G1099" s="27">
        <f>G1100</f>
        <v>2330</v>
      </c>
      <c r="J1099" s="130"/>
    </row>
    <row r="1100" spans="1:11" ht="31.5">
      <c r="A1100" s="33" t="s">
        <v>174</v>
      </c>
      <c r="B1100" s="367">
        <v>908</v>
      </c>
      <c r="C1100" s="377" t="s">
        <v>275</v>
      </c>
      <c r="D1100" s="377" t="s">
        <v>254</v>
      </c>
      <c r="E1100" s="207" t="s">
        <v>570</v>
      </c>
      <c r="F1100" s="377" t="s">
        <v>175</v>
      </c>
      <c r="G1100" s="7">
        <f>278.2+171.8+1880</f>
        <v>2330</v>
      </c>
      <c r="H1100" s="356"/>
      <c r="I1100" s="343"/>
      <c r="J1100" s="293"/>
      <c r="K1100" s="130"/>
    </row>
    <row r="1101" spans="1:11" s="286" customFormat="1" ht="31.5">
      <c r="A1101" s="26" t="s">
        <v>1100</v>
      </c>
      <c r="B1101" s="367">
        <v>908</v>
      </c>
      <c r="C1101" s="377" t="s">
        <v>275</v>
      </c>
      <c r="D1101" s="377" t="s">
        <v>254</v>
      </c>
      <c r="E1101" s="207" t="s">
        <v>570</v>
      </c>
      <c r="F1101" s="377" t="s">
        <v>1098</v>
      </c>
      <c r="G1101" s="7">
        <f>G1102</f>
        <v>258.2</v>
      </c>
      <c r="H1101" s="357"/>
      <c r="I1101" s="343"/>
      <c r="J1101" s="293"/>
      <c r="K1101" s="130"/>
    </row>
    <row r="1102" spans="1:11" s="286" customFormat="1" ht="15.75">
      <c r="A1102" s="26" t="s">
        <v>1152</v>
      </c>
      <c r="B1102" s="367">
        <v>908</v>
      </c>
      <c r="C1102" s="377" t="s">
        <v>275</v>
      </c>
      <c r="D1102" s="377" t="s">
        <v>254</v>
      </c>
      <c r="E1102" s="207" t="s">
        <v>570</v>
      </c>
      <c r="F1102" s="377" t="s">
        <v>1153</v>
      </c>
      <c r="G1102" s="7">
        <v>258.2</v>
      </c>
      <c r="H1102" s="357" t="s">
        <v>1216</v>
      </c>
      <c r="I1102" s="343"/>
      <c r="J1102" s="293"/>
      <c r="K1102" s="130"/>
    </row>
    <row r="1103" spans="1:10" ht="15.75">
      <c r="A1103" s="47" t="s">
        <v>571</v>
      </c>
      <c r="B1103" s="367">
        <v>908</v>
      </c>
      <c r="C1103" s="377" t="s">
        <v>275</v>
      </c>
      <c r="D1103" s="377" t="s">
        <v>254</v>
      </c>
      <c r="E1103" s="207" t="s">
        <v>572</v>
      </c>
      <c r="F1103" s="377"/>
      <c r="G1103" s="27">
        <f>G1104</f>
        <v>28.6</v>
      </c>
      <c r="J1103" s="130"/>
    </row>
    <row r="1104" spans="1:10" ht="31.5">
      <c r="A1104" s="33" t="s">
        <v>172</v>
      </c>
      <c r="B1104" s="367">
        <v>908</v>
      </c>
      <c r="C1104" s="377" t="s">
        <v>275</v>
      </c>
      <c r="D1104" s="377" t="s">
        <v>254</v>
      </c>
      <c r="E1104" s="207" t="s">
        <v>572</v>
      </c>
      <c r="F1104" s="377" t="s">
        <v>173</v>
      </c>
      <c r="G1104" s="27">
        <f>G1105</f>
        <v>28.6</v>
      </c>
      <c r="J1104" s="130"/>
    </row>
    <row r="1105" spans="1:10" ht="31.5">
      <c r="A1105" s="33" t="s">
        <v>174</v>
      </c>
      <c r="B1105" s="367">
        <v>908</v>
      </c>
      <c r="C1105" s="377" t="s">
        <v>275</v>
      </c>
      <c r="D1105" s="377" t="s">
        <v>254</v>
      </c>
      <c r="E1105" s="207" t="s">
        <v>572</v>
      </c>
      <c r="F1105" s="377" t="s">
        <v>175</v>
      </c>
      <c r="G1105" s="27">
        <v>28.6</v>
      </c>
      <c r="H1105" s="351" t="s">
        <v>1213</v>
      </c>
      <c r="J1105" s="130"/>
    </row>
    <row r="1106" spans="1:10" ht="31.5" customHeight="1" hidden="1">
      <c r="A1106" s="203" t="s">
        <v>573</v>
      </c>
      <c r="B1106" s="367">
        <v>908</v>
      </c>
      <c r="C1106" s="377" t="s">
        <v>275</v>
      </c>
      <c r="D1106" s="377" t="s">
        <v>254</v>
      </c>
      <c r="E1106" s="207" t="s">
        <v>574</v>
      </c>
      <c r="F1106" s="377"/>
      <c r="G1106" s="27">
        <f>G1107</f>
        <v>0</v>
      </c>
      <c r="J1106" s="130"/>
    </row>
    <row r="1107" spans="1:10" ht="31.5" customHeight="1" hidden="1">
      <c r="A1107" s="33" t="s">
        <v>172</v>
      </c>
      <c r="B1107" s="367">
        <v>908</v>
      </c>
      <c r="C1107" s="377" t="s">
        <v>275</v>
      </c>
      <c r="D1107" s="377" t="s">
        <v>254</v>
      </c>
      <c r="E1107" s="207" t="s">
        <v>574</v>
      </c>
      <c r="F1107" s="377" t="s">
        <v>173</v>
      </c>
      <c r="G1107" s="27">
        <f>G1108</f>
        <v>0</v>
      </c>
      <c r="J1107" s="130"/>
    </row>
    <row r="1108" spans="1:10" ht="47.25" customHeight="1" hidden="1">
      <c r="A1108" s="33" t="s">
        <v>174</v>
      </c>
      <c r="B1108" s="367">
        <v>908</v>
      </c>
      <c r="C1108" s="377" t="s">
        <v>275</v>
      </c>
      <c r="D1108" s="377" t="s">
        <v>254</v>
      </c>
      <c r="E1108" s="207" t="s">
        <v>574</v>
      </c>
      <c r="F1108" s="377" t="s">
        <v>175</v>
      </c>
      <c r="G1108" s="27">
        <v>0</v>
      </c>
      <c r="J1108" s="130"/>
    </row>
    <row r="1109" spans="1:10" ht="15.75">
      <c r="A1109" s="203" t="s">
        <v>575</v>
      </c>
      <c r="B1109" s="367">
        <v>908</v>
      </c>
      <c r="C1109" s="377" t="s">
        <v>275</v>
      </c>
      <c r="D1109" s="377" t="s">
        <v>254</v>
      </c>
      <c r="E1109" s="207" t="s">
        <v>576</v>
      </c>
      <c r="F1109" s="377"/>
      <c r="G1109" s="27">
        <f>G1110</f>
        <v>100</v>
      </c>
      <c r="J1109" s="130"/>
    </row>
    <row r="1110" spans="1:10" ht="31.5">
      <c r="A1110" s="26" t="s">
        <v>172</v>
      </c>
      <c r="B1110" s="367">
        <v>908</v>
      </c>
      <c r="C1110" s="377" t="s">
        <v>275</v>
      </c>
      <c r="D1110" s="377" t="s">
        <v>254</v>
      </c>
      <c r="E1110" s="207" t="s">
        <v>576</v>
      </c>
      <c r="F1110" s="377" t="s">
        <v>173</v>
      </c>
      <c r="G1110" s="27">
        <f>G1111</f>
        <v>100</v>
      </c>
      <c r="J1110" s="130"/>
    </row>
    <row r="1111" spans="1:10" ht="31.5">
      <c r="A1111" s="26" t="s">
        <v>174</v>
      </c>
      <c r="B1111" s="367">
        <v>908</v>
      </c>
      <c r="C1111" s="377" t="s">
        <v>275</v>
      </c>
      <c r="D1111" s="377" t="s">
        <v>254</v>
      </c>
      <c r="E1111" s="207" t="s">
        <v>576</v>
      </c>
      <c r="F1111" s="377" t="s">
        <v>175</v>
      </c>
      <c r="G1111" s="27">
        <v>100</v>
      </c>
      <c r="H1111" s="356"/>
      <c r="J1111" s="130"/>
    </row>
    <row r="1112" spans="1:10" ht="15.75">
      <c r="A1112" s="26" t="s">
        <v>162</v>
      </c>
      <c r="B1112" s="367">
        <v>908</v>
      </c>
      <c r="C1112" s="207" t="s">
        <v>275</v>
      </c>
      <c r="D1112" s="207" t="s">
        <v>254</v>
      </c>
      <c r="E1112" s="207" t="s">
        <v>163</v>
      </c>
      <c r="F1112" s="207"/>
      <c r="G1112" s="27">
        <f>G1124+G1141</f>
        <v>97791.16</v>
      </c>
      <c r="J1112" s="130"/>
    </row>
    <row r="1113" spans="1:10" ht="31.5" hidden="1">
      <c r="A1113" s="26" t="s">
        <v>746</v>
      </c>
      <c r="B1113" s="367">
        <v>908</v>
      </c>
      <c r="C1113" s="207" t="s">
        <v>275</v>
      </c>
      <c r="D1113" s="207" t="s">
        <v>254</v>
      </c>
      <c r="E1113" s="207" t="s">
        <v>577</v>
      </c>
      <c r="F1113" s="207"/>
      <c r="G1113" s="27">
        <f>G1114</f>
        <v>0</v>
      </c>
      <c r="J1113" s="130"/>
    </row>
    <row r="1114" spans="1:10" ht="31.5" hidden="1">
      <c r="A1114" s="26" t="s">
        <v>172</v>
      </c>
      <c r="B1114" s="367">
        <v>908</v>
      </c>
      <c r="C1114" s="207" t="s">
        <v>275</v>
      </c>
      <c r="D1114" s="207" t="s">
        <v>254</v>
      </c>
      <c r="E1114" s="207" t="s">
        <v>577</v>
      </c>
      <c r="F1114" s="207" t="s">
        <v>173</v>
      </c>
      <c r="G1114" s="27">
        <f>G1115</f>
        <v>0</v>
      </c>
      <c r="J1114" s="130"/>
    </row>
    <row r="1115" spans="1:10" ht="31.5" hidden="1">
      <c r="A1115" s="26" t="s">
        <v>174</v>
      </c>
      <c r="B1115" s="367">
        <v>908</v>
      </c>
      <c r="C1115" s="207" t="s">
        <v>275</v>
      </c>
      <c r="D1115" s="207" t="s">
        <v>254</v>
      </c>
      <c r="E1115" s="207" t="s">
        <v>577</v>
      </c>
      <c r="F1115" s="207" t="s">
        <v>175</v>
      </c>
      <c r="G1115" s="27">
        <v>0</v>
      </c>
      <c r="J1115" s="130"/>
    </row>
    <row r="1116" spans="1:10" ht="31.5" hidden="1">
      <c r="A1116" s="26" t="s">
        <v>752</v>
      </c>
      <c r="B1116" s="367">
        <v>908</v>
      </c>
      <c r="C1116" s="207" t="s">
        <v>275</v>
      </c>
      <c r="D1116" s="207" t="s">
        <v>254</v>
      </c>
      <c r="E1116" s="207" t="s">
        <v>578</v>
      </c>
      <c r="F1116" s="207"/>
      <c r="G1116" s="27">
        <f>G1117+G1119</f>
        <v>0</v>
      </c>
      <c r="J1116" s="130"/>
    </row>
    <row r="1117" spans="1:10" ht="31.5" hidden="1">
      <c r="A1117" s="26" t="s">
        <v>172</v>
      </c>
      <c r="B1117" s="367">
        <v>908</v>
      </c>
      <c r="C1117" s="207" t="s">
        <v>275</v>
      </c>
      <c r="D1117" s="207" t="s">
        <v>254</v>
      </c>
      <c r="E1117" s="207" t="s">
        <v>578</v>
      </c>
      <c r="F1117" s="207" t="s">
        <v>173</v>
      </c>
      <c r="G1117" s="27">
        <f>G1118</f>
        <v>0</v>
      </c>
      <c r="J1117" s="130"/>
    </row>
    <row r="1118" spans="1:10" ht="31.5" hidden="1">
      <c r="A1118" s="26" t="s">
        <v>174</v>
      </c>
      <c r="B1118" s="367">
        <v>908</v>
      </c>
      <c r="C1118" s="207" t="s">
        <v>275</v>
      </c>
      <c r="D1118" s="207" t="s">
        <v>254</v>
      </c>
      <c r="E1118" s="207" t="s">
        <v>578</v>
      </c>
      <c r="F1118" s="207" t="s">
        <v>175</v>
      </c>
      <c r="G1118" s="27">
        <v>0</v>
      </c>
      <c r="J1118" s="130"/>
    </row>
    <row r="1119" spans="1:10" ht="15.75" hidden="1">
      <c r="A1119" s="26" t="s">
        <v>176</v>
      </c>
      <c r="B1119" s="367">
        <v>908</v>
      </c>
      <c r="C1119" s="207" t="s">
        <v>275</v>
      </c>
      <c r="D1119" s="207" t="s">
        <v>254</v>
      </c>
      <c r="E1119" s="207" t="s">
        <v>578</v>
      </c>
      <c r="F1119" s="207" t="s">
        <v>186</v>
      </c>
      <c r="G1119" s="27">
        <f>G1120</f>
        <v>0</v>
      </c>
      <c r="J1119" s="130"/>
    </row>
    <row r="1120" spans="1:10" ht="15.75" hidden="1">
      <c r="A1120" s="26" t="s">
        <v>610</v>
      </c>
      <c r="B1120" s="367">
        <v>908</v>
      </c>
      <c r="C1120" s="207" t="s">
        <v>275</v>
      </c>
      <c r="D1120" s="207" t="s">
        <v>254</v>
      </c>
      <c r="E1120" s="207" t="s">
        <v>578</v>
      </c>
      <c r="F1120" s="207" t="s">
        <v>179</v>
      </c>
      <c r="G1120" s="27">
        <v>0</v>
      </c>
      <c r="J1120" s="130"/>
    </row>
    <row r="1121" spans="1:10" ht="47.25" hidden="1">
      <c r="A1121" s="26" t="s">
        <v>753</v>
      </c>
      <c r="B1121" s="367">
        <v>908</v>
      </c>
      <c r="C1121" s="207" t="s">
        <v>275</v>
      </c>
      <c r="D1121" s="207" t="s">
        <v>254</v>
      </c>
      <c r="E1121" s="207" t="s">
        <v>754</v>
      </c>
      <c r="F1121" s="207"/>
      <c r="G1121" s="27">
        <f>G1122</f>
        <v>0</v>
      </c>
      <c r="J1121" s="130"/>
    </row>
    <row r="1122" spans="1:10" ht="31.5" hidden="1">
      <c r="A1122" s="26" t="s">
        <v>172</v>
      </c>
      <c r="B1122" s="367">
        <v>908</v>
      </c>
      <c r="C1122" s="207" t="s">
        <v>275</v>
      </c>
      <c r="D1122" s="207" t="s">
        <v>254</v>
      </c>
      <c r="E1122" s="207" t="s">
        <v>754</v>
      </c>
      <c r="F1122" s="207" t="s">
        <v>173</v>
      </c>
      <c r="G1122" s="27">
        <f>G1123</f>
        <v>0</v>
      </c>
      <c r="J1122" s="130"/>
    </row>
    <row r="1123" spans="1:10" ht="31.5" hidden="1">
      <c r="A1123" s="26" t="s">
        <v>174</v>
      </c>
      <c r="B1123" s="367">
        <v>908</v>
      </c>
      <c r="C1123" s="207" t="s">
        <v>275</v>
      </c>
      <c r="D1123" s="207" t="s">
        <v>254</v>
      </c>
      <c r="E1123" s="207" t="s">
        <v>754</v>
      </c>
      <c r="F1123" s="207" t="s">
        <v>175</v>
      </c>
      <c r="G1123" s="27">
        <v>0</v>
      </c>
      <c r="J1123" s="130"/>
    </row>
    <row r="1124" spans="1:10" ht="15.75">
      <c r="A1124" s="26" t="s">
        <v>182</v>
      </c>
      <c r="B1124" s="367">
        <v>908</v>
      </c>
      <c r="C1124" s="207" t="s">
        <v>275</v>
      </c>
      <c r="D1124" s="207" t="s">
        <v>254</v>
      </c>
      <c r="E1124" s="207" t="s">
        <v>183</v>
      </c>
      <c r="F1124" s="207"/>
      <c r="G1124" s="27">
        <f>G1125+G1133+G1149+G1138</f>
        <v>24027.4</v>
      </c>
      <c r="J1124" s="130"/>
    </row>
    <row r="1125" spans="1:10" ht="15.75">
      <c r="A1125" s="26" t="s">
        <v>579</v>
      </c>
      <c r="B1125" s="367">
        <v>908</v>
      </c>
      <c r="C1125" s="207" t="s">
        <v>275</v>
      </c>
      <c r="D1125" s="207" t="s">
        <v>254</v>
      </c>
      <c r="E1125" s="207" t="s">
        <v>580</v>
      </c>
      <c r="F1125" s="207"/>
      <c r="G1125" s="27">
        <f>G1126+G1131</f>
        <v>15371.8</v>
      </c>
      <c r="J1125" s="130"/>
    </row>
    <row r="1126" spans="1:10" ht="31.5">
      <c r="A1126" s="26" t="s">
        <v>172</v>
      </c>
      <c r="B1126" s="367">
        <v>908</v>
      </c>
      <c r="C1126" s="207" t="s">
        <v>275</v>
      </c>
      <c r="D1126" s="207" t="s">
        <v>254</v>
      </c>
      <c r="E1126" s="207" t="s">
        <v>580</v>
      </c>
      <c r="F1126" s="207" t="s">
        <v>173</v>
      </c>
      <c r="G1126" s="27">
        <f>G1127</f>
        <v>371.7999999999998</v>
      </c>
      <c r="J1126" s="130"/>
    </row>
    <row r="1127" spans="1:15" ht="33" customHeight="1">
      <c r="A1127" s="26" t="s">
        <v>174</v>
      </c>
      <c r="B1127" s="367">
        <v>908</v>
      </c>
      <c r="C1127" s="207" t="s">
        <v>275</v>
      </c>
      <c r="D1127" s="207" t="s">
        <v>254</v>
      </c>
      <c r="E1127" s="207" t="s">
        <v>580</v>
      </c>
      <c r="F1127" s="207" t="s">
        <v>175</v>
      </c>
      <c r="G1127" s="389">
        <f>10000-6000-2399.4+20-106.9-506.4-25-735+196.4-21.1-99.7+48.9</f>
        <v>371.7999999999998</v>
      </c>
      <c r="H1127" s="352" t="s">
        <v>1210</v>
      </c>
      <c r="I1127" s="338" t="s">
        <v>1209</v>
      </c>
      <c r="J1127" s="312"/>
      <c r="K1127" s="130"/>
      <c r="L1127" s="130"/>
      <c r="M1127" s="130"/>
      <c r="N1127" s="130"/>
      <c r="O1127" s="130"/>
    </row>
    <row r="1128" spans="1:10" ht="15.75" hidden="1">
      <c r="A1128" s="26" t="s">
        <v>176</v>
      </c>
      <c r="B1128" s="367">
        <v>908</v>
      </c>
      <c r="C1128" s="207" t="s">
        <v>275</v>
      </c>
      <c r="D1128" s="207" t="s">
        <v>254</v>
      </c>
      <c r="E1128" s="207" t="s">
        <v>580</v>
      </c>
      <c r="F1128" s="207" t="s">
        <v>186</v>
      </c>
      <c r="G1128" s="27"/>
      <c r="J1128" s="130"/>
    </row>
    <row r="1129" spans="1:10" ht="63" customHeight="1" hidden="1">
      <c r="A1129" s="26" t="s">
        <v>225</v>
      </c>
      <c r="B1129" s="367">
        <v>908</v>
      </c>
      <c r="C1129" s="207" t="s">
        <v>275</v>
      </c>
      <c r="D1129" s="207" t="s">
        <v>254</v>
      </c>
      <c r="E1129" s="207" t="s">
        <v>580</v>
      </c>
      <c r="F1129" s="207" t="s">
        <v>201</v>
      </c>
      <c r="G1129" s="27">
        <v>0</v>
      </c>
      <c r="J1129" s="130"/>
    </row>
    <row r="1130" spans="1:10" ht="15.75" hidden="1">
      <c r="A1130" s="26" t="s">
        <v>610</v>
      </c>
      <c r="B1130" s="367">
        <v>908</v>
      </c>
      <c r="C1130" s="207" t="s">
        <v>275</v>
      </c>
      <c r="D1130" s="207" t="s">
        <v>254</v>
      </c>
      <c r="E1130" s="207" t="s">
        <v>580</v>
      </c>
      <c r="F1130" s="207" t="s">
        <v>179</v>
      </c>
      <c r="G1130" s="27">
        <v>0</v>
      </c>
      <c r="J1130" s="130"/>
    </row>
    <row r="1131" spans="1:10" s="286" customFormat="1" ht="15.75">
      <c r="A1131" s="26" t="s">
        <v>176</v>
      </c>
      <c r="B1131" s="367">
        <v>908</v>
      </c>
      <c r="C1131" s="207" t="s">
        <v>275</v>
      </c>
      <c r="D1131" s="207" t="s">
        <v>254</v>
      </c>
      <c r="E1131" s="207" t="s">
        <v>580</v>
      </c>
      <c r="F1131" s="207" t="s">
        <v>186</v>
      </c>
      <c r="G1131" s="27">
        <f>G1132</f>
        <v>15000</v>
      </c>
      <c r="H1131" s="351"/>
      <c r="I1131" s="280"/>
      <c r="J1131" s="130"/>
    </row>
    <row r="1132" spans="1:10" s="286" customFormat="1" ht="47.25">
      <c r="A1132" s="26" t="s">
        <v>225</v>
      </c>
      <c r="B1132" s="367">
        <v>908</v>
      </c>
      <c r="C1132" s="207" t="s">
        <v>275</v>
      </c>
      <c r="D1132" s="207" t="s">
        <v>254</v>
      </c>
      <c r="E1132" s="207" t="s">
        <v>580</v>
      </c>
      <c r="F1132" s="207" t="s">
        <v>201</v>
      </c>
      <c r="G1132" s="27">
        <f>15000</f>
        <v>15000</v>
      </c>
      <c r="H1132" s="351" t="s">
        <v>1130</v>
      </c>
      <c r="I1132" s="280"/>
      <c r="J1132" s="130"/>
    </row>
    <row r="1133" spans="1:10" ht="15.75">
      <c r="A1133" s="26" t="s">
        <v>581</v>
      </c>
      <c r="B1133" s="367">
        <v>908</v>
      </c>
      <c r="C1133" s="207" t="s">
        <v>275</v>
      </c>
      <c r="D1133" s="207" t="s">
        <v>254</v>
      </c>
      <c r="E1133" s="207" t="s">
        <v>582</v>
      </c>
      <c r="F1133" s="207"/>
      <c r="G1133" s="27">
        <f>G1136+G1134</f>
        <v>8655.6</v>
      </c>
      <c r="J1133" s="130"/>
    </row>
    <row r="1134" spans="1:10" ht="31.5">
      <c r="A1134" s="26" t="s">
        <v>172</v>
      </c>
      <c r="B1134" s="367">
        <v>908</v>
      </c>
      <c r="C1134" s="207" t="s">
        <v>275</v>
      </c>
      <c r="D1134" s="207" t="s">
        <v>254</v>
      </c>
      <c r="E1134" s="207" t="s">
        <v>582</v>
      </c>
      <c r="F1134" s="207" t="s">
        <v>173</v>
      </c>
      <c r="G1134" s="27">
        <f>G1135</f>
        <v>7767.800000000001</v>
      </c>
      <c r="J1134" s="130"/>
    </row>
    <row r="1135" spans="1:10" ht="34.5" customHeight="1">
      <c r="A1135" s="26" t="s">
        <v>174</v>
      </c>
      <c r="B1135" s="367">
        <v>908</v>
      </c>
      <c r="C1135" s="207" t="s">
        <v>275</v>
      </c>
      <c r="D1135" s="207" t="s">
        <v>254</v>
      </c>
      <c r="E1135" s="207" t="s">
        <v>582</v>
      </c>
      <c r="F1135" s="207" t="s">
        <v>175</v>
      </c>
      <c r="G1135" s="27">
        <f>5200-2593.1-6.9+1280.1+348.4+1023.6+1718.1+797.6</f>
        <v>7767.800000000001</v>
      </c>
      <c r="H1135" s="352" t="s">
        <v>1218</v>
      </c>
      <c r="I1135" s="313" t="s">
        <v>1217</v>
      </c>
      <c r="J1135" s="130"/>
    </row>
    <row r="1136" spans="1:10" ht="15.75">
      <c r="A1136" s="26" t="s">
        <v>176</v>
      </c>
      <c r="B1136" s="367">
        <v>908</v>
      </c>
      <c r="C1136" s="207" t="s">
        <v>275</v>
      </c>
      <c r="D1136" s="207" t="s">
        <v>254</v>
      </c>
      <c r="E1136" s="207" t="s">
        <v>582</v>
      </c>
      <c r="F1136" s="207" t="s">
        <v>186</v>
      </c>
      <c r="G1136" s="27">
        <f>G1137</f>
        <v>887.8000000000001</v>
      </c>
      <c r="J1136" s="130"/>
    </row>
    <row r="1137" spans="1:10" ht="15.75">
      <c r="A1137" s="26" t="s">
        <v>187</v>
      </c>
      <c r="B1137" s="367">
        <v>908</v>
      </c>
      <c r="C1137" s="207" t="s">
        <v>275</v>
      </c>
      <c r="D1137" s="207" t="s">
        <v>254</v>
      </c>
      <c r="E1137" s="207" t="s">
        <v>582</v>
      </c>
      <c r="F1137" s="207" t="s">
        <v>188</v>
      </c>
      <c r="G1137" s="27">
        <f>6.9+1236.4+91.6-348.4+506.4+25+353-983.1</f>
        <v>887.8000000000001</v>
      </c>
      <c r="H1137" s="352" t="s">
        <v>1155</v>
      </c>
      <c r="I1137" s="313" t="s">
        <v>1156</v>
      </c>
      <c r="J1137" s="130"/>
    </row>
    <row r="1138" spans="1:10" ht="15.75" hidden="1">
      <c r="A1138" s="26" t="s">
        <v>184</v>
      </c>
      <c r="B1138" s="367">
        <v>908</v>
      </c>
      <c r="C1138" s="207" t="s">
        <v>275</v>
      </c>
      <c r="D1138" s="207" t="s">
        <v>254</v>
      </c>
      <c r="E1138" s="207" t="s">
        <v>185</v>
      </c>
      <c r="F1138" s="207"/>
      <c r="G1138" s="27">
        <f>G1139</f>
        <v>0</v>
      </c>
      <c r="J1138" s="130"/>
    </row>
    <row r="1139" spans="1:10" ht="15.75" hidden="1">
      <c r="A1139" s="26" t="s">
        <v>176</v>
      </c>
      <c r="B1139" s="367">
        <v>908</v>
      </c>
      <c r="C1139" s="207" t="s">
        <v>275</v>
      </c>
      <c r="D1139" s="207" t="s">
        <v>254</v>
      </c>
      <c r="E1139" s="207" t="s">
        <v>185</v>
      </c>
      <c r="F1139" s="207" t="s">
        <v>186</v>
      </c>
      <c r="G1139" s="27">
        <f>G1140</f>
        <v>0</v>
      </c>
      <c r="J1139" s="130"/>
    </row>
    <row r="1140" spans="1:10" ht="15.75" hidden="1">
      <c r="A1140" s="26" t="s">
        <v>187</v>
      </c>
      <c r="B1140" s="367">
        <v>908</v>
      </c>
      <c r="C1140" s="207" t="s">
        <v>275</v>
      </c>
      <c r="D1140" s="207" t="s">
        <v>254</v>
      </c>
      <c r="E1140" s="207" t="s">
        <v>185</v>
      </c>
      <c r="F1140" s="207" t="s">
        <v>188</v>
      </c>
      <c r="G1140" s="27">
        <v>0</v>
      </c>
      <c r="J1140" s="130"/>
    </row>
    <row r="1141" spans="1:10" s="286" customFormat="1" ht="31.5">
      <c r="A1141" s="26" t="s">
        <v>1069</v>
      </c>
      <c r="B1141" s="367">
        <v>908</v>
      </c>
      <c r="C1141" s="207" t="s">
        <v>275</v>
      </c>
      <c r="D1141" s="207" t="s">
        <v>254</v>
      </c>
      <c r="E1141" s="207" t="s">
        <v>1070</v>
      </c>
      <c r="F1141" s="207"/>
      <c r="G1141" s="27">
        <f>G1142+G1152+G1160</f>
        <v>73763.76000000001</v>
      </c>
      <c r="H1141" s="351"/>
      <c r="I1141" s="280"/>
      <c r="J1141" s="130"/>
    </row>
    <row r="1142" spans="1:10" ht="31.5">
      <c r="A1142" s="26" t="s">
        <v>1071</v>
      </c>
      <c r="B1142" s="367">
        <v>908</v>
      </c>
      <c r="C1142" s="207" t="s">
        <v>275</v>
      </c>
      <c r="D1142" s="207" t="s">
        <v>254</v>
      </c>
      <c r="E1142" s="207" t="s">
        <v>1072</v>
      </c>
      <c r="F1142" s="207"/>
      <c r="G1142" s="27">
        <f>G1143+G1147+G1145</f>
        <v>20500</v>
      </c>
      <c r="J1142" s="130"/>
    </row>
    <row r="1143" spans="1:10" ht="31.5">
      <c r="A1143" s="26" t="s">
        <v>172</v>
      </c>
      <c r="B1143" s="367">
        <v>908</v>
      </c>
      <c r="C1143" s="207" t="s">
        <v>275</v>
      </c>
      <c r="D1143" s="207" t="s">
        <v>254</v>
      </c>
      <c r="E1143" s="207" t="s">
        <v>1072</v>
      </c>
      <c r="F1143" s="207" t="s">
        <v>173</v>
      </c>
      <c r="G1143" s="27">
        <f>G1144</f>
        <v>1925.4000000000015</v>
      </c>
      <c r="J1143" s="130"/>
    </row>
    <row r="1144" spans="1:10" ht="31.5">
      <c r="A1144" s="26" t="s">
        <v>174</v>
      </c>
      <c r="B1144" s="367">
        <v>908</v>
      </c>
      <c r="C1144" s="207" t="s">
        <v>275</v>
      </c>
      <c r="D1144" s="207" t="s">
        <v>254</v>
      </c>
      <c r="E1144" s="207" t="s">
        <v>1072</v>
      </c>
      <c r="F1144" s="207" t="s">
        <v>175</v>
      </c>
      <c r="G1144" s="297">
        <f>20500-18374.6-200</f>
        <v>1925.4000000000015</v>
      </c>
      <c r="H1144" s="352" t="s">
        <v>1157</v>
      </c>
      <c r="J1144" s="130"/>
    </row>
    <row r="1145" spans="1:10" s="286" customFormat="1" ht="31.5">
      <c r="A1145" s="26" t="s">
        <v>1100</v>
      </c>
      <c r="B1145" s="367">
        <v>908</v>
      </c>
      <c r="C1145" s="207" t="s">
        <v>275</v>
      </c>
      <c r="D1145" s="207" t="s">
        <v>254</v>
      </c>
      <c r="E1145" s="207" t="s">
        <v>1072</v>
      </c>
      <c r="F1145" s="207" t="s">
        <v>1098</v>
      </c>
      <c r="G1145" s="27">
        <f>G1146</f>
        <v>18574.6</v>
      </c>
      <c r="H1145" s="361"/>
      <c r="I1145" s="280"/>
      <c r="J1145" s="130"/>
    </row>
    <row r="1146" spans="1:10" s="286" customFormat="1" ht="15.75">
      <c r="A1146" s="26" t="s">
        <v>1152</v>
      </c>
      <c r="B1146" s="367">
        <v>908</v>
      </c>
      <c r="C1146" s="207" t="s">
        <v>275</v>
      </c>
      <c r="D1146" s="207" t="s">
        <v>254</v>
      </c>
      <c r="E1146" s="207" t="s">
        <v>1072</v>
      </c>
      <c r="F1146" s="207" t="s">
        <v>1153</v>
      </c>
      <c r="G1146" s="27">
        <f>18374.6+200</f>
        <v>18574.6</v>
      </c>
      <c r="H1146" s="361" t="s">
        <v>1158</v>
      </c>
      <c r="I1146" s="280"/>
      <c r="J1146" s="130"/>
    </row>
    <row r="1147" spans="1:10" ht="15.75">
      <c r="A1147" s="26" t="s">
        <v>176</v>
      </c>
      <c r="B1147" s="367">
        <v>908</v>
      </c>
      <c r="C1147" s="207" t="s">
        <v>275</v>
      </c>
      <c r="D1147" s="207" t="s">
        <v>254</v>
      </c>
      <c r="E1147" s="207" t="s">
        <v>935</v>
      </c>
      <c r="F1147" s="207" t="s">
        <v>186</v>
      </c>
      <c r="G1147" s="27">
        <f>G1148</f>
        <v>0</v>
      </c>
      <c r="J1147" s="130"/>
    </row>
    <row r="1148" spans="1:10" ht="15.75">
      <c r="A1148" s="26" t="s">
        <v>610</v>
      </c>
      <c r="B1148" s="367">
        <v>908</v>
      </c>
      <c r="C1148" s="207" t="s">
        <v>275</v>
      </c>
      <c r="D1148" s="207" t="s">
        <v>254</v>
      </c>
      <c r="E1148" s="207" t="s">
        <v>935</v>
      </c>
      <c r="F1148" s="207" t="s">
        <v>179</v>
      </c>
      <c r="G1148" s="27">
        <v>0</v>
      </c>
      <c r="J1148" s="130"/>
    </row>
    <row r="1149" spans="1:10" ht="47.25" hidden="1">
      <c r="A1149" s="26" t="s">
        <v>970</v>
      </c>
      <c r="B1149" s="367">
        <v>908</v>
      </c>
      <c r="C1149" s="207" t="s">
        <v>275</v>
      </c>
      <c r="D1149" s="207" t="s">
        <v>254</v>
      </c>
      <c r="E1149" s="207" t="s">
        <v>1081</v>
      </c>
      <c r="F1149" s="207"/>
      <c r="G1149" s="27">
        <f>G1150</f>
        <v>0</v>
      </c>
      <c r="J1149" s="130"/>
    </row>
    <row r="1150" spans="1:10" ht="31.5" hidden="1">
      <c r="A1150" s="26" t="s">
        <v>172</v>
      </c>
      <c r="B1150" s="367">
        <v>908</v>
      </c>
      <c r="C1150" s="207" t="s">
        <v>275</v>
      </c>
      <c r="D1150" s="207" t="s">
        <v>254</v>
      </c>
      <c r="E1150" s="207" t="s">
        <v>1081</v>
      </c>
      <c r="F1150" s="207" t="s">
        <v>173</v>
      </c>
      <c r="G1150" s="27">
        <f>G1151</f>
        <v>0</v>
      </c>
      <c r="J1150" s="130"/>
    </row>
    <row r="1151" spans="1:10" ht="31.5" hidden="1">
      <c r="A1151" s="26" t="s">
        <v>174</v>
      </c>
      <c r="B1151" s="367">
        <v>908</v>
      </c>
      <c r="C1151" s="207" t="s">
        <v>275</v>
      </c>
      <c r="D1151" s="207" t="s">
        <v>254</v>
      </c>
      <c r="E1151" s="207" t="s">
        <v>1081</v>
      </c>
      <c r="F1151" s="207" t="s">
        <v>175</v>
      </c>
      <c r="G1151" s="27">
        <v>0</v>
      </c>
      <c r="J1151" s="130"/>
    </row>
    <row r="1152" spans="1:10" ht="47.25">
      <c r="A1152" s="119" t="s">
        <v>1083</v>
      </c>
      <c r="B1152" s="367">
        <v>908</v>
      </c>
      <c r="C1152" s="207" t="s">
        <v>275</v>
      </c>
      <c r="D1152" s="207" t="s">
        <v>254</v>
      </c>
      <c r="E1152" s="207" t="s">
        <v>1082</v>
      </c>
      <c r="F1152" s="207"/>
      <c r="G1152" s="27">
        <f>G1153+G1155+G1158</f>
        <v>49220.13</v>
      </c>
      <c r="J1152" s="130"/>
    </row>
    <row r="1153" spans="1:10" ht="31.5" hidden="1">
      <c r="A1153" s="26" t="s">
        <v>172</v>
      </c>
      <c r="B1153" s="367">
        <v>908</v>
      </c>
      <c r="C1153" s="207" t="s">
        <v>275</v>
      </c>
      <c r="D1153" s="207" t="s">
        <v>254</v>
      </c>
      <c r="E1153" s="207" t="s">
        <v>1082</v>
      </c>
      <c r="F1153" s="207" t="s">
        <v>173</v>
      </c>
      <c r="G1153" s="27">
        <f>G1154</f>
        <v>0.029999999998835847</v>
      </c>
      <c r="J1153" s="130"/>
    </row>
    <row r="1154" spans="1:10" ht="31.5" hidden="1">
      <c r="A1154" s="26" t="s">
        <v>174</v>
      </c>
      <c r="B1154" s="367">
        <v>908</v>
      </c>
      <c r="C1154" s="207" t="s">
        <v>275</v>
      </c>
      <c r="D1154" s="207" t="s">
        <v>254</v>
      </c>
      <c r="E1154" s="207" t="s">
        <v>1082</v>
      </c>
      <c r="F1154" s="207" t="s">
        <v>175</v>
      </c>
      <c r="G1154" s="27">
        <f>55213.33-55213.3</f>
        <v>0.029999999998835847</v>
      </c>
      <c r="H1154" s="352" t="s">
        <v>1099</v>
      </c>
      <c r="J1154" s="130"/>
    </row>
    <row r="1155" spans="1:10" s="286" customFormat="1" ht="36.75" customHeight="1">
      <c r="A1155" s="26" t="s">
        <v>1100</v>
      </c>
      <c r="B1155" s="367">
        <v>908</v>
      </c>
      <c r="C1155" s="207" t="s">
        <v>275</v>
      </c>
      <c r="D1155" s="207" t="s">
        <v>254</v>
      </c>
      <c r="E1155" s="207" t="s">
        <v>1082</v>
      </c>
      <c r="F1155" s="207" t="s">
        <v>1098</v>
      </c>
      <c r="G1155" s="27">
        <f>G1156+G1157</f>
        <v>49220.1</v>
      </c>
      <c r="H1155" s="361"/>
      <c r="I1155" s="280"/>
      <c r="J1155" s="130"/>
    </row>
    <row r="1156" spans="1:10" s="286" customFormat="1" ht="47.25" hidden="1">
      <c r="A1156" s="26" t="s">
        <v>1101</v>
      </c>
      <c r="B1156" s="367">
        <v>908</v>
      </c>
      <c r="C1156" s="207" t="s">
        <v>275</v>
      </c>
      <c r="D1156" s="207" t="s">
        <v>254</v>
      </c>
      <c r="E1156" s="207" t="s">
        <v>1082</v>
      </c>
      <c r="F1156" s="207" t="s">
        <v>1150</v>
      </c>
      <c r="G1156" s="27">
        <f>55213.3-1271.6-49220.1-4721.6</f>
        <v>0</v>
      </c>
      <c r="H1156" s="361"/>
      <c r="I1156" s="336" t="s">
        <v>1154</v>
      </c>
      <c r="J1156" s="130"/>
    </row>
    <row r="1157" spans="1:10" s="286" customFormat="1" ht="15.75">
      <c r="A1157" s="26" t="s">
        <v>1152</v>
      </c>
      <c r="B1157" s="367">
        <v>908</v>
      </c>
      <c r="C1157" s="207" t="s">
        <v>275</v>
      </c>
      <c r="D1157" s="207" t="s">
        <v>254</v>
      </c>
      <c r="E1157" s="207" t="s">
        <v>1082</v>
      </c>
      <c r="F1157" s="207" t="s">
        <v>1153</v>
      </c>
      <c r="G1157" s="27">
        <f>49220.1+5993.2-5993.2</f>
        <v>49220.1</v>
      </c>
      <c r="H1157" s="361" t="s">
        <v>1177</v>
      </c>
      <c r="I1157" s="348" t="s">
        <v>1176</v>
      </c>
      <c r="J1157" s="130"/>
    </row>
    <row r="1158" spans="1:10" s="286" customFormat="1" ht="22.5" customHeight="1" hidden="1">
      <c r="A1158" s="26" t="s">
        <v>176</v>
      </c>
      <c r="B1158" s="367">
        <v>908</v>
      </c>
      <c r="C1158" s="207" t="s">
        <v>275</v>
      </c>
      <c r="D1158" s="207" t="s">
        <v>254</v>
      </c>
      <c r="E1158" s="207" t="s">
        <v>1082</v>
      </c>
      <c r="F1158" s="207" t="s">
        <v>186</v>
      </c>
      <c r="G1158" s="27">
        <f>G1159</f>
        <v>0</v>
      </c>
      <c r="H1158" s="361"/>
      <c r="I1158" s="280"/>
      <c r="J1158" s="130"/>
    </row>
    <row r="1159" spans="1:10" s="286" customFormat="1" ht="23.25" customHeight="1" hidden="1">
      <c r="A1159" s="26" t="s">
        <v>610</v>
      </c>
      <c r="B1159" s="367">
        <v>908</v>
      </c>
      <c r="C1159" s="207" t="s">
        <v>275</v>
      </c>
      <c r="D1159" s="207" t="s">
        <v>254</v>
      </c>
      <c r="E1159" s="207" t="s">
        <v>1082</v>
      </c>
      <c r="F1159" s="207" t="s">
        <v>179</v>
      </c>
      <c r="G1159" s="27">
        <f>1271.6-1271.6</f>
        <v>0</v>
      </c>
      <c r="H1159" s="361" t="s">
        <v>1102</v>
      </c>
      <c r="I1159" s="280"/>
      <c r="J1159" s="130"/>
    </row>
    <row r="1160" spans="1:10" s="286" customFormat="1" ht="31.5">
      <c r="A1160" s="26" t="s">
        <v>1167</v>
      </c>
      <c r="B1160" s="367">
        <v>908</v>
      </c>
      <c r="C1160" s="207" t="s">
        <v>275</v>
      </c>
      <c r="D1160" s="207" t="s">
        <v>254</v>
      </c>
      <c r="E1160" s="207" t="s">
        <v>1164</v>
      </c>
      <c r="F1160" s="207"/>
      <c r="G1160" s="27">
        <f>G1161</f>
        <v>4043.63</v>
      </c>
      <c r="H1160" s="361"/>
      <c r="I1160" s="280" t="s">
        <v>1165</v>
      </c>
      <c r="J1160" s="130"/>
    </row>
    <row r="1161" spans="1:10" s="286" customFormat="1" ht="30" customHeight="1">
      <c r="A1161" s="26" t="s">
        <v>172</v>
      </c>
      <c r="B1161" s="367">
        <v>908</v>
      </c>
      <c r="C1161" s="207" t="s">
        <v>275</v>
      </c>
      <c r="D1161" s="207" t="s">
        <v>254</v>
      </c>
      <c r="E1161" s="207" t="s">
        <v>1164</v>
      </c>
      <c r="F1161" s="207" t="s">
        <v>173</v>
      </c>
      <c r="G1161" s="27">
        <f>G1162</f>
        <v>4043.63</v>
      </c>
      <c r="H1161" s="361"/>
      <c r="I1161" s="280"/>
      <c r="J1161" s="130"/>
    </row>
    <row r="1162" spans="1:10" s="286" customFormat="1" ht="31.5">
      <c r="A1162" s="26" t="s">
        <v>174</v>
      </c>
      <c r="B1162" s="367">
        <v>908</v>
      </c>
      <c r="C1162" s="207" t="s">
        <v>275</v>
      </c>
      <c r="D1162" s="207" t="s">
        <v>254</v>
      </c>
      <c r="E1162" s="207" t="s">
        <v>1164</v>
      </c>
      <c r="F1162" s="207" t="s">
        <v>175</v>
      </c>
      <c r="G1162" s="27">
        <v>4043.63</v>
      </c>
      <c r="H1162" s="361" t="s">
        <v>1189</v>
      </c>
      <c r="I1162" s="280"/>
      <c r="J1162" s="130"/>
    </row>
    <row r="1163" spans="1:10" ht="15.75">
      <c r="A1163" s="24" t="s">
        <v>583</v>
      </c>
      <c r="B1163" s="382">
        <v>908</v>
      </c>
      <c r="C1163" s="383" t="s">
        <v>275</v>
      </c>
      <c r="D1163" s="383" t="s">
        <v>256</v>
      </c>
      <c r="E1163" s="383"/>
      <c r="F1163" s="383"/>
      <c r="G1163" s="22">
        <f>G1164++G1202+G1198</f>
        <v>6792.79</v>
      </c>
      <c r="J1163" s="130"/>
    </row>
    <row r="1164" spans="1:10" ht="34.5" customHeight="1">
      <c r="A1164" s="26" t="s">
        <v>584</v>
      </c>
      <c r="B1164" s="367">
        <v>908</v>
      </c>
      <c r="C1164" s="207" t="s">
        <v>275</v>
      </c>
      <c r="D1164" s="207" t="s">
        <v>256</v>
      </c>
      <c r="E1164" s="207" t="s">
        <v>585</v>
      </c>
      <c r="F1164" s="207"/>
      <c r="G1164" s="27">
        <f>G1165+G1181</f>
        <v>2124.3699999999994</v>
      </c>
      <c r="H1164" s="353"/>
      <c r="I1164" s="340"/>
      <c r="J1164" s="135"/>
    </row>
    <row r="1165" spans="1:10" ht="35.25" customHeight="1">
      <c r="A1165" s="26" t="s">
        <v>586</v>
      </c>
      <c r="B1165" s="367">
        <v>908</v>
      </c>
      <c r="C1165" s="207" t="s">
        <v>275</v>
      </c>
      <c r="D1165" s="207" t="s">
        <v>256</v>
      </c>
      <c r="E1165" s="207" t="s">
        <v>587</v>
      </c>
      <c r="F1165" s="207"/>
      <c r="G1165" s="27">
        <f>G1166+G1169+G1175+G1178</f>
        <v>1401.8699999999994</v>
      </c>
      <c r="J1165" s="130"/>
    </row>
    <row r="1166" spans="1:10" ht="19.5" customHeight="1">
      <c r="A1166" s="26" t="s">
        <v>588</v>
      </c>
      <c r="B1166" s="367">
        <v>908</v>
      </c>
      <c r="C1166" s="207" t="s">
        <v>275</v>
      </c>
      <c r="D1166" s="207" t="s">
        <v>256</v>
      </c>
      <c r="E1166" s="207" t="s">
        <v>589</v>
      </c>
      <c r="F1166" s="207"/>
      <c r="G1166" s="27">
        <f>G1167</f>
        <v>12.5</v>
      </c>
      <c r="J1166" s="130"/>
    </row>
    <row r="1167" spans="1:10" ht="31.5">
      <c r="A1167" s="26" t="s">
        <v>172</v>
      </c>
      <c r="B1167" s="367">
        <v>908</v>
      </c>
      <c r="C1167" s="207" t="s">
        <v>275</v>
      </c>
      <c r="D1167" s="207" t="s">
        <v>256</v>
      </c>
      <c r="E1167" s="207" t="s">
        <v>589</v>
      </c>
      <c r="F1167" s="207" t="s">
        <v>173</v>
      </c>
      <c r="G1167" s="27">
        <f>G1168</f>
        <v>12.5</v>
      </c>
      <c r="J1167" s="130"/>
    </row>
    <row r="1168" spans="1:11" ht="31.5">
      <c r="A1168" s="26" t="s">
        <v>174</v>
      </c>
      <c r="B1168" s="367">
        <v>908</v>
      </c>
      <c r="C1168" s="207" t="s">
        <v>275</v>
      </c>
      <c r="D1168" s="207" t="s">
        <v>256</v>
      </c>
      <c r="E1168" s="207" t="s">
        <v>589</v>
      </c>
      <c r="F1168" s="207" t="s">
        <v>175</v>
      </c>
      <c r="G1168" s="27">
        <f>356-356+371-371+100-10-48.9-28.6</f>
        <v>12.5</v>
      </c>
      <c r="H1168" s="352" t="s">
        <v>1212</v>
      </c>
      <c r="I1168" s="339" t="s">
        <v>1211</v>
      </c>
      <c r="J1168" s="130"/>
      <c r="K1168" s="130"/>
    </row>
    <row r="1169" spans="1:10" ht="15.75">
      <c r="A1169" s="26" t="s">
        <v>590</v>
      </c>
      <c r="B1169" s="367">
        <v>908</v>
      </c>
      <c r="C1169" s="207" t="s">
        <v>275</v>
      </c>
      <c r="D1169" s="207" t="s">
        <v>256</v>
      </c>
      <c r="E1169" s="207" t="s">
        <v>591</v>
      </c>
      <c r="F1169" s="207"/>
      <c r="G1169" s="27">
        <f>G1170+G1172</f>
        <v>643.3</v>
      </c>
      <c r="J1169" s="130"/>
    </row>
    <row r="1170" spans="1:10" ht="31.5">
      <c r="A1170" s="26" t="s">
        <v>172</v>
      </c>
      <c r="B1170" s="367">
        <v>908</v>
      </c>
      <c r="C1170" s="207" t="s">
        <v>275</v>
      </c>
      <c r="D1170" s="207" t="s">
        <v>256</v>
      </c>
      <c r="E1170" s="207" t="s">
        <v>591</v>
      </c>
      <c r="F1170" s="207" t="s">
        <v>173</v>
      </c>
      <c r="G1170" s="27">
        <f>G1171</f>
        <v>602</v>
      </c>
      <c r="J1170" s="130"/>
    </row>
    <row r="1171" spans="1:11" ht="31.5">
      <c r="A1171" s="26" t="s">
        <v>174</v>
      </c>
      <c r="B1171" s="367">
        <v>908</v>
      </c>
      <c r="C1171" s="207" t="s">
        <v>275</v>
      </c>
      <c r="D1171" s="207" t="s">
        <v>256</v>
      </c>
      <c r="E1171" s="207" t="s">
        <v>591</v>
      </c>
      <c r="F1171" s="207" t="s">
        <v>175</v>
      </c>
      <c r="G1171" s="27">
        <f>800-240+5706.6-5664.6</f>
        <v>602</v>
      </c>
      <c r="H1171" s="352"/>
      <c r="I1171" s="339"/>
      <c r="J1171" s="281"/>
      <c r="K1171" s="130"/>
    </row>
    <row r="1172" spans="1:10" ht="15.75">
      <c r="A1172" s="26" t="s">
        <v>176</v>
      </c>
      <c r="B1172" s="367">
        <v>908</v>
      </c>
      <c r="C1172" s="207" t="s">
        <v>275</v>
      </c>
      <c r="D1172" s="207" t="s">
        <v>256</v>
      </c>
      <c r="E1172" s="207" t="s">
        <v>591</v>
      </c>
      <c r="F1172" s="207" t="s">
        <v>186</v>
      </c>
      <c r="G1172" s="27">
        <f>G1174+G1173</f>
        <v>41.3</v>
      </c>
      <c r="J1172" s="130"/>
    </row>
    <row r="1173" spans="1:10" s="286" customFormat="1" ht="15.75">
      <c r="A1173" s="26" t="s">
        <v>1151</v>
      </c>
      <c r="B1173" s="367">
        <v>908</v>
      </c>
      <c r="C1173" s="207" t="s">
        <v>275</v>
      </c>
      <c r="D1173" s="207" t="s">
        <v>256</v>
      </c>
      <c r="E1173" s="207" t="s">
        <v>591</v>
      </c>
      <c r="F1173" s="207" t="s">
        <v>188</v>
      </c>
      <c r="G1173" s="27">
        <v>41.3</v>
      </c>
      <c r="H1173" s="351" t="s">
        <v>1096</v>
      </c>
      <c r="I1173" s="335" t="s">
        <v>1096</v>
      </c>
      <c r="J1173" s="130"/>
    </row>
    <row r="1174" spans="1:10" ht="15.75" hidden="1">
      <c r="A1174" s="26" t="s">
        <v>610</v>
      </c>
      <c r="B1174" s="367">
        <v>908</v>
      </c>
      <c r="C1174" s="207" t="s">
        <v>275</v>
      </c>
      <c r="D1174" s="207" t="s">
        <v>256</v>
      </c>
      <c r="E1174" s="207" t="s">
        <v>591</v>
      </c>
      <c r="F1174" s="207" t="s">
        <v>179</v>
      </c>
      <c r="G1174" s="27">
        <f>3.4+37.5-40.9</f>
        <v>0</v>
      </c>
      <c r="H1174" s="352"/>
      <c r="J1174" s="130"/>
    </row>
    <row r="1175" spans="1:10" ht="15.75">
      <c r="A1175" s="26" t="s">
        <v>592</v>
      </c>
      <c r="B1175" s="367">
        <v>908</v>
      </c>
      <c r="C1175" s="207" t="s">
        <v>275</v>
      </c>
      <c r="D1175" s="207" t="s">
        <v>256</v>
      </c>
      <c r="E1175" s="207" t="s">
        <v>593</v>
      </c>
      <c r="F1175" s="207"/>
      <c r="G1175" s="27">
        <f>G1176</f>
        <v>746.0699999999995</v>
      </c>
      <c r="J1175" s="130"/>
    </row>
    <row r="1176" spans="1:10" ht="31.5">
      <c r="A1176" s="26" t="s">
        <v>172</v>
      </c>
      <c r="B1176" s="367">
        <v>908</v>
      </c>
      <c r="C1176" s="207" t="s">
        <v>275</v>
      </c>
      <c r="D1176" s="207" t="s">
        <v>256</v>
      </c>
      <c r="E1176" s="207" t="s">
        <v>593</v>
      </c>
      <c r="F1176" s="207" t="s">
        <v>173</v>
      </c>
      <c r="G1176" s="27">
        <f>G1177</f>
        <v>746.0699999999995</v>
      </c>
      <c r="J1176" s="130"/>
    </row>
    <row r="1177" spans="1:10" ht="31.5">
      <c r="A1177" s="26" t="s">
        <v>174</v>
      </c>
      <c r="B1177" s="367">
        <v>908</v>
      </c>
      <c r="C1177" s="207" t="s">
        <v>275</v>
      </c>
      <c r="D1177" s="207" t="s">
        <v>256</v>
      </c>
      <c r="E1177" s="207" t="s">
        <v>593</v>
      </c>
      <c r="F1177" s="207" t="s">
        <v>175</v>
      </c>
      <c r="G1177" s="27">
        <f>1500-1101+1150.57+2810.7-1880-270-660.7-29-15+227.3+44+15+10-1055.8</f>
        <v>746.0699999999995</v>
      </c>
      <c r="H1177" s="352" t="s">
        <v>1215</v>
      </c>
      <c r="I1177" s="339" t="s">
        <v>1214</v>
      </c>
      <c r="J1177" s="281"/>
    </row>
    <row r="1178" spans="1:10" ht="31.5" hidden="1">
      <c r="A1178" s="26" t="s">
        <v>603</v>
      </c>
      <c r="B1178" s="367">
        <v>908</v>
      </c>
      <c r="C1178" s="207" t="s">
        <v>275</v>
      </c>
      <c r="D1178" s="207" t="s">
        <v>256</v>
      </c>
      <c r="E1178" s="207" t="s">
        <v>943</v>
      </c>
      <c r="F1178" s="207"/>
      <c r="G1178" s="27">
        <f>G1179</f>
        <v>0</v>
      </c>
      <c r="J1178" s="130"/>
    </row>
    <row r="1179" spans="1:10" ht="31.5" hidden="1">
      <c r="A1179" s="26" t="s">
        <v>172</v>
      </c>
      <c r="B1179" s="367">
        <v>908</v>
      </c>
      <c r="C1179" s="207" t="s">
        <v>275</v>
      </c>
      <c r="D1179" s="207" t="s">
        <v>256</v>
      </c>
      <c r="E1179" s="207" t="s">
        <v>943</v>
      </c>
      <c r="F1179" s="207" t="s">
        <v>173</v>
      </c>
      <c r="G1179" s="27">
        <f>G1180</f>
        <v>0</v>
      </c>
      <c r="J1179" s="130"/>
    </row>
    <row r="1180" spans="1:10" ht="31.5" hidden="1">
      <c r="A1180" s="26" t="s">
        <v>174</v>
      </c>
      <c r="B1180" s="367">
        <v>908</v>
      </c>
      <c r="C1180" s="207" t="s">
        <v>275</v>
      </c>
      <c r="D1180" s="207" t="s">
        <v>256</v>
      </c>
      <c r="E1180" s="207" t="s">
        <v>943</v>
      </c>
      <c r="F1180" s="207" t="s">
        <v>175</v>
      </c>
      <c r="G1180" s="27">
        <v>0</v>
      </c>
      <c r="J1180" s="130"/>
    </row>
    <row r="1181" spans="1:10" ht="30" customHeight="1">
      <c r="A1181" s="26" t="s">
        <v>594</v>
      </c>
      <c r="B1181" s="367">
        <v>908</v>
      </c>
      <c r="C1181" s="207" t="s">
        <v>275</v>
      </c>
      <c r="D1181" s="207" t="s">
        <v>256</v>
      </c>
      <c r="E1181" s="207" t="s">
        <v>595</v>
      </c>
      <c r="F1181" s="207"/>
      <c r="G1181" s="27">
        <f>G1182+G1187+G1190+G1195</f>
        <v>722.5</v>
      </c>
      <c r="J1181" s="294"/>
    </row>
    <row r="1182" spans="1:10" ht="15.75">
      <c r="A1182" s="26" t="s">
        <v>592</v>
      </c>
      <c r="B1182" s="367">
        <v>908</v>
      </c>
      <c r="C1182" s="207" t="s">
        <v>275</v>
      </c>
      <c r="D1182" s="207" t="s">
        <v>256</v>
      </c>
      <c r="E1182" s="207" t="s">
        <v>596</v>
      </c>
      <c r="F1182" s="207"/>
      <c r="G1182" s="27">
        <f>G1183+G1185</f>
        <v>11</v>
      </c>
      <c r="J1182" s="130"/>
    </row>
    <row r="1183" spans="1:10" ht="63" hidden="1">
      <c r="A1183" s="26" t="s">
        <v>168</v>
      </c>
      <c r="B1183" s="367">
        <v>908</v>
      </c>
      <c r="C1183" s="207" t="s">
        <v>275</v>
      </c>
      <c r="D1183" s="207" t="s">
        <v>256</v>
      </c>
      <c r="E1183" s="207" t="s">
        <v>596</v>
      </c>
      <c r="F1183" s="207" t="s">
        <v>169</v>
      </c>
      <c r="G1183" s="27">
        <f>G1184</f>
        <v>0</v>
      </c>
      <c r="J1183" s="130"/>
    </row>
    <row r="1184" spans="1:10" ht="15.75" hidden="1">
      <c r="A1184" s="47" t="s">
        <v>383</v>
      </c>
      <c r="B1184" s="367">
        <v>908</v>
      </c>
      <c r="C1184" s="207" t="s">
        <v>275</v>
      </c>
      <c r="D1184" s="207" t="s">
        <v>256</v>
      </c>
      <c r="E1184" s="207" t="s">
        <v>596</v>
      </c>
      <c r="F1184" s="207" t="s">
        <v>250</v>
      </c>
      <c r="G1184" s="27">
        <v>0</v>
      </c>
      <c r="J1184" s="130"/>
    </row>
    <row r="1185" spans="1:10" ht="31.5">
      <c r="A1185" s="26" t="s">
        <v>172</v>
      </c>
      <c r="B1185" s="367">
        <v>908</v>
      </c>
      <c r="C1185" s="207" t="s">
        <v>275</v>
      </c>
      <c r="D1185" s="207" t="s">
        <v>256</v>
      </c>
      <c r="E1185" s="207" t="s">
        <v>596</v>
      </c>
      <c r="F1185" s="207" t="s">
        <v>173</v>
      </c>
      <c r="G1185" s="27">
        <f>G1186</f>
        <v>11</v>
      </c>
      <c r="J1185" s="130"/>
    </row>
    <row r="1186" spans="1:10" ht="31.5">
      <c r="A1186" s="26" t="s">
        <v>174</v>
      </c>
      <c r="B1186" s="367">
        <v>908</v>
      </c>
      <c r="C1186" s="207" t="s">
        <v>275</v>
      </c>
      <c r="D1186" s="207" t="s">
        <v>256</v>
      </c>
      <c r="E1186" s="207" t="s">
        <v>596</v>
      </c>
      <c r="F1186" s="207" t="s">
        <v>175</v>
      </c>
      <c r="G1186" s="27">
        <v>11</v>
      </c>
      <c r="H1186" s="352"/>
      <c r="J1186" s="130"/>
    </row>
    <row r="1187" spans="1:10" ht="15.75">
      <c r="A1187" s="26" t="s">
        <v>597</v>
      </c>
      <c r="B1187" s="367">
        <v>908</v>
      </c>
      <c r="C1187" s="207" t="s">
        <v>275</v>
      </c>
      <c r="D1187" s="207" t="s">
        <v>256</v>
      </c>
      <c r="E1187" s="207" t="s">
        <v>598</v>
      </c>
      <c r="F1187" s="207"/>
      <c r="G1187" s="27">
        <f>G1188</f>
        <v>4</v>
      </c>
      <c r="J1187" s="130"/>
    </row>
    <row r="1188" spans="1:10" ht="31.5">
      <c r="A1188" s="26" t="s">
        <v>172</v>
      </c>
      <c r="B1188" s="367">
        <v>908</v>
      </c>
      <c r="C1188" s="207" t="s">
        <v>275</v>
      </c>
      <c r="D1188" s="207" t="s">
        <v>256</v>
      </c>
      <c r="E1188" s="207" t="s">
        <v>598</v>
      </c>
      <c r="F1188" s="207" t="s">
        <v>173</v>
      </c>
      <c r="G1188" s="27">
        <f>G1189</f>
        <v>4</v>
      </c>
      <c r="J1188" s="130"/>
    </row>
    <row r="1189" spans="1:10" ht="36" customHeight="1">
      <c r="A1189" s="26" t="s">
        <v>174</v>
      </c>
      <c r="B1189" s="367">
        <v>908</v>
      </c>
      <c r="C1189" s="207" t="s">
        <v>275</v>
      </c>
      <c r="D1189" s="207" t="s">
        <v>256</v>
      </c>
      <c r="E1189" s="207" t="s">
        <v>598</v>
      </c>
      <c r="F1189" s="207" t="s">
        <v>175</v>
      </c>
      <c r="G1189" s="27">
        <v>4</v>
      </c>
      <c r="H1189" s="352"/>
      <c r="J1189" s="281"/>
    </row>
    <row r="1190" spans="1:10" ht="30.75" customHeight="1">
      <c r="A1190" s="47" t="s">
        <v>599</v>
      </c>
      <c r="B1190" s="367">
        <v>908</v>
      </c>
      <c r="C1190" s="207" t="s">
        <v>275</v>
      </c>
      <c r="D1190" s="207" t="s">
        <v>256</v>
      </c>
      <c r="E1190" s="207" t="s">
        <v>600</v>
      </c>
      <c r="F1190" s="207"/>
      <c r="G1190" s="27">
        <f>G1191+G1193</f>
        <v>707.5</v>
      </c>
      <c r="J1190" s="278"/>
    </row>
    <row r="1191" spans="1:10" ht="31.5">
      <c r="A1191" s="26" t="s">
        <v>172</v>
      </c>
      <c r="B1191" s="367">
        <v>908</v>
      </c>
      <c r="C1191" s="207" t="s">
        <v>275</v>
      </c>
      <c r="D1191" s="207" t="s">
        <v>256</v>
      </c>
      <c r="E1191" s="207" t="s">
        <v>600</v>
      </c>
      <c r="F1191" s="207" t="s">
        <v>173</v>
      </c>
      <c r="G1191" s="27">
        <f>G1192</f>
        <v>632.5</v>
      </c>
      <c r="J1191" s="130"/>
    </row>
    <row r="1192" spans="1:10" ht="31.5">
      <c r="A1192" s="26" t="s">
        <v>174</v>
      </c>
      <c r="B1192" s="367">
        <v>908</v>
      </c>
      <c r="C1192" s="207" t="s">
        <v>275</v>
      </c>
      <c r="D1192" s="207" t="s">
        <v>256</v>
      </c>
      <c r="E1192" s="207" t="s">
        <v>600</v>
      </c>
      <c r="F1192" s="207" t="s">
        <v>175</v>
      </c>
      <c r="G1192" s="27">
        <f>1000-1000+243.4+195.5-60.4-46+300</f>
        <v>632.5</v>
      </c>
      <c r="H1192" s="352"/>
      <c r="I1192" s="338"/>
      <c r="J1192" s="130"/>
    </row>
    <row r="1193" spans="1:10" s="286" customFormat="1" ht="15.75">
      <c r="A1193" s="47" t="s">
        <v>601</v>
      </c>
      <c r="B1193" s="367">
        <v>908</v>
      </c>
      <c r="C1193" s="207" t="s">
        <v>275</v>
      </c>
      <c r="D1193" s="207" t="s">
        <v>256</v>
      </c>
      <c r="E1193" s="207" t="s">
        <v>600</v>
      </c>
      <c r="F1193" s="207" t="s">
        <v>186</v>
      </c>
      <c r="G1193" s="27">
        <f>G1194</f>
        <v>75</v>
      </c>
      <c r="H1193" s="361"/>
      <c r="I1193" s="280"/>
      <c r="J1193" s="130"/>
    </row>
    <row r="1194" spans="1:10" s="286" customFormat="1" ht="15.75">
      <c r="A1194" s="26" t="s">
        <v>176</v>
      </c>
      <c r="B1194" s="367">
        <v>908</v>
      </c>
      <c r="C1194" s="207" t="s">
        <v>275</v>
      </c>
      <c r="D1194" s="207" t="s">
        <v>256</v>
      </c>
      <c r="E1194" s="207" t="s">
        <v>600</v>
      </c>
      <c r="F1194" s="207" t="s">
        <v>179</v>
      </c>
      <c r="G1194" s="27">
        <v>75</v>
      </c>
      <c r="H1194" s="361"/>
      <c r="I1194" s="280"/>
      <c r="J1194" s="130"/>
    </row>
    <row r="1195" spans="1:10" ht="15.75" hidden="1">
      <c r="A1195" s="47" t="s">
        <v>601</v>
      </c>
      <c r="B1195" s="367">
        <v>908</v>
      </c>
      <c r="C1195" s="207" t="s">
        <v>275</v>
      </c>
      <c r="D1195" s="207" t="s">
        <v>256</v>
      </c>
      <c r="E1195" s="207" t="s">
        <v>602</v>
      </c>
      <c r="F1195" s="207"/>
      <c r="G1195" s="27">
        <f>G1196</f>
        <v>0</v>
      </c>
      <c r="J1195" s="294"/>
    </row>
    <row r="1196" spans="1:10" ht="31.5" hidden="1">
      <c r="A1196" s="26" t="s">
        <v>172</v>
      </c>
      <c r="B1196" s="367">
        <v>908</v>
      </c>
      <c r="C1196" s="207" t="s">
        <v>275</v>
      </c>
      <c r="D1196" s="207" t="s">
        <v>256</v>
      </c>
      <c r="E1196" s="207" t="s">
        <v>602</v>
      </c>
      <c r="F1196" s="207" t="s">
        <v>173</v>
      </c>
      <c r="G1196" s="27">
        <f>G1197</f>
        <v>0</v>
      </c>
      <c r="J1196" s="130"/>
    </row>
    <row r="1197" spans="1:10" ht="31.5" hidden="1">
      <c r="A1197" s="26" t="s">
        <v>174</v>
      </c>
      <c r="B1197" s="367">
        <v>908</v>
      </c>
      <c r="C1197" s="207" t="s">
        <v>275</v>
      </c>
      <c r="D1197" s="207" t="s">
        <v>256</v>
      </c>
      <c r="E1197" s="207" t="s">
        <v>602</v>
      </c>
      <c r="F1197" s="207" t="s">
        <v>175</v>
      </c>
      <c r="G1197" s="27">
        <v>0</v>
      </c>
      <c r="J1197" s="130"/>
    </row>
    <row r="1198" spans="1:10" ht="52.5" customHeight="1">
      <c r="A1198" s="26" t="s">
        <v>969</v>
      </c>
      <c r="B1198" s="367">
        <v>908</v>
      </c>
      <c r="C1198" s="207" t="s">
        <v>275</v>
      </c>
      <c r="D1198" s="207" t="s">
        <v>256</v>
      </c>
      <c r="E1198" s="207" t="s">
        <v>786</v>
      </c>
      <c r="F1198" s="207"/>
      <c r="G1198" s="27">
        <f>G1199</f>
        <v>2614.5200000000004</v>
      </c>
      <c r="J1198" s="278"/>
    </row>
    <row r="1199" spans="1:10" ht="48.75" customHeight="1">
      <c r="A1199" s="93" t="s">
        <v>758</v>
      </c>
      <c r="B1199" s="367">
        <v>908</v>
      </c>
      <c r="C1199" s="207" t="s">
        <v>275</v>
      </c>
      <c r="D1199" s="207" t="s">
        <v>256</v>
      </c>
      <c r="E1199" s="207" t="s">
        <v>1094</v>
      </c>
      <c r="F1199" s="207"/>
      <c r="G1199" s="27">
        <f>G1200</f>
        <v>2614.5200000000004</v>
      </c>
      <c r="J1199" s="130"/>
    </row>
    <row r="1200" spans="1:10" ht="31.5">
      <c r="A1200" s="26" t="s">
        <v>172</v>
      </c>
      <c r="B1200" s="367">
        <v>908</v>
      </c>
      <c r="C1200" s="207" t="s">
        <v>275</v>
      </c>
      <c r="D1200" s="207" t="s">
        <v>256</v>
      </c>
      <c r="E1200" s="207" t="s">
        <v>1094</v>
      </c>
      <c r="F1200" s="207" t="s">
        <v>173</v>
      </c>
      <c r="G1200" s="27">
        <f>G1201</f>
        <v>2614.5200000000004</v>
      </c>
      <c r="J1200" s="130"/>
    </row>
    <row r="1201" spans="1:10" ht="31.5">
      <c r="A1201" s="26" t="s">
        <v>174</v>
      </c>
      <c r="B1201" s="367">
        <v>908</v>
      </c>
      <c r="C1201" s="207" t="s">
        <v>275</v>
      </c>
      <c r="D1201" s="207" t="s">
        <v>256</v>
      </c>
      <c r="E1201" s="207" t="s">
        <v>1094</v>
      </c>
      <c r="F1201" s="207" t="s">
        <v>175</v>
      </c>
      <c r="G1201" s="27">
        <f>500+2114.52+5000-5000</f>
        <v>2614.5200000000004</v>
      </c>
      <c r="H1201" s="352"/>
      <c r="J1201" s="130"/>
    </row>
    <row r="1202" spans="1:10" ht="15.75">
      <c r="A1202" s="26" t="s">
        <v>162</v>
      </c>
      <c r="B1202" s="367">
        <v>908</v>
      </c>
      <c r="C1202" s="207" t="s">
        <v>275</v>
      </c>
      <c r="D1202" s="207" t="s">
        <v>256</v>
      </c>
      <c r="E1202" s="207" t="s">
        <v>163</v>
      </c>
      <c r="F1202" s="207"/>
      <c r="G1202" s="27">
        <f>G1206+G1219</f>
        <v>2053.9</v>
      </c>
      <c r="J1202" s="130"/>
    </row>
    <row r="1203" spans="1:10" ht="31.5" hidden="1">
      <c r="A1203" s="26" t="s">
        <v>603</v>
      </c>
      <c r="B1203" s="367">
        <v>908</v>
      </c>
      <c r="C1203" s="207" t="s">
        <v>275</v>
      </c>
      <c r="D1203" s="207" t="s">
        <v>256</v>
      </c>
      <c r="E1203" s="207" t="s">
        <v>604</v>
      </c>
      <c r="F1203" s="207"/>
      <c r="G1203" s="27">
        <f>G1204</f>
        <v>0</v>
      </c>
      <c r="J1203" s="130"/>
    </row>
    <row r="1204" spans="1:10" ht="31.5" hidden="1">
      <c r="A1204" s="26" t="s">
        <v>172</v>
      </c>
      <c r="B1204" s="367">
        <v>908</v>
      </c>
      <c r="C1204" s="207" t="s">
        <v>275</v>
      </c>
      <c r="D1204" s="207" t="s">
        <v>256</v>
      </c>
      <c r="E1204" s="207" t="s">
        <v>604</v>
      </c>
      <c r="F1204" s="207" t="s">
        <v>173</v>
      </c>
      <c r="G1204" s="27">
        <f>G1205</f>
        <v>0</v>
      </c>
      <c r="J1204" s="130"/>
    </row>
    <row r="1205" spans="1:10" ht="31.5" hidden="1">
      <c r="A1205" s="26" t="s">
        <v>174</v>
      </c>
      <c r="B1205" s="367">
        <v>908</v>
      </c>
      <c r="C1205" s="207" t="s">
        <v>275</v>
      </c>
      <c r="D1205" s="207" t="s">
        <v>256</v>
      </c>
      <c r="E1205" s="207" t="s">
        <v>604</v>
      </c>
      <c r="F1205" s="207" t="s">
        <v>175</v>
      </c>
      <c r="G1205" s="27">
        <f>1915.9+2170.9-2170.9+255-2170.9</f>
        <v>0</v>
      </c>
      <c r="J1205" s="130"/>
    </row>
    <row r="1206" spans="1:10" ht="15.75">
      <c r="A1206" s="33" t="s">
        <v>226</v>
      </c>
      <c r="B1206" s="367">
        <v>908</v>
      </c>
      <c r="C1206" s="207" t="s">
        <v>275</v>
      </c>
      <c r="D1206" s="207" t="s">
        <v>256</v>
      </c>
      <c r="E1206" s="207" t="s">
        <v>227</v>
      </c>
      <c r="F1206" s="207"/>
      <c r="G1206" s="27">
        <f>G1207+G1213+G1216+G1210</f>
        <v>1663.9</v>
      </c>
      <c r="J1206" s="130"/>
    </row>
    <row r="1207" spans="1:10" ht="32.25" customHeight="1">
      <c r="A1207" s="26" t="s">
        <v>755</v>
      </c>
      <c r="B1207" s="367">
        <v>908</v>
      </c>
      <c r="C1207" s="207" t="s">
        <v>275</v>
      </c>
      <c r="D1207" s="207" t="s">
        <v>256</v>
      </c>
      <c r="E1207" s="207" t="s">
        <v>756</v>
      </c>
      <c r="F1207" s="207"/>
      <c r="G1207" s="27">
        <f>G1208</f>
        <v>244</v>
      </c>
      <c r="J1207" s="130"/>
    </row>
    <row r="1208" spans="1:10" ht="31.5">
      <c r="A1208" s="26" t="s">
        <v>172</v>
      </c>
      <c r="B1208" s="367">
        <v>908</v>
      </c>
      <c r="C1208" s="207" t="s">
        <v>275</v>
      </c>
      <c r="D1208" s="207" t="s">
        <v>256</v>
      </c>
      <c r="E1208" s="207" t="s">
        <v>756</v>
      </c>
      <c r="F1208" s="207" t="s">
        <v>173</v>
      </c>
      <c r="G1208" s="27">
        <f>G1209</f>
        <v>244</v>
      </c>
      <c r="J1208" s="130"/>
    </row>
    <row r="1209" spans="1:10" ht="31.5">
      <c r="A1209" s="26" t="s">
        <v>174</v>
      </c>
      <c r="B1209" s="367">
        <v>908</v>
      </c>
      <c r="C1209" s="207" t="s">
        <v>275</v>
      </c>
      <c r="D1209" s="207" t="s">
        <v>256</v>
      </c>
      <c r="E1209" s="207" t="s">
        <v>756</v>
      </c>
      <c r="F1209" s="207" t="s">
        <v>175</v>
      </c>
      <c r="G1209" s="27">
        <f>976-732</f>
        <v>244</v>
      </c>
      <c r="H1209" s="351" t="s">
        <v>1123</v>
      </c>
      <c r="J1209" s="130"/>
    </row>
    <row r="1210" spans="1:10" s="286" customFormat="1" ht="47.25">
      <c r="A1210" s="26" t="s">
        <v>1116</v>
      </c>
      <c r="B1210" s="367">
        <v>908</v>
      </c>
      <c r="C1210" s="207" t="s">
        <v>275</v>
      </c>
      <c r="D1210" s="207" t="s">
        <v>256</v>
      </c>
      <c r="E1210" s="207" t="s">
        <v>1115</v>
      </c>
      <c r="F1210" s="207"/>
      <c r="G1210" s="27">
        <f>G1211</f>
        <v>1419.9</v>
      </c>
      <c r="H1210" s="361"/>
      <c r="I1210" s="280"/>
      <c r="J1210" s="130"/>
    </row>
    <row r="1211" spans="1:10" s="286" customFormat="1" ht="31.5">
      <c r="A1211" s="26" t="s">
        <v>172</v>
      </c>
      <c r="B1211" s="367">
        <v>908</v>
      </c>
      <c r="C1211" s="207" t="s">
        <v>275</v>
      </c>
      <c r="D1211" s="207" t="s">
        <v>256</v>
      </c>
      <c r="E1211" s="207" t="s">
        <v>1115</v>
      </c>
      <c r="F1211" s="207" t="s">
        <v>173</v>
      </c>
      <c r="G1211" s="27">
        <f>G1212</f>
        <v>1419.9</v>
      </c>
      <c r="H1211" s="361"/>
      <c r="I1211" s="280"/>
      <c r="J1211" s="130"/>
    </row>
    <row r="1212" spans="1:10" s="286" customFormat="1" ht="31.5">
      <c r="A1212" s="26" t="s">
        <v>174</v>
      </c>
      <c r="B1212" s="367">
        <v>908</v>
      </c>
      <c r="C1212" s="207" t="s">
        <v>275</v>
      </c>
      <c r="D1212" s="207" t="s">
        <v>256</v>
      </c>
      <c r="E1212" s="207" t="s">
        <v>1115</v>
      </c>
      <c r="F1212" s="207" t="s">
        <v>175</v>
      </c>
      <c r="G1212" s="27">
        <v>1419.9</v>
      </c>
      <c r="H1212" s="361" t="s">
        <v>1117</v>
      </c>
      <c r="I1212" s="280"/>
      <c r="J1212" s="130"/>
    </row>
    <row r="1213" spans="1:10" ht="31.5" hidden="1">
      <c r="A1213" s="26" t="s">
        <v>757</v>
      </c>
      <c r="B1213" s="367">
        <v>908</v>
      </c>
      <c r="C1213" s="207" t="s">
        <v>275</v>
      </c>
      <c r="D1213" s="207" t="s">
        <v>256</v>
      </c>
      <c r="E1213" s="207" t="s">
        <v>605</v>
      </c>
      <c r="F1213" s="207"/>
      <c r="G1213" s="27">
        <f>G1214</f>
        <v>0</v>
      </c>
      <c r="J1213" s="130"/>
    </row>
    <row r="1214" spans="1:10" ht="31.5" hidden="1">
      <c r="A1214" s="26" t="s">
        <v>172</v>
      </c>
      <c r="B1214" s="367">
        <v>908</v>
      </c>
      <c r="C1214" s="207" t="s">
        <v>275</v>
      </c>
      <c r="D1214" s="207" t="s">
        <v>256</v>
      </c>
      <c r="E1214" s="207" t="s">
        <v>605</v>
      </c>
      <c r="F1214" s="207" t="s">
        <v>173</v>
      </c>
      <c r="G1214" s="27">
        <f>G1215</f>
        <v>0</v>
      </c>
      <c r="J1214" s="130"/>
    </row>
    <row r="1215" spans="1:10" ht="31.5" hidden="1">
      <c r="A1215" s="26" t="s">
        <v>174</v>
      </c>
      <c r="B1215" s="367">
        <v>908</v>
      </c>
      <c r="C1215" s="207" t="s">
        <v>275</v>
      </c>
      <c r="D1215" s="207" t="s">
        <v>256</v>
      </c>
      <c r="E1215" s="207" t="s">
        <v>605</v>
      </c>
      <c r="F1215" s="207" t="s">
        <v>175</v>
      </c>
      <c r="G1215" s="27">
        <f>904.2-904.2</f>
        <v>0</v>
      </c>
      <c r="H1215" s="351">
        <v>0</v>
      </c>
      <c r="I1215" s="313" t="s">
        <v>1187</v>
      </c>
      <c r="J1215" s="130"/>
    </row>
    <row r="1216" spans="1:10" ht="47.25" hidden="1">
      <c r="A1216" s="26" t="s">
        <v>758</v>
      </c>
      <c r="B1216" s="367">
        <v>908</v>
      </c>
      <c r="C1216" s="207" t="s">
        <v>275</v>
      </c>
      <c r="D1216" s="207" t="s">
        <v>256</v>
      </c>
      <c r="E1216" s="207" t="s">
        <v>1024</v>
      </c>
      <c r="F1216" s="207"/>
      <c r="G1216" s="27">
        <f>G1217</f>
        <v>0</v>
      </c>
      <c r="J1216" s="130"/>
    </row>
    <row r="1217" spans="1:10" ht="31.5" hidden="1">
      <c r="A1217" s="26" t="s">
        <v>172</v>
      </c>
      <c r="B1217" s="367">
        <v>908</v>
      </c>
      <c r="C1217" s="207" t="s">
        <v>275</v>
      </c>
      <c r="D1217" s="207" t="s">
        <v>256</v>
      </c>
      <c r="E1217" s="207" t="s">
        <v>1024</v>
      </c>
      <c r="F1217" s="207" t="s">
        <v>173</v>
      </c>
      <c r="G1217" s="27">
        <f>G1218</f>
        <v>0</v>
      </c>
      <c r="J1217" s="130"/>
    </row>
    <row r="1218" spans="1:10" ht="31.5" hidden="1">
      <c r="A1218" s="26" t="s">
        <v>174</v>
      </c>
      <c r="B1218" s="367">
        <v>908</v>
      </c>
      <c r="C1218" s="207" t="s">
        <v>275</v>
      </c>
      <c r="D1218" s="207" t="s">
        <v>256</v>
      </c>
      <c r="E1218" s="207" t="s">
        <v>1024</v>
      </c>
      <c r="F1218" s="207" t="s">
        <v>175</v>
      </c>
      <c r="G1218" s="27">
        <f>2114.5-2114.5</f>
        <v>0</v>
      </c>
      <c r="H1218" s="352"/>
      <c r="J1218" s="130"/>
    </row>
    <row r="1219" spans="1:10" ht="15.75">
      <c r="A1219" s="26" t="s">
        <v>182</v>
      </c>
      <c r="B1219" s="367">
        <v>908</v>
      </c>
      <c r="C1219" s="207" t="s">
        <v>275</v>
      </c>
      <c r="D1219" s="207" t="s">
        <v>256</v>
      </c>
      <c r="E1219" s="207" t="s">
        <v>183</v>
      </c>
      <c r="F1219" s="207"/>
      <c r="G1219" s="27">
        <f>G1220+G1223+G1226</f>
        <v>390</v>
      </c>
      <c r="J1219" s="130"/>
    </row>
    <row r="1220" spans="1:10" ht="15.75">
      <c r="A1220" s="26" t="s">
        <v>606</v>
      </c>
      <c r="B1220" s="367">
        <v>908</v>
      </c>
      <c r="C1220" s="207" t="s">
        <v>275</v>
      </c>
      <c r="D1220" s="207" t="s">
        <v>256</v>
      </c>
      <c r="E1220" s="207" t="s">
        <v>607</v>
      </c>
      <c r="F1220" s="207"/>
      <c r="G1220" s="27">
        <f>G1221</f>
        <v>390</v>
      </c>
      <c r="J1220" s="130"/>
    </row>
    <row r="1221" spans="1:10" ht="31.5">
      <c r="A1221" s="26" t="s">
        <v>172</v>
      </c>
      <c r="B1221" s="367">
        <v>908</v>
      </c>
      <c r="C1221" s="207" t="s">
        <v>275</v>
      </c>
      <c r="D1221" s="207" t="s">
        <v>256</v>
      </c>
      <c r="E1221" s="207" t="s">
        <v>607</v>
      </c>
      <c r="F1221" s="207" t="s">
        <v>173</v>
      </c>
      <c r="G1221" s="27">
        <f>G1222</f>
        <v>390</v>
      </c>
      <c r="J1221" s="130"/>
    </row>
    <row r="1222" spans="1:10" ht="34.5" customHeight="1">
      <c r="A1222" s="26" t="s">
        <v>174</v>
      </c>
      <c r="B1222" s="367">
        <v>908</v>
      </c>
      <c r="C1222" s="207" t="s">
        <v>275</v>
      </c>
      <c r="D1222" s="207" t="s">
        <v>256</v>
      </c>
      <c r="E1222" s="207" t="s">
        <v>607</v>
      </c>
      <c r="F1222" s="207" t="s">
        <v>175</v>
      </c>
      <c r="G1222" s="28">
        <v>390</v>
      </c>
      <c r="J1222" s="130"/>
    </row>
    <row r="1223" spans="1:10" ht="15.75" customHeight="1" hidden="1">
      <c r="A1223" s="26" t="s">
        <v>608</v>
      </c>
      <c r="B1223" s="367">
        <v>908</v>
      </c>
      <c r="C1223" s="207" t="s">
        <v>275</v>
      </c>
      <c r="D1223" s="207" t="s">
        <v>256</v>
      </c>
      <c r="E1223" s="207" t="s">
        <v>609</v>
      </c>
      <c r="F1223" s="207"/>
      <c r="G1223" s="28">
        <f>G1224</f>
        <v>0</v>
      </c>
      <c r="J1223" s="130"/>
    </row>
    <row r="1224" spans="1:10" ht="15.75" customHeight="1" hidden="1">
      <c r="A1224" s="26" t="s">
        <v>176</v>
      </c>
      <c r="B1224" s="367">
        <v>908</v>
      </c>
      <c r="C1224" s="207" t="s">
        <v>275</v>
      </c>
      <c r="D1224" s="207" t="s">
        <v>256</v>
      </c>
      <c r="E1224" s="207" t="s">
        <v>609</v>
      </c>
      <c r="F1224" s="207" t="s">
        <v>186</v>
      </c>
      <c r="G1224" s="28">
        <f>G1225</f>
        <v>0</v>
      </c>
      <c r="J1224" s="130"/>
    </row>
    <row r="1225" spans="1:10" ht="15.75" customHeight="1" hidden="1">
      <c r="A1225" s="26" t="s">
        <v>610</v>
      </c>
      <c r="B1225" s="367">
        <v>908</v>
      </c>
      <c r="C1225" s="207" t="s">
        <v>275</v>
      </c>
      <c r="D1225" s="207" t="s">
        <v>256</v>
      </c>
      <c r="E1225" s="207" t="s">
        <v>609</v>
      </c>
      <c r="F1225" s="207" t="s">
        <v>179</v>
      </c>
      <c r="G1225" s="28">
        <v>0</v>
      </c>
      <c r="J1225" s="130"/>
    </row>
    <row r="1226" spans="1:10" ht="52.5" customHeight="1" hidden="1">
      <c r="A1226" s="26" t="s">
        <v>962</v>
      </c>
      <c r="B1226" s="367">
        <v>908</v>
      </c>
      <c r="C1226" s="207" t="s">
        <v>275</v>
      </c>
      <c r="D1226" s="207" t="s">
        <v>256</v>
      </c>
      <c r="E1226" s="207" t="s">
        <v>963</v>
      </c>
      <c r="F1226" s="207"/>
      <c r="G1226" s="28">
        <f>G1227</f>
        <v>0</v>
      </c>
      <c r="J1226" s="130"/>
    </row>
    <row r="1227" spans="1:10" ht="31.5" hidden="1">
      <c r="A1227" s="26" t="s">
        <v>172</v>
      </c>
      <c r="B1227" s="367">
        <v>908</v>
      </c>
      <c r="C1227" s="207" t="s">
        <v>275</v>
      </c>
      <c r="D1227" s="207" t="s">
        <v>256</v>
      </c>
      <c r="E1227" s="207" t="s">
        <v>963</v>
      </c>
      <c r="F1227" s="207" t="s">
        <v>173</v>
      </c>
      <c r="G1227" s="28">
        <f>G1228</f>
        <v>0</v>
      </c>
      <c r="J1227" s="130"/>
    </row>
    <row r="1228" spans="1:10" ht="31.5" hidden="1">
      <c r="A1228" s="26" t="s">
        <v>174</v>
      </c>
      <c r="B1228" s="367">
        <v>908</v>
      </c>
      <c r="C1228" s="207" t="s">
        <v>275</v>
      </c>
      <c r="D1228" s="207" t="s">
        <v>256</v>
      </c>
      <c r="E1228" s="207" t="s">
        <v>963</v>
      </c>
      <c r="F1228" s="207" t="s">
        <v>175</v>
      </c>
      <c r="G1228" s="28">
        <v>0</v>
      </c>
      <c r="J1228" s="130"/>
    </row>
    <row r="1229" spans="1:10" ht="31.5">
      <c r="A1229" s="24" t="s">
        <v>611</v>
      </c>
      <c r="B1229" s="382">
        <v>908</v>
      </c>
      <c r="C1229" s="383" t="s">
        <v>275</v>
      </c>
      <c r="D1229" s="383" t="s">
        <v>275</v>
      </c>
      <c r="E1229" s="383"/>
      <c r="F1229" s="383"/>
      <c r="G1229" s="22">
        <f>G1230</f>
        <v>33787.3</v>
      </c>
      <c r="J1229" s="130"/>
    </row>
    <row r="1230" spans="1:10" ht="15.75">
      <c r="A1230" s="26" t="s">
        <v>162</v>
      </c>
      <c r="B1230" s="367">
        <v>908</v>
      </c>
      <c r="C1230" s="207" t="s">
        <v>275</v>
      </c>
      <c r="D1230" s="207" t="s">
        <v>275</v>
      </c>
      <c r="E1230" s="207" t="s">
        <v>163</v>
      </c>
      <c r="F1230" s="207"/>
      <c r="G1230" s="27">
        <f>G1231+G1239</f>
        <v>33787.3</v>
      </c>
      <c r="J1230" s="130"/>
    </row>
    <row r="1231" spans="1:10" ht="31.5">
      <c r="A1231" s="26" t="s">
        <v>164</v>
      </c>
      <c r="B1231" s="367">
        <v>908</v>
      </c>
      <c r="C1231" s="207" t="s">
        <v>275</v>
      </c>
      <c r="D1231" s="207" t="s">
        <v>275</v>
      </c>
      <c r="E1231" s="207" t="s">
        <v>165</v>
      </c>
      <c r="F1231" s="207"/>
      <c r="G1231" s="27">
        <f>G1232</f>
        <v>12857.2</v>
      </c>
      <c r="J1231" s="130"/>
    </row>
    <row r="1232" spans="1:10" ht="31.5">
      <c r="A1232" s="26" t="s">
        <v>166</v>
      </c>
      <c r="B1232" s="367">
        <v>908</v>
      </c>
      <c r="C1232" s="207" t="s">
        <v>275</v>
      </c>
      <c r="D1232" s="207" t="s">
        <v>275</v>
      </c>
      <c r="E1232" s="207" t="s">
        <v>167</v>
      </c>
      <c r="F1232" s="207"/>
      <c r="G1232" s="27">
        <f>G1233+G1237+G1235</f>
        <v>12857.2</v>
      </c>
      <c r="J1232" s="130"/>
    </row>
    <row r="1233" spans="1:10" ht="60.75" customHeight="1">
      <c r="A1233" s="26" t="s">
        <v>168</v>
      </c>
      <c r="B1233" s="367">
        <v>908</v>
      </c>
      <c r="C1233" s="207" t="s">
        <v>275</v>
      </c>
      <c r="D1233" s="207" t="s">
        <v>275</v>
      </c>
      <c r="E1233" s="207" t="s">
        <v>167</v>
      </c>
      <c r="F1233" s="207" t="s">
        <v>169</v>
      </c>
      <c r="G1233" s="27">
        <f>G1234</f>
        <v>12785.7</v>
      </c>
      <c r="J1233" s="130"/>
    </row>
    <row r="1234" spans="1:10" ht="31.5">
      <c r="A1234" s="26" t="s">
        <v>170</v>
      </c>
      <c r="B1234" s="367">
        <v>908</v>
      </c>
      <c r="C1234" s="207" t="s">
        <v>275</v>
      </c>
      <c r="D1234" s="207" t="s">
        <v>275</v>
      </c>
      <c r="E1234" s="207" t="s">
        <v>167</v>
      </c>
      <c r="F1234" s="207" t="s">
        <v>171</v>
      </c>
      <c r="G1234" s="28">
        <f>12500.4+960.7+598.9-1274.3</f>
        <v>12785.7</v>
      </c>
      <c r="H1234" s="352" t="s">
        <v>1119</v>
      </c>
      <c r="J1234" s="130"/>
    </row>
    <row r="1235" spans="1:10" ht="31.5">
      <c r="A1235" s="26" t="s">
        <v>172</v>
      </c>
      <c r="B1235" s="367">
        <v>908</v>
      </c>
      <c r="C1235" s="207" t="s">
        <v>275</v>
      </c>
      <c r="D1235" s="207" t="s">
        <v>275</v>
      </c>
      <c r="E1235" s="207" t="s">
        <v>167</v>
      </c>
      <c r="F1235" s="207" t="s">
        <v>173</v>
      </c>
      <c r="G1235" s="27">
        <f>G1236</f>
        <v>25</v>
      </c>
      <c r="J1235" s="130"/>
    </row>
    <row r="1236" spans="1:12" ht="36.75" customHeight="1">
      <c r="A1236" s="26" t="s">
        <v>174</v>
      </c>
      <c r="B1236" s="367">
        <v>908</v>
      </c>
      <c r="C1236" s="207" t="s">
        <v>275</v>
      </c>
      <c r="D1236" s="207" t="s">
        <v>275</v>
      </c>
      <c r="E1236" s="207" t="s">
        <v>167</v>
      </c>
      <c r="F1236" s="207" t="s">
        <v>175</v>
      </c>
      <c r="G1236" s="28">
        <v>25</v>
      </c>
      <c r="H1236" s="353"/>
      <c r="J1236" s="130"/>
      <c r="K1236" s="130"/>
      <c r="L1236" s="130"/>
    </row>
    <row r="1237" spans="1:10" ht="15.75">
      <c r="A1237" s="26" t="s">
        <v>176</v>
      </c>
      <c r="B1237" s="367">
        <v>908</v>
      </c>
      <c r="C1237" s="207" t="s">
        <v>275</v>
      </c>
      <c r="D1237" s="207" t="s">
        <v>275</v>
      </c>
      <c r="E1237" s="207" t="s">
        <v>167</v>
      </c>
      <c r="F1237" s="207" t="s">
        <v>186</v>
      </c>
      <c r="G1237" s="27">
        <f>G1238</f>
        <v>46.5</v>
      </c>
      <c r="J1237" s="130"/>
    </row>
    <row r="1238" spans="1:10" ht="15.75">
      <c r="A1238" s="26" t="s">
        <v>610</v>
      </c>
      <c r="B1238" s="367">
        <v>908</v>
      </c>
      <c r="C1238" s="207" t="s">
        <v>275</v>
      </c>
      <c r="D1238" s="207" t="s">
        <v>275</v>
      </c>
      <c r="E1238" s="207" t="s">
        <v>167</v>
      </c>
      <c r="F1238" s="207" t="s">
        <v>179</v>
      </c>
      <c r="G1238" s="27">
        <f>65.3-18.8</f>
        <v>46.5</v>
      </c>
      <c r="H1238" s="352"/>
      <c r="J1238" s="130"/>
    </row>
    <row r="1239" spans="1:10" ht="15.75">
      <c r="A1239" s="26" t="s">
        <v>182</v>
      </c>
      <c r="B1239" s="367">
        <v>908</v>
      </c>
      <c r="C1239" s="207" t="s">
        <v>275</v>
      </c>
      <c r="D1239" s="207" t="s">
        <v>275</v>
      </c>
      <c r="E1239" s="207" t="s">
        <v>183</v>
      </c>
      <c r="F1239" s="207"/>
      <c r="G1239" s="27">
        <f>G1243+G1240+G1248</f>
        <v>20930.100000000002</v>
      </c>
      <c r="J1239" s="130"/>
    </row>
    <row r="1240" spans="1:10" ht="31.5">
      <c r="A1240" s="26" t="s">
        <v>612</v>
      </c>
      <c r="B1240" s="367">
        <v>908</v>
      </c>
      <c r="C1240" s="207" t="s">
        <v>275</v>
      </c>
      <c r="D1240" s="207" t="s">
        <v>275</v>
      </c>
      <c r="E1240" s="207" t="s">
        <v>613</v>
      </c>
      <c r="F1240" s="207"/>
      <c r="G1240" s="28">
        <f>G1241</f>
        <v>5882.2</v>
      </c>
      <c r="J1240" s="130"/>
    </row>
    <row r="1241" spans="1:10" ht="15.75">
      <c r="A1241" s="26" t="s">
        <v>176</v>
      </c>
      <c r="B1241" s="367">
        <v>908</v>
      </c>
      <c r="C1241" s="207" t="s">
        <v>275</v>
      </c>
      <c r="D1241" s="207" t="s">
        <v>275</v>
      </c>
      <c r="E1241" s="207" t="s">
        <v>613</v>
      </c>
      <c r="F1241" s="207" t="s">
        <v>186</v>
      </c>
      <c r="G1241" s="28">
        <f>G1242</f>
        <v>5882.2</v>
      </c>
      <c r="J1241" s="130"/>
    </row>
    <row r="1242" spans="1:10" ht="47.25" customHeight="1">
      <c r="A1242" s="26" t="s">
        <v>225</v>
      </c>
      <c r="B1242" s="367">
        <v>908</v>
      </c>
      <c r="C1242" s="207" t="s">
        <v>275</v>
      </c>
      <c r="D1242" s="207" t="s">
        <v>275</v>
      </c>
      <c r="E1242" s="207" t="s">
        <v>613</v>
      </c>
      <c r="F1242" s="207" t="s">
        <v>201</v>
      </c>
      <c r="G1242" s="28">
        <f>982.2+4900</f>
        <v>5882.2</v>
      </c>
      <c r="H1242" s="352" t="s">
        <v>1201</v>
      </c>
      <c r="I1242" s="339"/>
      <c r="J1242" s="130"/>
    </row>
    <row r="1243" spans="1:10" ht="31.5">
      <c r="A1243" s="26" t="s">
        <v>381</v>
      </c>
      <c r="B1243" s="367">
        <v>908</v>
      </c>
      <c r="C1243" s="207" t="s">
        <v>275</v>
      </c>
      <c r="D1243" s="207" t="s">
        <v>275</v>
      </c>
      <c r="E1243" s="207" t="s">
        <v>382</v>
      </c>
      <c r="F1243" s="207"/>
      <c r="G1243" s="27">
        <f>G1244+G1246</f>
        <v>9047.900000000001</v>
      </c>
      <c r="J1243" s="130"/>
    </row>
    <row r="1244" spans="1:10" ht="69.75" customHeight="1">
      <c r="A1244" s="26" t="s">
        <v>168</v>
      </c>
      <c r="B1244" s="367">
        <v>908</v>
      </c>
      <c r="C1244" s="207" t="s">
        <v>275</v>
      </c>
      <c r="D1244" s="207" t="s">
        <v>275</v>
      </c>
      <c r="E1244" s="207" t="s">
        <v>382</v>
      </c>
      <c r="F1244" s="207" t="s">
        <v>169</v>
      </c>
      <c r="G1244" s="27">
        <f>G1245</f>
        <v>7255.700000000001</v>
      </c>
      <c r="J1244" s="130"/>
    </row>
    <row r="1245" spans="1:10" ht="20.25" customHeight="1">
      <c r="A1245" s="26" t="s">
        <v>383</v>
      </c>
      <c r="B1245" s="367">
        <v>908</v>
      </c>
      <c r="C1245" s="207" t="s">
        <v>275</v>
      </c>
      <c r="D1245" s="207" t="s">
        <v>275</v>
      </c>
      <c r="E1245" s="207" t="s">
        <v>382</v>
      </c>
      <c r="F1245" s="207" t="s">
        <v>250</v>
      </c>
      <c r="G1245" s="298">
        <f>5813.3-183.6+222.6+129.1-183.4+183.4+1274.3</f>
        <v>7255.700000000001</v>
      </c>
      <c r="H1245" s="352" t="s">
        <v>1120</v>
      </c>
      <c r="I1245" s="339"/>
      <c r="J1245" s="130"/>
    </row>
    <row r="1246" spans="1:10" ht="31.5">
      <c r="A1246" s="26" t="s">
        <v>172</v>
      </c>
      <c r="B1246" s="367">
        <v>908</v>
      </c>
      <c r="C1246" s="207" t="s">
        <v>275</v>
      </c>
      <c r="D1246" s="207" t="s">
        <v>275</v>
      </c>
      <c r="E1246" s="207" t="s">
        <v>382</v>
      </c>
      <c r="F1246" s="207" t="s">
        <v>173</v>
      </c>
      <c r="G1246" s="27">
        <f>G1247</f>
        <v>1792.2</v>
      </c>
      <c r="J1246" s="130"/>
    </row>
    <row r="1247" spans="1:10" ht="31.5">
      <c r="A1247" s="26" t="s">
        <v>174</v>
      </c>
      <c r="B1247" s="367">
        <v>908</v>
      </c>
      <c r="C1247" s="207" t="s">
        <v>275</v>
      </c>
      <c r="D1247" s="207" t="s">
        <v>275</v>
      </c>
      <c r="E1247" s="207" t="s">
        <v>382</v>
      </c>
      <c r="F1247" s="207" t="s">
        <v>175</v>
      </c>
      <c r="G1247" s="28">
        <f>3670-1877.8</f>
        <v>1792.2</v>
      </c>
      <c r="H1247" s="352"/>
      <c r="J1247" s="130"/>
    </row>
    <row r="1248" spans="1:10" ht="31.5">
      <c r="A1248" s="26" t="s">
        <v>1061</v>
      </c>
      <c r="B1248" s="367">
        <v>908</v>
      </c>
      <c r="C1248" s="207" t="s">
        <v>275</v>
      </c>
      <c r="D1248" s="207" t="s">
        <v>275</v>
      </c>
      <c r="E1248" s="207" t="s">
        <v>1062</v>
      </c>
      <c r="F1248" s="207"/>
      <c r="G1248" s="28">
        <f>G1249</f>
        <v>6000</v>
      </c>
      <c r="H1248" s="361"/>
      <c r="J1248" s="130"/>
    </row>
    <row r="1249" spans="1:10" ht="15.75">
      <c r="A1249" s="26" t="s">
        <v>176</v>
      </c>
      <c r="B1249" s="367">
        <v>908</v>
      </c>
      <c r="C1249" s="207" t="s">
        <v>275</v>
      </c>
      <c r="D1249" s="207" t="s">
        <v>275</v>
      </c>
      <c r="E1249" s="207" t="s">
        <v>1062</v>
      </c>
      <c r="F1249" s="207" t="s">
        <v>186</v>
      </c>
      <c r="G1249" s="28">
        <f>G1250</f>
        <v>6000</v>
      </c>
      <c r="H1249" s="361"/>
      <c r="J1249" s="130"/>
    </row>
    <row r="1250" spans="1:10" ht="47.25">
      <c r="A1250" s="26" t="s">
        <v>225</v>
      </c>
      <c r="B1250" s="367">
        <v>908</v>
      </c>
      <c r="C1250" s="207" t="s">
        <v>275</v>
      </c>
      <c r="D1250" s="207" t="s">
        <v>275</v>
      </c>
      <c r="E1250" s="207" t="s">
        <v>1062</v>
      </c>
      <c r="F1250" s="207" t="s">
        <v>201</v>
      </c>
      <c r="G1250" s="28">
        <v>6000</v>
      </c>
      <c r="H1250" s="361"/>
      <c r="I1250" s="339"/>
      <c r="J1250" s="130"/>
    </row>
    <row r="1251" spans="1:10" ht="15.75">
      <c r="A1251" s="24" t="s">
        <v>284</v>
      </c>
      <c r="B1251" s="382">
        <v>908</v>
      </c>
      <c r="C1251" s="383" t="s">
        <v>285</v>
      </c>
      <c r="D1251" s="383"/>
      <c r="E1251" s="383"/>
      <c r="F1251" s="383"/>
      <c r="G1251" s="22">
        <f aca="true" t="shared" si="3" ref="G1251:G1256">G1252</f>
        <v>87.1</v>
      </c>
      <c r="J1251" s="130"/>
    </row>
    <row r="1252" spans="1:10" ht="15.75">
      <c r="A1252" s="24" t="s">
        <v>299</v>
      </c>
      <c r="B1252" s="382">
        <v>908</v>
      </c>
      <c r="C1252" s="383" t="s">
        <v>285</v>
      </c>
      <c r="D1252" s="383" t="s">
        <v>161</v>
      </c>
      <c r="E1252" s="383"/>
      <c r="F1252" s="383"/>
      <c r="G1252" s="22">
        <f t="shared" si="3"/>
        <v>87.1</v>
      </c>
      <c r="J1252" s="130"/>
    </row>
    <row r="1253" spans="1:10" ht="15.75">
      <c r="A1253" s="26" t="s">
        <v>162</v>
      </c>
      <c r="B1253" s="367">
        <v>908</v>
      </c>
      <c r="C1253" s="207" t="s">
        <v>285</v>
      </c>
      <c r="D1253" s="207" t="s">
        <v>161</v>
      </c>
      <c r="E1253" s="207" t="s">
        <v>163</v>
      </c>
      <c r="F1253" s="207"/>
      <c r="G1253" s="22">
        <f>G1254+G1258</f>
        <v>87.1</v>
      </c>
      <c r="J1253" s="130"/>
    </row>
    <row r="1254" spans="1:10" ht="15.75" hidden="1">
      <c r="A1254" s="26" t="s">
        <v>182</v>
      </c>
      <c r="B1254" s="367">
        <v>908</v>
      </c>
      <c r="C1254" s="207" t="s">
        <v>285</v>
      </c>
      <c r="D1254" s="207" t="s">
        <v>161</v>
      </c>
      <c r="E1254" s="207" t="s">
        <v>183</v>
      </c>
      <c r="F1254" s="207"/>
      <c r="G1254" s="27">
        <f t="shared" si="3"/>
        <v>0</v>
      </c>
      <c r="J1254" s="130"/>
    </row>
    <row r="1255" spans="1:10" ht="15.75" hidden="1">
      <c r="A1255" s="26" t="s">
        <v>614</v>
      </c>
      <c r="B1255" s="367">
        <v>908</v>
      </c>
      <c r="C1255" s="207" t="s">
        <v>285</v>
      </c>
      <c r="D1255" s="207" t="s">
        <v>161</v>
      </c>
      <c r="E1255" s="207" t="s">
        <v>615</v>
      </c>
      <c r="F1255" s="207"/>
      <c r="G1255" s="27">
        <f t="shared" si="3"/>
        <v>0</v>
      </c>
      <c r="J1255" s="130"/>
    </row>
    <row r="1256" spans="1:10" ht="15.75" hidden="1">
      <c r="A1256" s="26" t="s">
        <v>176</v>
      </c>
      <c r="B1256" s="367">
        <v>908</v>
      </c>
      <c r="C1256" s="207" t="s">
        <v>285</v>
      </c>
      <c r="D1256" s="207" t="s">
        <v>161</v>
      </c>
      <c r="E1256" s="207" t="s">
        <v>615</v>
      </c>
      <c r="F1256" s="207" t="s">
        <v>186</v>
      </c>
      <c r="G1256" s="27">
        <f t="shared" si="3"/>
        <v>0</v>
      </c>
      <c r="J1256" s="130"/>
    </row>
    <row r="1257" spans="1:10" ht="54.75" customHeight="1" hidden="1">
      <c r="A1257" s="26" t="s">
        <v>225</v>
      </c>
      <c r="B1257" s="367">
        <v>908</v>
      </c>
      <c r="C1257" s="207" t="s">
        <v>285</v>
      </c>
      <c r="D1257" s="207" t="s">
        <v>161</v>
      </c>
      <c r="E1257" s="207" t="s">
        <v>615</v>
      </c>
      <c r="F1257" s="207" t="s">
        <v>201</v>
      </c>
      <c r="G1257" s="27">
        <v>0</v>
      </c>
      <c r="J1257" s="130"/>
    </row>
    <row r="1258" spans="1:10" ht="15.75">
      <c r="A1258" s="26" t="s">
        <v>626</v>
      </c>
      <c r="B1258" s="367">
        <v>908</v>
      </c>
      <c r="C1258" s="207" t="s">
        <v>285</v>
      </c>
      <c r="D1258" s="207" t="s">
        <v>161</v>
      </c>
      <c r="E1258" s="207" t="s">
        <v>627</v>
      </c>
      <c r="F1258" s="207"/>
      <c r="G1258" s="27">
        <f>G1259</f>
        <v>87.1</v>
      </c>
      <c r="J1258" s="130"/>
    </row>
    <row r="1259" spans="1:10" ht="15.75">
      <c r="A1259" s="26" t="s">
        <v>614</v>
      </c>
      <c r="B1259" s="367">
        <v>908</v>
      </c>
      <c r="C1259" s="207" t="s">
        <v>285</v>
      </c>
      <c r="D1259" s="207" t="s">
        <v>161</v>
      </c>
      <c r="E1259" s="207" t="s">
        <v>983</v>
      </c>
      <c r="F1259" s="207"/>
      <c r="G1259" s="27">
        <f>G1260</f>
        <v>87.1</v>
      </c>
      <c r="J1259" s="130"/>
    </row>
    <row r="1260" spans="1:10" ht="31.5">
      <c r="A1260" s="26" t="s">
        <v>172</v>
      </c>
      <c r="B1260" s="367">
        <v>908</v>
      </c>
      <c r="C1260" s="207" t="s">
        <v>285</v>
      </c>
      <c r="D1260" s="207" t="s">
        <v>161</v>
      </c>
      <c r="E1260" s="207" t="s">
        <v>983</v>
      </c>
      <c r="F1260" s="207" t="s">
        <v>173</v>
      </c>
      <c r="G1260" s="27">
        <f>G1261</f>
        <v>87.1</v>
      </c>
      <c r="J1260" s="130"/>
    </row>
    <row r="1261" spans="1:10" ht="31.5">
      <c r="A1261" s="26" t="s">
        <v>174</v>
      </c>
      <c r="B1261" s="367">
        <v>908</v>
      </c>
      <c r="C1261" s="207" t="s">
        <v>285</v>
      </c>
      <c r="D1261" s="207" t="s">
        <v>161</v>
      </c>
      <c r="E1261" s="207" t="s">
        <v>983</v>
      </c>
      <c r="F1261" s="207" t="s">
        <v>175</v>
      </c>
      <c r="G1261" s="27">
        <v>87.1</v>
      </c>
      <c r="J1261" s="130"/>
    </row>
    <row r="1262" spans="1:10" ht="19.5" customHeight="1">
      <c r="A1262" s="20" t="s">
        <v>616</v>
      </c>
      <c r="B1262" s="382">
        <v>910</v>
      </c>
      <c r="C1262" s="390"/>
      <c r="D1262" s="390"/>
      <c r="E1262" s="390"/>
      <c r="F1262" s="390"/>
      <c r="G1262" s="22">
        <f>G1263</f>
        <v>7523.700000000001</v>
      </c>
      <c r="H1262" s="353"/>
      <c r="J1262" s="130"/>
    </row>
    <row r="1263" spans="1:10" ht="15.75">
      <c r="A1263" s="24" t="s">
        <v>158</v>
      </c>
      <c r="B1263" s="382">
        <v>910</v>
      </c>
      <c r="C1263" s="383" t="s">
        <v>159</v>
      </c>
      <c r="D1263" s="383"/>
      <c r="E1263" s="383"/>
      <c r="F1263" s="383"/>
      <c r="G1263" s="22">
        <f>G1264+G1272+G1282+G1290</f>
        <v>7523.700000000001</v>
      </c>
      <c r="J1263" s="130"/>
    </row>
    <row r="1264" spans="1:10" ht="31.5">
      <c r="A1264" s="24" t="s">
        <v>617</v>
      </c>
      <c r="B1264" s="382">
        <v>910</v>
      </c>
      <c r="C1264" s="383" t="s">
        <v>159</v>
      </c>
      <c r="D1264" s="383" t="s">
        <v>254</v>
      </c>
      <c r="E1264" s="383"/>
      <c r="F1264" s="383"/>
      <c r="G1264" s="22">
        <f>G1265</f>
        <v>4330.8</v>
      </c>
      <c r="J1264" s="130"/>
    </row>
    <row r="1265" spans="1:10" ht="15.75">
      <c r="A1265" s="26" t="s">
        <v>162</v>
      </c>
      <c r="B1265" s="367">
        <v>910</v>
      </c>
      <c r="C1265" s="207" t="s">
        <v>159</v>
      </c>
      <c r="D1265" s="207" t="s">
        <v>254</v>
      </c>
      <c r="E1265" s="207" t="s">
        <v>163</v>
      </c>
      <c r="F1265" s="207"/>
      <c r="G1265" s="27">
        <f>G1266</f>
        <v>4330.8</v>
      </c>
      <c r="J1265" s="130"/>
    </row>
    <row r="1266" spans="1:10" ht="31.5">
      <c r="A1266" s="26" t="s">
        <v>164</v>
      </c>
      <c r="B1266" s="367">
        <v>910</v>
      </c>
      <c r="C1266" s="207" t="s">
        <v>159</v>
      </c>
      <c r="D1266" s="207" t="s">
        <v>254</v>
      </c>
      <c r="E1266" s="207" t="s">
        <v>165</v>
      </c>
      <c r="F1266" s="207"/>
      <c r="G1266" s="27">
        <f>G1267</f>
        <v>4330.8</v>
      </c>
      <c r="J1266" s="130"/>
    </row>
    <row r="1267" spans="1:10" ht="31.5">
      <c r="A1267" s="26" t="s">
        <v>618</v>
      </c>
      <c r="B1267" s="367">
        <v>910</v>
      </c>
      <c r="C1267" s="207" t="s">
        <v>159</v>
      </c>
      <c r="D1267" s="207" t="s">
        <v>254</v>
      </c>
      <c r="E1267" s="207" t="s">
        <v>619</v>
      </c>
      <c r="F1267" s="207"/>
      <c r="G1267" s="27">
        <f>G1268+G1270</f>
        <v>4330.8</v>
      </c>
      <c r="J1267" s="130"/>
    </row>
    <row r="1268" spans="1:10" ht="63">
      <c r="A1268" s="26" t="s">
        <v>168</v>
      </c>
      <c r="B1268" s="367">
        <v>910</v>
      </c>
      <c r="C1268" s="207" t="s">
        <v>159</v>
      </c>
      <c r="D1268" s="207" t="s">
        <v>254</v>
      </c>
      <c r="E1268" s="207" t="s">
        <v>619</v>
      </c>
      <c r="F1268" s="207" t="s">
        <v>169</v>
      </c>
      <c r="G1268" s="27">
        <f>G1269</f>
        <v>4309.8</v>
      </c>
      <c r="J1268" s="130"/>
    </row>
    <row r="1269" spans="1:10" ht="31.5">
      <c r="A1269" s="26" t="s">
        <v>170</v>
      </c>
      <c r="B1269" s="367">
        <v>910</v>
      </c>
      <c r="C1269" s="207" t="s">
        <v>159</v>
      </c>
      <c r="D1269" s="207" t="s">
        <v>254</v>
      </c>
      <c r="E1269" s="207" t="s">
        <v>619</v>
      </c>
      <c r="F1269" s="207" t="s">
        <v>171</v>
      </c>
      <c r="G1269" s="28">
        <f>4581.8-522.1+250.1</f>
        <v>4309.8</v>
      </c>
      <c r="H1269" s="352"/>
      <c r="J1269" s="130"/>
    </row>
    <row r="1270" spans="1:10" ht="34.5" customHeight="1">
      <c r="A1270" s="26" t="s">
        <v>239</v>
      </c>
      <c r="B1270" s="367">
        <v>910</v>
      </c>
      <c r="C1270" s="207" t="s">
        <v>159</v>
      </c>
      <c r="D1270" s="207" t="s">
        <v>254</v>
      </c>
      <c r="E1270" s="207" t="s">
        <v>619</v>
      </c>
      <c r="F1270" s="207" t="s">
        <v>173</v>
      </c>
      <c r="G1270" s="27">
        <f>G1271</f>
        <v>21</v>
      </c>
      <c r="J1270" s="130"/>
    </row>
    <row r="1271" spans="1:10" ht="30" customHeight="1">
      <c r="A1271" s="26" t="s">
        <v>174</v>
      </c>
      <c r="B1271" s="367">
        <v>910</v>
      </c>
      <c r="C1271" s="207" t="s">
        <v>159</v>
      </c>
      <c r="D1271" s="207" t="s">
        <v>254</v>
      </c>
      <c r="E1271" s="207" t="s">
        <v>619</v>
      </c>
      <c r="F1271" s="207" t="s">
        <v>175</v>
      </c>
      <c r="G1271" s="27">
        <v>21</v>
      </c>
      <c r="J1271" s="130"/>
    </row>
    <row r="1272" spans="1:10" ht="47.25" customHeight="1">
      <c r="A1272" s="24" t="s">
        <v>620</v>
      </c>
      <c r="B1272" s="382">
        <v>910</v>
      </c>
      <c r="C1272" s="383" t="s">
        <v>159</v>
      </c>
      <c r="D1272" s="383" t="s">
        <v>256</v>
      </c>
      <c r="E1272" s="383"/>
      <c r="F1272" s="383"/>
      <c r="G1272" s="22">
        <f>G1273</f>
        <v>1116</v>
      </c>
      <c r="J1272" s="130"/>
    </row>
    <row r="1273" spans="1:10" ht="15.75">
      <c r="A1273" s="26" t="s">
        <v>162</v>
      </c>
      <c r="B1273" s="367">
        <v>910</v>
      </c>
      <c r="C1273" s="207" t="s">
        <v>159</v>
      </c>
      <c r="D1273" s="207" t="s">
        <v>256</v>
      </c>
      <c r="E1273" s="207" t="s">
        <v>163</v>
      </c>
      <c r="F1273" s="383"/>
      <c r="G1273" s="27">
        <f>G1274</f>
        <v>1116</v>
      </c>
      <c r="J1273" s="130"/>
    </row>
    <row r="1274" spans="1:10" ht="31.5">
      <c r="A1274" s="26" t="s">
        <v>164</v>
      </c>
      <c r="B1274" s="367">
        <v>910</v>
      </c>
      <c r="C1274" s="207" t="s">
        <v>159</v>
      </c>
      <c r="D1274" s="207" t="s">
        <v>256</v>
      </c>
      <c r="E1274" s="207" t="s">
        <v>165</v>
      </c>
      <c r="F1274" s="383"/>
      <c r="G1274" s="27">
        <f>G1275</f>
        <v>1116</v>
      </c>
      <c r="J1274" s="130"/>
    </row>
    <row r="1275" spans="1:10" ht="31.5">
      <c r="A1275" s="26" t="s">
        <v>621</v>
      </c>
      <c r="B1275" s="367">
        <v>910</v>
      </c>
      <c r="C1275" s="207" t="s">
        <v>159</v>
      </c>
      <c r="D1275" s="207" t="s">
        <v>256</v>
      </c>
      <c r="E1275" s="207" t="s">
        <v>622</v>
      </c>
      <c r="F1275" s="207"/>
      <c r="G1275" s="27">
        <f>G1276+G1278+G1280</f>
        <v>1116</v>
      </c>
      <c r="J1275" s="130"/>
    </row>
    <row r="1276" spans="1:10" ht="63">
      <c r="A1276" s="26" t="s">
        <v>168</v>
      </c>
      <c r="B1276" s="367">
        <v>910</v>
      </c>
      <c r="C1276" s="207" t="s">
        <v>159</v>
      </c>
      <c r="D1276" s="207" t="s">
        <v>256</v>
      </c>
      <c r="E1276" s="207" t="s">
        <v>622</v>
      </c>
      <c r="F1276" s="207" t="s">
        <v>169</v>
      </c>
      <c r="G1276" s="27">
        <f>G1277</f>
        <v>1023</v>
      </c>
      <c r="J1276" s="130"/>
    </row>
    <row r="1277" spans="1:10" ht="31.5">
      <c r="A1277" s="26" t="s">
        <v>170</v>
      </c>
      <c r="B1277" s="367">
        <v>910</v>
      </c>
      <c r="C1277" s="207" t="s">
        <v>159</v>
      </c>
      <c r="D1277" s="207" t="s">
        <v>256</v>
      </c>
      <c r="E1277" s="207" t="s">
        <v>622</v>
      </c>
      <c r="F1277" s="207" t="s">
        <v>171</v>
      </c>
      <c r="G1277" s="27">
        <f>1152.5-141.2+11.7</f>
        <v>1023</v>
      </c>
      <c r="H1277" s="352"/>
      <c r="J1277" s="130"/>
    </row>
    <row r="1278" spans="1:10" ht="31.5">
      <c r="A1278" s="26" t="s">
        <v>239</v>
      </c>
      <c r="B1278" s="367">
        <v>910</v>
      </c>
      <c r="C1278" s="207" t="s">
        <v>159</v>
      </c>
      <c r="D1278" s="207" t="s">
        <v>256</v>
      </c>
      <c r="E1278" s="207" t="s">
        <v>622</v>
      </c>
      <c r="F1278" s="207" t="s">
        <v>173</v>
      </c>
      <c r="G1278" s="27">
        <f>G1279</f>
        <v>93</v>
      </c>
      <c r="J1278" s="130"/>
    </row>
    <row r="1279" spans="1:10" ht="31.5">
      <c r="A1279" s="26" t="s">
        <v>174</v>
      </c>
      <c r="B1279" s="367">
        <v>910</v>
      </c>
      <c r="C1279" s="207" t="s">
        <v>159</v>
      </c>
      <c r="D1279" s="207" t="s">
        <v>256</v>
      </c>
      <c r="E1279" s="207" t="s">
        <v>622</v>
      </c>
      <c r="F1279" s="207" t="s">
        <v>175</v>
      </c>
      <c r="G1279" s="27">
        <v>93</v>
      </c>
      <c r="J1279" s="130"/>
    </row>
    <row r="1280" spans="1:10" ht="15.75" customHeight="1" hidden="1">
      <c r="A1280" s="26" t="s">
        <v>176</v>
      </c>
      <c r="B1280" s="367">
        <v>910</v>
      </c>
      <c r="C1280" s="207" t="s">
        <v>159</v>
      </c>
      <c r="D1280" s="207" t="s">
        <v>256</v>
      </c>
      <c r="E1280" s="207" t="s">
        <v>622</v>
      </c>
      <c r="F1280" s="207" t="s">
        <v>186</v>
      </c>
      <c r="G1280" s="27">
        <f>G1281</f>
        <v>0</v>
      </c>
      <c r="J1280" s="130"/>
    </row>
    <row r="1281" spans="1:10" ht="15.75" customHeight="1" hidden="1">
      <c r="A1281" s="26" t="s">
        <v>610</v>
      </c>
      <c r="B1281" s="367">
        <v>910</v>
      </c>
      <c r="C1281" s="207" t="s">
        <v>159</v>
      </c>
      <c r="D1281" s="207" t="s">
        <v>256</v>
      </c>
      <c r="E1281" s="207" t="s">
        <v>622</v>
      </c>
      <c r="F1281" s="207" t="s">
        <v>179</v>
      </c>
      <c r="G1281" s="27">
        <v>0</v>
      </c>
      <c r="J1281" s="130"/>
    </row>
    <row r="1282" spans="1:10" ht="47.25">
      <c r="A1282" s="24" t="s">
        <v>160</v>
      </c>
      <c r="B1282" s="382">
        <v>910</v>
      </c>
      <c r="C1282" s="383" t="s">
        <v>159</v>
      </c>
      <c r="D1282" s="383" t="s">
        <v>161</v>
      </c>
      <c r="E1282" s="383"/>
      <c r="F1282" s="383"/>
      <c r="G1282" s="22">
        <f>G1283</f>
        <v>2051.4000000000005</v>
      </c>
      <c r="J1282" s="130"/>
    </row>
    <row r="1283" spans="1:10" s="133" customFormat="1" ht="15.75">
      <c r="A1283" s="26" t="s">
        <v>162</v>
      </c>
      <c r="B1283" s="367">
        <v>910</v>
      </c>
      <c r="C1283" s="207" t="s">
        <v>159</v>
      </c>
      <c r="D1283" s="207" t="s">
        <v>161</v>
      </c>
      <c r="E1283" s="207" t="s">
        <v>163</v>
      </c>
      <c r="F1283" s="207"/>
      <c r="G1283" s="27">
        <f>G1284</f>
        <v>2051.4000000000005</v>
      </c>
      <c r="H1283" s="351"/>
      <c r="I1283" s="344"/>
      <c r="J1283" s="151"/>
    </row>
    <row r="1284" spans="1:10" s="133" customFormat="1" ht="31.5">
      <c r="A1284" s="26" t="s">
        <v>164</v>
      </c>
      <c r="B1284" s="367">
        <v>910</v>
      </c>
      <c r="C1284" s="207" t="s">
        <v>159</v>
      </c>
      <c r="D1284" s="207" t="s">
        <v>161</v>
      </c>
      <c r="E1284" s="207" t="s">
        <v>165</v>
      </c>
      <c r="F1284" s="207"/>
      <c r="G1284" s="27">
        <f>G1285</f>
        <v>2051.4000000000005</v>
      </c>
      <c r="H1284" s="351"/>
      <c r="I1284" s="344"/>
      <c r="J1284" s="151"/>
    </row>
    <row r="1285" spans="1:10" s="133" customFormat="1" ht="31.5">
      <c r="A1285" s="26" t="s">
        <v>166</v>
      </c>
      <c r="B1285" s="367">
        <v>910</v>
      </c>
      <c r="C1285" s="207" t="s">
        <v>159</v>
      </c>
      <c r="D1285" s="207" t="s">
        <v>161</v>
      </c>
      <c r="E1285" s="207" t="s">
        <v>167</v>
      </c>
      <c r="F1285" s="207"/>
      <c r="G1285" s="27">
        <f>G1286+G1288</f>
        <v>2051.4000000000005</v>
      </c>
      <c r="H1285" s="351"/>
      <c r="I1285" s="344"/>
      <c r="J1285" s="151"/>
    </row>
    <row r="1286" spans="1:10" ht="63">
      <c r="A1286" s="26" t="s">
        <v>168</v>
      </c>
      <c r="B1286" s="367">
        <v>910</v>
      </c>
      <c r="C1286" s="207" t="s">
        <v>159</v>
      </c>
      <c r="D1286" s="207" t="s">
        <v>161</v>
      </c>
      <c r="E1286" s="207" t="s">
        <v>167</v>
      </c>
      <c r="F1286" s="207" t="s">
        <v>169</v>
      </c>
      <c r="G1286" s="27">
        <f>G1287</f>
        <v>2033.1000000000004</v>
      </c>
      <c r="J1286" s="130"/>
    </row>
    <row r="1287" spans="1:10" ht="31.5">
      <c r="A1287" s="26" t="s">
        <v>170</v>
      </c>
      <c r="B1287" s="367">
        <v>910</v>
      </c>
      <c r="C1287" s="207" t="s">
        <v>159</v>
      </c>
      <c r="D1287" s="207" t="s">
        <v>161</v>
      </c>
      <c r="E1287" s="207" t="s">
        <v>167</v>
      </c>
      <c r="F1287" s="207" t="s">
        <v>171</v>
      </c>
      <c r="G1287" s="27">
        <f>1628.4+17.2+1387.5-900-100</f>
        <v>2033.1000000000004</v>
      </c>
      <c r="H1287" s="352" t="s">
        <v>1196</v>
      </c>
      <c r="J1287" s="130"/>
    </row>
    <row r="1288" spans="1:10" ht="31.5">
      <c r="A1288" s="26" t="s">
        <v>239</v>
      </c>
      <c r="B1288" s="367">
        <v>910</v>
      </c>
      <c r="C1288" s="207" t="s">
        <v>159</v>
      </c>
      <c r="D1288" s="207" t="s">
        <v>161</v>
      </c>
      <c r="E1288" s="207" t="s">
        <v>167</v>
      </c>
      <c r="F1288" s="207" t="s">
        <v>173</v>
      </c>
      <c r="G1288" s="27">
        <f>G1289</f>
        <v>18.3</v>
      </c>
      <c r="J1288" s="130"/>
    </row>
    <row r="1289" spans="1:10" ht="31.5">
      <c r="A1289" s="26" t="s">
        <v>174</v>
      </c>
      <c r="B1289" s="367">
        <v>910</v>
      </c>
      <c r="C1289" s="207" t="s">
        <v>159</v>
      </c>
      <c r="D1289" s="207" t="s">
        <v>161</v>
      </c>
      <c r="E1289" s="207" t="s">
        <v>167</v>
      </c>
      <c r="F1289" s="207" t="s">
        <v>175</v>
      </c>
      <c r="G1289" s="27">
        <v>18.3</v>
      </c>
      <c r="J1289" s="130"/>
    </row>
    <row r="1290" spans="1:10" ht="15.75">
      <c r="A1290" s="24" t="s">
        <v>180</v>
      </c>
      <c r="B1290" s="382">
        <v>910</v>
      </c>
      <c r="C1290" s="383" t="s">
        <v>159</v>
      </c>
      <c r="D1290" s="383" t="s">
        <v>181</v>
      </c>
      <c r="E1290" s="383"/>
      <c r="F1290" s="207"/>
      <c r="G1290" s="22">
        <f>G1291+G1295</f>
        <v>25.5</v>
      </c>
      <c r="J1290" s="130"/>
    </row>
    <row r="1291" spans="1:10" ht="31.5">
      <c r="A1291" s="26" t="s">
        <v>202</v>
      </c>
      <c r="B1291" s="367">
        <v>910</v>
      </c>
      <c r="C1291" s="207" t="s">
        <v>159</v>
      </c>
      <c r="D1291" s="207" t="s">
        <v>181</v>
      </c>
      <c r="E1291" s="207" t="s">
        <v>203</v>
      </c>
      <c r="F1291" s="207"/>
      <c r="G1291" s="27">
        <f>G1292</f>
        <v>0.5</v>
      </c>
      <c r="J1291" s="130"/>
    </row>
    <row r="1292" spans="1:10" ht="47.25">
      <c r="A1292" s="33" t="s">
        <v>760</v>
      </c>
      <c r="B1292" s="367">
        <v>910</v>
      </c>
      <c r="C1292" s="207" t="s">
        <v>159</v>
      </c>
      <c r="D1292" s="207" t="s">
        <v>181</v>
      </c>
      <c r="E1292" s="377" t="s">
        <v>761</v>
      </c>
      <c r="F1292" s="207"/>
      <c r="G1292" s="27">
        <f>G1293</f>
        <v>0.5</v>
      </c>
      <c r="J1292" s="130"/>
    </row>
    <row r="1293" spans="1:10" ht="31.5">
      <c r="A1293" s="26" t="s">
        <v>172</v>
      </c>
      <c r="B1293" s="367">
        <v>910</v>
      </c>
      <c r="C1293" s="207" t="s">
        <v>159</v>
      </c>
      <c r="D1293" s="207" t="s">
        <v>181</v>
      </c>
      <c r="E1293" s="377" t="s">
        <v>761</v>
      </c>
      <c r="F1293" s="207" t="s">
        <v>173</v>
      </c>
      <c r="G1293" s="27">
        <f>G1294</f>
        <v>0.5</v>
      </c>
      <c r="J1293" s="130"/>
    </row>
    <row r="1294" spans="1:10" ht="31.5">
      <c r="A1294" s="26" t="s">
        <v>174</v>
      </c>
      <c r="B1294" s="367">
        <v>910</v>
      </c>
      <c r="C1294" s="207" t="s">
        <v>159</v>
      </c>
      <c r="D1294" s="207" t="s">
        <v>181</v>
      </c>
      <c r="E1294" s="377" t="s">
        <v>761</v>
      </c>
      <c r="F1294" s="207" t="s">
        <v>175</v>
      </c>
      <c r="G1294" s="27">
        <v>0.5</v>
      </c>
      <c r="J1294" s="130"/>
    </row>
    <row r="1295" spans="1:10" ht="15.75">
      <c r="A1295" s="33" t="s">
        <v>162</v>
      </c>
      <c r="B1295" s="367">
        <v>910</v>
      </c>
      <c r="C1295" s="207" t="s">
        <v>159</v>
      </c>
      <c r="D1295" s="207" t="s">
        <v>181</v>
      </c>
      <c r="E1295" s="207" t="s">
        <v>163</v>
      </c>
      <c r="F1295" s="207"/>
      <c r="G1295" s="27">
        <f>G1296</f>
        <v>25</v>
      </c>
      <c r="J1295" s="130"/>
    </row>
    <row r="1296" spans="1:10" ht="15.75">
      <c r="A1296" s="33" t="s">
        <v>226</v>
      </c>
      <c r="B1296" s="367">
        <v>910</v>
      </c>
      <c r="C1296" s="207" t="s">
        <v>159</v>
      </c>
      <c r="D1296" s="207" t="s">
        <v>181</v>
      </c>
      <c r="E1296" s="207" t="s">
        <v>227</v>
      </c>
      <c r="F1296" s="207"/>
      <c r="G1296" s="27">
        <f>G1297</f>
        <v>25</v>
      </c>
      <c r="J1296" s="130"/>
    </row>
    <row r="1297" spans="1:10" ht="47.25">
      <c r="A1297" s="33" t="s">
        <v>760</v>
      </c>
      <c r="B1297" s="367">
        <v>910</v>
      </c>
      <c r="C1297" s="207" t="s">
        <v>159</v>
      </c>
      <c r="D1297" s="207" t="s">
        <v>181</v>
      </c>
      <c r="E1297" s="207" t="s">
        <v>762</v>
      </c>
      <c r="F1297" s="207"/>
      <c r="G1297" s="27">
        <f>G1298</f>
        <v>25</v>
      </c>
      <c r="J1297" s="130"/>
    </row>
    <row r="1298" spans="1:10" ht="31.5">
      <c r="A1298" s="26" t="s">
        <v>172</v>
      </c>
      <c r="B1298" s="367">
        <v>910</v>
      </c>
      <c r="C1298" s="207" t="s">
        <v>159</v>
      </c>
      <c r="D1298" s="207" t="s">
        <v>181</v>
      </c>
      <c r="E1298" s="207" t="s">
        <v>762</v>
      </c>
      <c r="F1298" s="207" t="s">
        <v>173</v>
      </c>
      <c r="G1298" s="27">
        <f>G1299</f>
        <v>25</v>
      </c>
      <c r="J1298" s="130"/>
    </row>
    <row r="1299" spans="1:10" ht="31.5">
      <c r="A1299" s="26" t="s">
        <v>174</v>
      </c>
      <c r="B1299" s="367">
        <v>910</v>
      </c>
      <c r="C1299" s="207" t="s">
        <v>159</v>
      </c>
      <c r="D1299" s="207" t="s">
        <v>181</v>
      </c>
      <c r="E1299" s="207" t="s">
        <v>762</v>
      </c>
      <c r="F1299" s="207" t="s">
        <v>175</v>
      </c>
      <c r="G1299" s="27">
        <f>40-40+25</f>
        <v>25</v>
      </c>
      <c r="H1299" s="352"/>
      <c r="J1299" s="130"/>
    </row>
    <row r="1300" spans="1:10" ht="15.75">
      <c r="A1300" s="24" t="s">
        <v>623</v>
      </c>
      <c r="B1300" s="382">
        <v>913</v>
      </c>
      <c r="C1300" s="383"/>
      <c r="D1300" s="383"/>
      <c r="E1300" s="383"/>
      <c r="F1300" s="383"/>
      <c r="G1300" s="22">
        <f>G1307+G1301</f>
        <v>7450.900000000001</v>
      </c>
      <c r="J1300" s="130"/>
    </row>
    <row r="1301" spans="1:10" ht="15.75" hidden="1">
      <c r="A1301" s="391" t="s">
        <v>158</v>
      </c>
      <c r="B1301" s="382">
        <v>913</v>
      </c>
      <c r="C1301" s="383" t="s">
        <v>159</v>
      </c>
      <c r="D1301" s="392"/>
      <c r="E1301" s="392"/>
      <c r="F1301" s="392"/>
      <c r="G1301" s="393">
        <f>G1302</f>
        <v>0</v>
      </c>
      <c r="J1301" s="130"/>
    </row>
    <row r="1302" spans="1:10" ht="15.75" hidden="1">
      <c r="A1302" s="36" t="s">
        <v>180</v>
      </c>
      <c r="B1302" s="382">
        <v>913</v>
      </c>
      <c r="C1302" s="383" t="s">
        <v>159</v>
      </c>
      <c r="D1302" s="383" t="s">
        <v>181</v>
      </c>
      <c r="E1302" s="207"/>
      <c r="F1302" s="207"/>
      <c r="G1302" s="22">
        <f>G1303</f>
        <v>0</v>
      </c>
      <c r="J1302" s="130"/>
    </row>
    <row r="1303" spans="1:10" ht="47.25" hidden="1">
      <c r="A1303" s="31" t="s">
        <v>782</v>
      </c>
      <c r="B1303" s="367">
        <v>913</v>
      </c>
      <c r="C1303" s="207" t="s">
        <v>159</v>
      </c>
      <c r="D1303" s="207" t="s">
        <v>181</v>
      </c>
      <c r="E1303" s="207" t="s">
        <v>780</v>
      </c>
      <c r="F1303" s="386"/>
      <c r="G1303" s="27">
        <f>G1304</f>
        <v>0</v>
      </c>
      <c r="J1303" s="130"/>
    </row>
    <row r="1304" spans="1:10" ht="31.5" hidden="1">
      <c r="A1304" s="120" t="s">
        <v>914</v>
      </c>
      <c r="B1304" s="367">
        <v>913</v>
      </c>
      <c r="C1304" s="207" t="s">
        <v>159</v>
      </c>
      <c r="D1304" s="207" t="s">
        <v>181</v>
      </c>
      <c r="E1304" s="207" t="s">
        <v>915</v>
      </c>
      <c r="F1304" s="386"/>
      <c r="G1304" s="27">
        <f>G1305</f>
        <v>0</v>
      </c>
      <c r="J1304" s="130"/>
    </row>
    <row r="1305" spans="1:10" ht="31.5" hidden="1">
      <c r="A1305" s="26" t="s">
        <v>172</v>
      </c>
      <c r="B1305" s="367">
        <v>913</v>
      </c>
      <c r="C1305" s="207" t="s">
        <v>159</v>
      </c>
      <c r="D1305" s="207" t="s">
        <v>181</v>
      </c>
      <c r="E1305" s="207" t="s">
        <v>915</v>
      </c>
      <c r="F1305" s="386" t="s">
        <v>173</v>
      </c>
      <c r="G1305" s="27">
        <f>G1306</f>
        <v>0</v>
      </c>
      <c r="J1305" s="130"/>
    </row>
    <row r="1306" spans="1:10" ht="31.5" hidden="1">
      <c r="A1306" s="26" t="s">
        <v>174</v>
      </c>
      <c r="B1306" s="367">
        <v>913</v>
      </c>
      <c r="C1306" s="207" t="s">
        <v>159</v>
      </c>
      <c r="D1306" s="207" t="s">
        <v>181</v>
      </c>
      <c r="E1306" s="207" t="s">
        <v>915</v>
      </c>
      <c r="F1306" s="386" t="s">
        <v>175</v>
      </c>
      <c r="G1306" s="27">
        <v>0</v>
      </c>
      <c r="J1306" s="130"/>
    </row>
    <row r="1307" spans="1:10" ht="15.75">
      <c r="A1307" s="24" t="s">
        <v>624</v>
      </c>
      <c r="B1307" s="382">
        <v>913</v>
      </c>
      <c r="C1307" s="383" t="s">
        <v>279</v>
      </c>
      <c r="D1307" s="207"/>
      <c r="E1307" s="207"/>
      <c r="F1307" s="207"/>
      <c r="G1307" s="27">
        <f>G1308</f>
        <v>7450.900000000001</v>
      </c>
      <c r="J1307" s="130"/>
    </row>
    <row r="1308" spans="1:10" ht="15.75">
      <c r="A1308" s="24" t="s">
        <v>625</v>
      </c>
      <c r="B1308" s="382">
        <v>913</v>
      </c>
      <c r="C1308" s="383" t="s">
        <v>279</v>
      </c>
      <c r="D1308" s="383" t="s">
        <v>254</v>
      </c>
      <c r="E1308" s="383"/>
      <c r="F1308" s="383"/>
      <c r="G1308" s="27">
        <f>G1313+G1309</f>
        <v>7450.900000000001</v>
      </c>
      <c r="J1308" s="130"/>
    </row>
    <row r="1309" spans="1:10" ht="47.25">
      <c r="A1309" s="31" t="s">
        <v>782</v>
      </c>
      <c r="B1309" s="367">
        <v>913</v>
      </c>
      <c r="C1309" s="207" t="s">
        <v>279</v>
      </c>
      <c r="D1309" s="207" t="s">
        <v>254</v>
      </c>
      <c r="E1309" s="207" t="s">
        <v>780</v>
      </c>
      <c r="F1309" s="386"/>
      <c r="G1309" s="27">
        <f>G1310</f>
        <v>205</v>
      </c>
      <c r="J1309" s="130"/>
    </row>
    <row r="1310" spans="1:10" ht="31.5">
      <c r="A1310" s="120" t="s">
        <v>914</v>
      </c>
      <c r="B1310" s="367">
        <v>913</v>
      </c>
      <c r="C1310" s="207" t="s">
        <v>279</v>
      </c>
      <c r="D1310" s="207" t="s">
        <v>254</v>
      </c>
      <c r="E1310" s="207" t="s">
        <v>915</v>
      </c>
      <c r="F1310" s="386"/>
      <c r="G1310" s="27">
        <f>G1311</f>
        <v>205</v>
      </c>
      <c r="J1310" s="130"/>
    </row>
    <row r="1311" spans="1:10" ht="31.5">
      <c r="A1311" s="26" t="s">
        <v>172</v>
      </c>
      <c r="B1311" s="367">
        <v>913</v>
      </c>
      <c r="C1311" s="207" t="s">
        <v>279</v>
      </c>
      <c r="D1311" s="207" t="s">
        <v>254</v>
      </c>
      <c r="E1311" s="207" t="s">
        <v>915</v>
      </c>
      <c r="F1311" s="386" t="s">
        <v>173</v>
      </c>
      <c r="G1311" s="27">
        <f>G1312</f>
        <v>205</v>
      </c>
      <c r="J1311" s="130"/>
    </row>
    <row r="1312" spans="1:10" ht="31.5">
      <c r="A1312" s="26" t="s">
        <v>174</v>
      </c>
      <c r="B1312" s="367">
        <v>913</v>
      </c>
      <c r="C1312" s="207" t="s">
        <v>279</v>
      </c>
      <c r="D1312" s="207" t="s">
        <v>254</v>
      </c>
      <c r="E1312" s="207" t="s">
        <v>915</v>
      </c>
      <c r="F1312" s="386" t="s">
        <v>175</v>
      </c>
      <c r="G1312" s="27">
        <f>60+145</f>
        <v>205</v>
      </c>
      <c r="H1312" s="352"/>
      <c r="J1312" s="130"/>
    </row>
    <row r="1313" spans="1:10" ht="15.75">
      <c r="A1313" s="26" t="s">
        <v>162</v>
      </c>
      <c r="B1313" s="367">
        <v>913</v>
      </c>
      <c r="C1313" s="207" t="s">
        <v>279</v>
      </c>
      <c r="D1313" s="207" t="s">
        <v>254</v>
      </c>
      <c r="E1313" s="207" t="s">
        <v>163</v>
      </c>
      <c r="F1313" s="207"/>
      <c r="G1313" s="27">
        <f>G1314</f>
        <v>7245.900000000001</v>
      </c>
      <c r="J1313" s="130"/>
    </row>
    <row r="1314" spans="1:10" ht="15.75">
      <c r="A1314" s="26" t="s">
        <v>626</v>
      </c>
      <c r="B1314" s="367">
        <v>913</v>
      </c>
      <c r="C1314" s="207" t="s">
        <v>279</v>
      </c>
      <c r="D1314" s="207" t="s">
        <v>254</v>
      </c>
      <c r="E1314" s="207" t="s">
        <v>627</v>
      </c>
      <c r="F1314" s="207"/>
      <c r="G1314" s="27">
        <f>G1315</f>
        <v>7245.900000000001</v>
      </c>
      <c r="J1314" s="130"/>
    </row>
    <row r="1315" spans="1:10" ht="21.75" customHeight="1">
      <c r="A1315" s="26" t="s">
        <v>351</v>
      </c>
      <c r="B1315" s="367">
        <v>913</v>
      </c>
      <c r="C1315" s="207" t="s">
        <v>279</v>
      </c>
      <c r="D1315" s="207" t="s">
        <v>254</v>
      </c>
      <c r="E1315" s="207" t="s">
        <v>628</v>
      </c>
      <c r="F1315" s="207"/>
      <c r="G1315" s="27">
        <f>G1316+G1318+G1320</f>
        <v>7245.900000000001</v>
      </c>
      <c r="J1315" s="130"/>
    </row>
    <row r="1316" spans="1:10" ht="75.75" customHeight="1">
      <c r="A1316" s="26" t="s">
        <v>168</v>
      </c>
      <c r="B1316" s="367">
        <v>913</v>
      </c>
      <c r="C1316" s="207" t="s">
        <v>279</v>
      </c>
      <c r="D1316" s="207" t="s">
        <v>254</v>
      </c>
      <c r="E1316" s="207" t="s">
        <v>628</v>
      </c>
      <c r="F1316" s="207" t="s">
        <v>169</v>
      </c>
      <c r="G1316" s="27">
        <f>G1317</f>
        <v>5740</v>
      </c>
      <c r="J1316" s="130"/>
    </row>
    <row r="1317" spans="1:10" ht="18.75" customHeight="1">
      <c r="A1317" s="26" t="s">
        <v>249</v>
      </c>
      <c r="B1317" s="367">
        <v>913</v>
      </c>
      <c r="C1317" s="207" t="s">
        <v>279</v>
      </c>
      <c r="D1317" s="207" t="s">
        <v>254</v>
      </c>
      <c r="E1317" s="207" t="s">
        <v>628</v>
      </c>
      <c r="F1317" s="207" t="s">
        <v>250</v>
      </c>
      <c r="G1317" s="28">
        <f>5853-357.5-36+280.5</f>
        <v>5740</v>
      </c>
      <c r="H1317" s="352"/>
      <c r="J1317" s="130"/>
    </row>
    <row r="1318" spans="1:10" ht="31.5">
      <c r="A1318" s="26" t="s">
        <v>172</v>
      </c>
      <c r="B1318" s="367">
        <v>913</v>
      </c>
      <c r="C1318" s="207" t="s">
        <v>279</v>
      </c>
      <c r="D1318" s="207" t="s">
        <v>254</v>
      </c>
      <c r="E1318" s="207" t="s">
        <v>628</v>
      </c>
      <c r="F1318" s="207" t="s">
        <v>173</v>
      </c>
      <c r="G1318" s="27">
        <f>G1319</f>
        <v>1455.8</v>
      </c>
      <c r="J1318" s="130"/>
    </row>
    <row r="1319" spans="1:10" ht="31.5">
      <c r="A1319" s="26" t="s">
        <v>174</v>
      </c>
      <c r="B1319" s="367">
        <v>913</v>
      </c>
      <c r="C1319" s="207" t="s">
        <v>279</v>
      </c>
      <c r="D1319" s="207" t="s">
        <v>254</v>
      </c>
      <c r="E1319" s="207" t="s">
        <v>628</v>
      </c>
      <c r="F1319" s="207" t="s">
        <v>175</v>
      </c>
      <c r="G1319" s="28">
        <f>1699.1-94.2+36-40.1-145</f>
        <v>1455.8</v>
      </c>
      <c r="H1319" s="352"/>
      <c r="I1319" s="339"/>
      <c r="J1319" s="130"/>
    </row>
    <row r="1320" spans="1:10" ht="15.75">
      <c r="A1320" s="26" t="s">
        <v>176</v>
      </c>
      <c r="B1320" s="367">
        <v>913</v>
      </c>
      <c r="C1320" s="207" t="s">
        <v>279</v>
      </c>
      <c r="D1320" s="207" t="s">
        <v>254</v>
      </c>
      <c r="E1320" s="207" t="s">
        <v>628</v>
      </c>
      <c r="F1320" s="207" t="s">
        <v>186</v>
      </c>
      <c r="G1320" s="27">
        <f>G1321</f>
        <v>50.1</v>
      </c>
      <c r="J1320" s="130"/>
    </row>
    <row r="1321" spans="1:10" ht="15.75">
      <c r="A1321" s="26" t="s">
        <v>610</v>
      </c>
      <c r="B1321" s="367">
        <v>913</v>
      </c>
      <c r="C1321" s="207" t="s">
        <v>279</v>
      </c>
      <c r="D1321" s="207" t="s">
        <v>254</v>
      </c>
      <c r="E1321" s="207" t="s">
        <v>628</v>
      </c>
      <c r="F1321" s="207" t="s">
        <v>179</v>
      </c>
      <c r="G1321" s="27">
        <f>10+40.1</f>
        <v>50.1</v>
      </c>
      <c r="H1321" s="352"/>
      <c r="J1321" s="130"/>
    </row>
    <row r="1322" spans="1:10" ht="18.75">
      <c r="A1322" s="50" t="s">
        <v>629</v>
      </c>
      <c r="B1322" s="394"/>
      <c r="C1322" s="383"/>
      <c r="D1322" s="383"/>
      <c r="E1322" s="383"/>
      <c r="F1322" s="383"/>
      <c r="G1322" s="51">
        <f>G1300+G1262+G1020+G900+G670+G617+G245+G27+G10</f>
        <v>810388.35</v>
      </c>
      <c r="H1322" s="353"/>
      <c r="I1322" s="340"/>
      <c r="J1322" s="137"/>
    </row>
    <row r="1323" spans="1:7" ht="15">
      <c r="A1323" s="316"/>
      <c r="B1323" s="316"/>
      <c r="C1323" s="316"/>
      <c r="D1323" s="316"/>
      <c r="E1323" s="316"/>
      <c r="F1323" s="316"/>
      <c r="G1323" s="316"/>
    </row>
    <row r="1324" spans="1:8" ht="18.75" hidden="1">
      <c r="A1324" s="316"/>
      <c r="B1324" s="316"/>
      <c r="C1324" s="317"/>
      <c r="D1324" s="317"/>
      <c r="E1324" s="317"/>
      <c r="F1324" s="318" t="s">
        <v>630</v>
      </c>
      <c r="G1324" s="319">
        <f>G1322-G1325</f>
        <v>526672.2899999999</v>
      </c>
      <c r="H1324" s="365"/>
    </row>
    <row r="1325" spans="1:9" ht="18.75" hidden="1">
      <c r="A1325" s="316"/>
      <c r="B1325" s="316"/>
      <c r="C1325" s="317"/>
      <c r="D1325" s="317"/>
      <c r="E1325" s="317"/>
      <c r="F1325" s="318" t="s">
        <v>631</v>
      </c>
      <c r="G1325" s="319">
        <f>G106+G198+G211+G239+G288+G350+G479+G730+G801+G850+G868+G987+G1059+G1141+G1206+G1296+2114.5+4483.8+284.7</f>
        <v>283716.06000000006</v>
      </c>
      <c r="I1325" s="349"/>
    </row>
    <row r="1326" spans="1:7" ht="15.75" hidden="1">
      <c r="A1326" s="316"/>
      <c r="B1326" s="316"/>
      <c r="C1326" s="317" t="s">
        <v>1163</v>
      </c>
      <c r="D1326" s="321"/>
      <c r="E1326" s="321"/>
      <c r="F1326" s="321"/>
      <c r="G1326" s="322">
        <f>'прил.№1 доходы'!I90-'прил.№1 доходы'!I92-'прил.№1 доходы'!I108</f>
        <v>283716.10728999996</v>
      </c>
    </row>
    <row r="1327" spans="1:7" ht="15.75" hidden="1">
      <c r="A1327" s="316"/>
      <c r="B1327" s="316"/>
      <c r="C1327" s="317"/>
      <c r="D1327" s="321"/>
      <c r="E1327" s="321"/>
      <c r="F1327" s="321"/>
      <c r="G1327" s="323"/>
    </row>
    <row r="1328" spans="1:7" ht="15.75" hidden="1">
      <c r="A1328" s="316"/>
      <c r="B1328" s="316"/>
      <c r="C1328" s="317"/>
      <c r="D1328" s="321"/>
      <c r="E1328" s="321"/>
      <c r="F1328" s="321"/>
      <c r="G1328" s="317"/>
    </row>
    <row r="1329" spans="1:7" ht="15.75" hidden="1">
      <c r="A1329" s="316"/>
      <c r="B1329" s="316"/>
      <c r="C1329" s="324">
        <v>1</v>
      </c>
      <c r="D1329" s="321"/>
      <c r="E1329" s="321"/>
      <c r="F1329" s="321"/>
      <c r="G1329" s="325">
        <f>G11+G28+G246+G618+G671+G901+G1021+G1263+G1301</f>
        <v>152339.7</v>
      </c>
    </row>
    <row r="1330" spans="1:9" ht="15.75" hidden="1">
      <c r="A1330" s="316"/>
      <c r="B1330" s="316"/>
      <c r="C1330" s="324" t="s">
        <v>630</v>
      </c>
      <c r="D1330" s="321"/>
      <c r="E1330" s="321"/>
      <c r="F1330" s="321"/>
      <c r="G1330" s="325">
        <f>G11+G29+G58+G71+G91+G133+G246+G619+G630+G639+G671+G901+G1022+G1263+G1301-G1296+G166+G101-4483.8</f>
        <v>144599.10000000003</v>
      </c>
      <c r="I1330" s="350"/>
    </row>
    <row r="1331" spans="1:9" ht="15.75" hidden="1">
      <c r="A1331" s="316"/>
      <c r="B1331" s="316"/>
      <c r="C1331" s="324" t="s">
        <v>631</v>
      </c>
      <c r="D1331" s="321"/>
      <c r="E1331" s="321"/>
      <c r="F1331" s="321"/>
      <c r="G1331" s="325">
        <f>G106+G635+G1295+4483.8</f>
        <v>7740.6</v>
      </c>
      <c r="I1331" s="350"/>
    </row>
    <row r="1332" spans="1:9" ht="15.75" hidden="1">
      <c r="A1332" s="316"/>
      <c r="B1332" s="316"/>
      <c r="C1332" s="324">
        <v>2</v>
      </c>
      <c r="D1332" s="321"/>
      <c r="E1332" s="321"/>
      <c r="F1332" s="321"/>
      <c r="G1332" s="325">
        <f>G159</f>
        <v>0</v>
      </c>
      <c r="I1332" s="350"/>
    </row>
    <row r="1333" spans="1:9" ht="15.75" hidden="1">
      <c r="A1333" s="316"/>
      <c r="B1333" s="316"/>
      <c r="C1333" s="324">
        <v>3</v>
      </c>
      <c r="D1333" s="321"/>
      <c r="E1333" s="321"/>
      <c r="F1333" s="321"/>
      <c r="G1333" s="325">
        <f>G1035+G170</f>
        <v>8416.8</v>
      </c>
      <c r="I1333" s="350"/>
    </row>
    <row r="1334" spans="1:9" ht="15.75" hidden="1">
      <c r="A1334" s="316"/>
      <c r="B1334" s="316"/>
      <c r="C1334" s="324">
        <v>4</v>
      </c>
      <c r="D1334" s="321"/>
      <c r="E1334" s="321"/>
      <c r="F1334" s="321"/>
      <c r="G1334" s="325">
        <f>G188+G1042+G292</f>
        <v>9104.9</v>
      </c>
      <c r="I1334" s="350"/>
    </row>
    <row r="1335" spans="1:9" ht="15.75" hidden="1">
      <c r="A1335" s="316"/>
      <c r="B1335" s="316"/>
      <c r="C1335" s="324" t="s">
        <v>630</v>
      </c>
      <c r="D1335" s="321"/>
      <c r="E1335" s="321"/>
      <c r="F1335" s="321"/>
      <c r="G1335" s="325">
        <f>G1334-G1336</f>
        <v>8244.9</v>
      </c>
      <c r="I1335" s="350"/>
    </row>
    <row r="1336" spans="1:7" ht="15.75" hidden="1">
      <c r="A1336" s="316"/>
      <c r="B1336" s="316"/>
      <c r="C1336" s="324" t="s">
        <v>631</v>
      </c>
      <c r="D1336" s="321"/>
      <c r="E1336" s="321"/>
      <c r="F1336" s="321"/>
      <c r="G1336" s="325">
        <f>G198+G211</f>
        <v>860</v>
      </c>
    </row>
    <row r="1337" spans="1:9" ht="15.75" hidden="1">
      <c r="A1337" s="316"/>
      <c r="B1337" s="316"/>
      <c r="C1337" s="324">
        <v>5</v>
      </c>
      <c r="D1337" s="321"/>
      <c r="E1337" s="321"/>
      <c r="F1337" s="321"/>
      <c r="G1337" s="325">
        <f>G1056+G649</f>
        <v>171990.05000000005</v>
      </c>
      <c r="I1337" s="350"/>
    </row>
    <row r="1338" spans="1:9" ht="15.75" hidden="1">
      <c r="A1338" s="316"/>
      <c r="B1338" s="316"/>
      <c r="C1338" s="324" t="s">
        <v>630</v>
      </c>
      <c r="D1338" s="321"/>
      <c r="E1338" s="321"/>
      <c r="F1338" s="321"/>
      <c r="G1338" s="325">
        <f>G650+G1066+G1081+G1125+G1133+G1164+G1198+G1220+G1230-G1178-2114.5</f>
        <v>85779.09000000001</v>
      </c>
      <c r="I1338" s="350"/>
    </row>
    <row r="1339" spans="1:9" ht="15.75" hidden="1">
      <c r="A1339" s="316"/>
      <c r="B1339" s="316"/>
      <c r="C1339" s="324" t="s">
        <v>631</v>
      </c>
      <c r="D1339" s="321"/>
      <c r="E1339" s="321"/>
      <c r="F1339" s="321"/>
      <c r="G1339" s="325">
        <f>G1142+G1178+G1149+G1152+G1207+2114.5</f>
        <v>72078.63</v>
      </c>
      <c r="H1339" s="353"/>
      <c r="I1339" s="350"/>
    </row>
    <row r="1340" spans="1:7" ht="15.75" hidden="1">
      <c r="A1340" s="316"/>
      <c r="B1340" s="316"/>
      <c r="C1340" s="324">
        <v>7</v>
      </c>
      <c r="D1340" s="321"/>
      <c r="E1340" s="321"/>
      <c r="F1340" s="321"/>
      <c r="G1340" s="325">
        <f>G907+G692+G302</f>
        <v>318698.1</v>
      </c>
    </row>
    <row r="1341" spans="1:9" ht="15.75" hidden="1">
      <c r="A1341" s="316"/>
      <c r="B1341" s="316"/>
      <c r="C1341" s="324" t="s">
        <v>630</v>
      </c>
      <c r="D1341" s="321"/>
      <c r="E1341" s="321"/>
      <c r="F1341" s="321"/>
      <c r="G1341" s="325">
        <f>G1340-G1342</f>
        <v>137269.1</v>
      </c>
      <c r="I1341" s="350"/>
    </row>
    <row r="1342" spans="1:7" ht="15.75" hidden="1">
      <c r="A1342" s="316"/>
      <c r="B1342" s="316"/>
      <c r="C1342" s="324" t="s">
        <v>631</v>
      </c>
      <c r="D1342" s="321"/>
      <c r="E1342" s="321"/>
      <c r="F1342" s="321"/>
      <c r="G1342" s="325">
        <f>G350+G730+G801+G850+G933+G869</f>
        <v>181428.99999999997</v>
      </c>
    </row>
    <row r="1343" spans="1:7" ht="15.75" hidden="1">
      <c r="A1343" s="316"/>
      <c r="B1343" s="316"/>
      <c r="C1343" s="324">
        <v>8</v>
      </c>
      <c r="D1343" s="321"/>
      <c r="E1343" s="321"/>
      <c r="F1343" s="321"/>
      <c r="G1343" s="325">
        <f>G379</f>
        <v>68235.29999999999</v>
      </c>
    </row>
    <row r="1344" spans="1:9" ht="15.75" hidden="1">
      <c r="A1344" s="316"/>
      <c r="B1344" s="316"/>
      <c r="C1344" s="324" t="s">
        <v>630</v>
      </c>
      <c r="D1344" s="321"/>
      <c r="E1344" s="321"/>
      <c r="F1344" s="321"/>
      <c r="G1344" s="325">
        <f>G1343-G1345</f>
        <v>65314.59999999999</v>
      </c>
      <c r="I1344" s="350"/>
    </row>
    <row r="1345" spans="1:7" ht="15.75" hidden="1">
      <c r="A1345" s="316"/>
      <c r="B1345" s="316"/>
      <c r="C1345" s="324" t="s">
        <v>631</v>
      </c>
      <c r="D1345" s="321"/>
      <c r="E1345" s="321"/>
      <c r="F1345" s="321"/>
      <c r="G1345" s="325">
        <f>G479</f>
        <v>2920.7</v>
      </c>
    </row>
    <row r="1346" spans="1:7" ht="15.75" hidden="1">
      <c r="A1346" s="316"/>
      <c r="B1346" s="316"/>
      <c r="C1346" s="324">
        <v>10</v>
      </c>
      <c r="D1346" s="321"/>
      <c r="E1346" s="321"/>
      <c r="F1346" s="321"/>
      <c r="G1346" s="325">
        <f>G1251+G664+G543+G220</f>
        <v>14804.4</v>
      </c>
    </row>
    <row r="1347" spans="1:9" ht="15.75" hidden="1">
      <c r="A1347" s="316"/>
      <c r="B1347" s="316"/>
      <c r="C1347" s="324" t="s">
        <v>630</v>
      </c>
      <c r="D1347" s="321"/>
      <c r="E1347" s="321"/>
      <c r="F1347" s="321"/>
      <c r="G1347" s="325">
        <f>G1252+G545+G227+G221-284.7</f>
        <v>11255.8</v>
      </c>
      <c r="I1347" s="350"/>
    </row>
    <row r="1348" spans="1:7" ht="15.75" hidden="1">
      <c r="A1348" s="316"/>
      <c r="B1348" s="316"/>
      <c r="C1348" s="324" t="s">
        <v>631</v>
      </c>
      <c r="D1348" s="321"/>
      <c r="E1348" s="321"/>
      <c r="F1348" s="321"/>
      <c r="G1348" s="325">
        <f>G602+G239+G666+284.7</f>
        <v>3548.6</v>
      </c>
    </row>
    <row r="1349" spans="1:9" ht="15.75" hidden="1">
      <c r="A1349" s="316"/>
      <c r="B1349" s="316"/>
      <c r="C1349" s="324">
        <v>11</v>
      </c>
      <c r="D1349" s="321"/>
      <c r="E1349" s="321"/>
      <c r="F1349" s="321"/>
      <c r="G1349" s="325">
        <f>G944</f>
        <v>59348.2</v>
      </c>
      <c r="I1349" s="350"/>
    </row>
    <row r="1350" spans="1:9" ht="15.75" hidden="1">
      <c r="A1350" s="316"/>
      <c r="B1350" s="316"/>
      <c r="C1350" s="324" t="s">
        <v>630</v>
      </c>
      <c r="D1350" s="321"/>
      <c r="E1350" s="321"/>
      <c r="F1350" s="321"/>
      <c r="G1350" s="325">
        <f>G1349-G1351</f>
        <v>58478</v>
      </c>
      <c r="I1350" s="350"/>
    </row>
    <row r="1351" spans="1:9" ht="15.75" hidden="1">
      <c r="A1351" s="316"/>
      <c r="B1351" s="316"/>
      <c r="C1351" s="324" t="s">
        <v>631</v>
      </c>
      <c r="D1351" s="321"/>
      <c r="E1351" s="321"/>
      <c r="F1351" s="321"/>
      <c r="G1351" s="325">
        <f>G986</f>
        <v>870.2</v>
      </c>
      <c r="I1351" s="350"/>
    </row>
    <row r="1352" spans="1:9" ht="15.75" hidden="1">
      <c r="A1352" s="316"/>
      <c r="B1352" s="316"/>
      <c r="C1352" s="324">
        <v>12</v>
      </c>
      <c r="D1352" s="321"/>
      <c r="E1352" s="321"/>
      <c r="F1352" s="321"/>
      <c r="G1352" s="325">
        <f>G1307</f>
        <v>7450.900000000001</v>
      </c>
      <c r="I1352" s="350"/>
    </row>
    <row r="1353" spans="1:8" ht="15.75" hidden="1">
      <c r="A1353" s="316"/>
      <c r="B1353" s="316"/>
      <c r="C1353" s="325"/>
      <c r="D1353" s="321"/>
      <c r="E1353" s="321"/>
      <c r="F1353" s="321"/>
      <c r="G1353" s="326">
        <f>G1329+G1332+G1333+G1334+G1337+G1340+G1343+G1346+G1349+G1352</f>
        <v>810388.3500000001</v>
      </c>
      <c r="H1353" s="366"/>
    </row>
    <row r="1354" spans="1:8" ht="15.75" hidden="1">
      <c r="A1354" s="316"/>
      <c r="B1354" s="316"/>
      <c r="C1354" s="324" t="s">
        <v>630</v>
      </c>
      <c r="D1354" s="321"/>
      <c r="E1354" s="321"/>
      <c r="F1354" s="321"/>
      <c r="G1354" s="326">
        <f>G1330+G1332+G1333+G1335+G1338+G1341+G1344+G1347+G1350+G1352</f>
        <v>526808.2899999999</v>
      </c>
      <c r="H1354" s="366"/>
    </row>
    <row r="1355" spans="1:8" ht="15.75" hidden="1">
      <c r="A1355" s="316"/>
      <c r="B1355" s="316"/>
      <c r="C1355" s="324" t="s">
        <v>631</v>
      </c>
      <c r="D1355" s="321"/>
      <c r="E1355" s="321"/>
      <c r="F1355" s="321"/>
      <c r="G1355" s="326">
        <f>G1353-G1354</f>
        <v>283580.0600000002</v>
      </c>
      <c r="H1355" s="366"/>
    </row>
    <row r="1356" ht="15" hidden="1">
      <c r="G1356" s="320"/>
    </row>
    <row r="1357" spans="4:7" ht="15" hidden="1">
      <c r="D1357" s="260" t="s">
        <v>632</v>
      </c>
      <c r="E1357" s="260">
        <v>50</v>
      </c>
      <c r="G1357" s="320">
        <f>G1050</f>
        <v>4766.599999999999</v>
      </c>
    </row>
    <row r="1358" spans="5:9" ht="15" hidden="1">
      <c r="E1358" s="260">
        <v>51</v>
      </c>
      <c r="G1358" s="320">
        <f>G248+G294+G367+G523+G545</f>
        <v>3907</v>
      </c>
      <c r="I1358" s="350"/>
    </row>
    <row r="1359" spans="5:7" ht="15" hidden="1">
      <c r="E1359" s="260">
        <v>52</v>
      </c>
      <c r="G1359" s="320">
        <f>G694+G753+G833+G861</f>
        <v>98139</v>
      </c>
    </row>
    <row r="1360" spans="5:7" ht="15" hidden="1">
      <c r="E1360" s="260">
        <v>53</v>
      </c>
      <c r="G1360" s="320">
        <f>G206</f>
        <v>100</v>
      </c>
    </row>
    <row r="1361" spans="5:7" ht="15" hidden="1">
      <c r="E1361" s="260">
        <v>54</v>
      </c>
      <c r="G1361" s="320">
        <f>G1291+G71</f>
        <v>741</v>
      </c>
    </row>
    <row r="1362" spans="5:7" ht="15" hidden="1">
      <c r="E1362" s="260">
        <v>55</v>
      </c>
      <c r="G1362" s="320">
        <f>G228</f>
        <v>10</v>
      </c>
    </row>
    <row r="1363" spans="5:7" ht="15" hidden="1">
      <c r="E1363" s="260">
        <v>56</v>
      </c>
      <c r="G1363" s="320"/>
    </row>
    <row r="1364" spans="5:9" ht="15" hidden="1">
      <c r="E1364" s="260">
        <v>57</v>
      </c>
      <c r="G1364" s="320">
        <f>G946+G998</f>
        <v>48209.49999999999</v>
      </c>
      <c r="I1364" s="350"/>
    </row>
    <row r="1365" spans="5:7" ht="15" hidden="1">
      <c r="E1365" s="260">
        <v>58</v>
      </c>
      <c r="G1365" s="320">
        <f>G304+G382+G423</f>
        <v>61097.3</v>
      </c>
    </row>
    <row r="1366" spans="5:7" ht="15" hidden="1">
      <c r="E1366" s="260">
        <v>59</v>
      </c>
      <c r="G1366" s="320">
        <f>G721+G792</f>
        <v>847</v>
      </c>
    </row>
    <row r="1367" spans="5:7" ht="15" hidden="1">
      <c r="E1367" s="260">
        <v>60</v>
      </c>
      <c r="G1367" s="320">
        <f>G1164</f>
        <v>2124.3699999999994</v>
      </c>
    </row>
    <row r="1368" spans="5:7" ht="15" hidden="1">
      <c r="E1368" s="260">
        <v>61</v>
      </c>
      <c r="G1368" s="320">
        <f>G190</f>
        <v>100</v>
      </c>
    </row>
    <row r="1369" spans="5:7" ht="15" hidden="1">
      <c r="E1369" s="260">
        <v>62</v>
      </c>
      <c r="G1369" s="320">
        <f>G1081</f>
        <v>9226.800000000001</v>
      </c>
    </row>
    <row r="1370" spans="5:7" ht="15" hidden="1">
      <c r="E1370" s="260">
        <v>63</v>
      </c>
      <c r="G1370" s="320">
        <f>G256+G673</f>
        <v>275</v>
      </c>
    </row>
    <row r="1371" spans="5:7" ht="15" hidden="1">
      <c r="E1371" s="260">
        <v>64</v>
      </c>
      <c r="G1371" s="320">
        <f>G91+G281+G345+G474+G725+G796+G845+G982+G1309</f>
        <v>3292.6</v>
      </c>
    </row>
    <row r="1372" spans="5:7" ht="15" hidden="1">
      <c r="E1372" s="260">
        <v>65</v>
      </c>
      <c r="G1372" s="320">
        <f>G1198</f>
        <v>2614.5200000000004</v>
      </c>
    </row>
    <row r="1373" spans="5:7" ht="15" hidden="1">
      <c r="E1373" s="260">
        <v>66</v>
      </c>
      <c r="G1373" s="320">
        <f>G630</f>
        <v>4932.3</v>
      </c>
    </row>
    <row r="1374" spans="5:7" ht="15" hidden="1">
      <c r="E1374" s="260">
        <v>67</v>
      </c>
      <c r="G1374" s="320">
        <f>G101</f>
        <v>20</v>
      </c>
    </row>
    <row r="1375" spans="5:7" ht="15" hidden="1">
      <c r="E1375" s="260">
        <v>69</v>
      </c>
      <c r="G1375" s="314">
        <f>G166</f>
        <v>60</v>
      </c>
    </row>
    <row r="1376" ht="15" hidden="1">
      <c r="G1376" s="320">
        <f>SUM(G1357:G1375)</f>
        <v>240462.99</v>
      </c>
    </row>
  </sheetData>
  <mergeCells count="10">
    <mergeCell ref="E1:L1"/>
    <mergeCell ref="E2:L2"/>
    <mergeCell ref="E3:L3"/>
    <mergeCell ref="L958:M958"/>
    <mergeCell ref="I973:J973"/>
    <mergeCell ref="I800:J800"/>
    <mergeCell ref="A4:F4"/>
    <mergeCell ref="A5:G5"/>
    <mergeCell ref="I957:J957"/>
    <mergeCell ref="I757:J75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  <rowBreaks count="2" manualBreakCount="2">
    <brk id="633" max="16383" man="1"/>
    <brk id="13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30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72"/>
      <c r="B1" s="72"/>
      <c r="C1" s="72"/>
      <c r="D1" s="72"/>
      <c r="E1" s="71"/>
      <c r="F1" s="180" t="s">
        <v>149</v>
      </c>
      <c r="G1" s="72"/>
      <c r="H1" s="202"/>
    </row>
    <row r="2" spans="1:8" ht="18.75">
      <c r="A2" s="72"/>
      <c r="B2" s="72"/>
      <c r="C2" s="72"/>
      <c r="D2" s="72"/>
      <c r="E2" s="71"/>
      <c r="F2" s="180" t="s">
        <v>0</v>
      </c>
      <c r="G2" s="72"/>
      <c r="H2" s="202"/>
    </row>
    <row r="3" spans="1:8" ht="18.75">
      <c r="A3" s="72"/>
      <c r="B3" s="72"/>
      <c r="C3" s="72"/>
      <c r="D3" s="72"/>
      <c r="E3" s="71"/>
      <c r="F3" s="180" t="s">
        <v>812</v>
      </c>
      <c r="G3" s="72"/>
      <c r="H3" s="202"/>
    </row>
    <row r="4" spans="1:8" ht="15.75">
      <c r="A4" s="418"/>
      <c r="B4" s="418"/>
      <c r="C4" s="418"/>
      <c r="D4" s="418"/>
      <c r="E4" s="418"/>
      <c r="F4" s="418"/>
      <c r="G4" s="418"/>
      <c r="H4" s="202"/>
    </row>
    <row r="5" spans="1:8" ht="15.75">
      <c r="A5" s="408" t="s">
        <v>150</v>
      </c>
      <c r="B5" s="408"/>
      <c r="C5" s="408"/>
      <c r="D5" s="408"/>
      <c r="E5" s="408"/>
      <c r="F5" s="408"/>
      <c r="G5" s="408"/>
      <c r="H5" s="202"/>
    </row>
    <row r="6" spans="1:8" ht="15.75">
      <c r="A6" s="199"/>
      <c r="B6" s="199"/>
      <c r="C6" s="199"/>
      <c r="D6" s="199"/>
      <c r="E6" s="199"/>
      <c r="F6" s="199"/>
      <c r="G6" s="199"/>
      <c r="H6" s="202"/>
    </row>
    <row r="7" spans="1:8" ht="15.75">
      <c r="A7" s="14"/>
      <c r="B7" s="14"/>
      <c r="C7" s="14"/>
      <c r="D7" s="14"/>
      <c r="E7" s="14"/>
      <c r="F7" s="14"/>
      <c r="G7" s="122" t="s">
        <v>3</v>
      </c>
      <c r="H7" s="202"/>
    </row>
    <row r="8" spans="1:8" ht="47.25">
      <c r="A8" s="15" t="s">
        <v>151</v>
      </c>
      <c r="B8" s="15" t="s">
        <v>152</v>
      </c>
      <c r="C8" s="16" t="s">
        <v>153</v>
      </c>
      <c r="D8" s="16" t="s">
        <v>154</v>
      </c>
      <c r="E8" s="16" t="s">
        <v>155</v>
      </c>
      <c r="F8" s="16" t="s">
        <v>156</v>
      </c>
      <c r="G8" s="15" t="s">
        <v>6</v>
      </c>
      <c r="H8" s="202"/>
    </row>
    <row r="9" spans="1:8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2"/>
    </row>
    <row r="10" spans="1:9" ht="31.5">
      <c r="A10" s="20" t="s">
        <v>157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2"/>
      <c r="I10" s="135"/>
    </row>
    <row r="11" spans="1:8" ht="15.75">
      <c r="A11" s="24" t="s">
        <v>158</v>
      </c>
      <c r="B11" s="20">
        <v>901</v>
      </c>
      <c r="C11" s="25" t="s">
        <v>159</v>
      </c>
      <c r="D11" s="21"/>
      <c r="E11" s="21"/>
      <c r="F11" s="21"/>
      <c r="G11" s="22">
        <f>G12+G22</f>
        <v>14164.460000000001</v>
      </c>
      <c r="H11" s="202"/>
    </row>
    <row r="12" spans="1:8" ht="63">
      <c r="A12" s="24" t="s">
        <v>160</v>
      </c>
      <c r="B12" s="20">
        <v>901</v>
      </c>
      <c r="C12" s="25" t="s">
        <v>159</v>
      </c>
      <c r="D12" s="25" t="s">
        <v>161</v>
      </c>
      <c r="E12" s="25"/>
      <c r="F12" s="25"/>
      <c r="G12" s="22">
        <f>G13</f>
        <v>14114.460000000001</v>
      </c>
      <c r="H12" s="202"/>
    </row>
    <row r="13" spans="1:8" ht="15.75">
      <c r="A13" s="26" t="s">
        <v>162</v>
      </c>
      <c r="B13" s="17">
        <v>901</v>
      </c>
      <c r="C13" s="21" t="s">
        <v>159</v>
      </c>
      <c r="D13" s="21" t="s">
        <v>161</v>
      </c>
      <c r="E13" s="21" t="s">
        <v>163</v>
      </c>
      <c r="F13" s="21"/>
      <c r="G13" s="27">
        <f>G14</f>
        <v>14114.460000000001</v>
      </c>
      <c r="H13" s="202"/>
    </row>
    <row r="14" spans="1:8" ht="31.5">
      <c r="A14" s="26" t="s">
        <v>164</v>
      </c>
      <c r="B14" s="17">
        <v>901</v>
      </c>
      <c r="C14" s="21" t="s">
        <v>159</v>
      </c>
      <c r="D14" s="21" t="s">
        <v>161</v>
      </c>
      <c r="E14" s="21" t="s">
        <v>165</v>
      </c>
      <c r="F14" s="21"/>
      <c r="G14" s="27">
        <f>G15</f>
        <v>14114.460000000001</v>
      </c>
      <c r="H14" s="202"/>
    </row>
    <row r="15" spans="1:8" ht="47.25">
      <c r="A15" s="26" t="s">
        <v>166</v>
      </c>
      <c r="B15" s="17">
        <v>901</v>
      </c>
      <c r="C15" s="21" t="s">
        <v>159</v>
      </c>
      <c r="D15" s="21" t="s">
        <v>161</v>
      </c>
      <c r="E15" s="21" t="s">
        <v>167</v>
      </c>
      <c r="F15" s="21"/>
      <c r="G15" s="27">
        <f>G16+G18+G20</f>
        <v>14114.460000000001</v>
      </c>
      <c r="H15" s="202"/>
    </row>
    <row r="16" spans="1:8" ht="94.5">
      <c r="A16" s="26" t="s">
        <v>168</v>
      </c>
      <c r="B16" s="17">
        <v>901</v>
      </c>
      <c r="C16" s="21" t="s">
        <v>159</v>
      </c>
      <c r="D16" s="21" t="s">
        <v>161</v>
      </c>
      <c r="E16" s="21" t="s">
        <v>167</v>
      </c>
      <c r="F16" s="21" t="s">
        <v>169</v>
      </c>
      <c r="G16" s="27">
        <f>G17</f>
        <v>12784.1</v>
      </c>
      <c r="H16" s="202"/>
    </row>
    <row r="17" spans="1:8" ht="31.5">
      <c r="A17" s="26" t="s">
        <v>170</v>
      </c>
      <c r="B17" s="17">
        <v>901</v>
      </c>
      <c r="C17" s="21" t="s">
        <v>159</v>
      </c>
      <c r="D17" s="21" t="s">
        <v>161</v>
      </c>
      <c r="E17" s="21" t="s">
        <v>167</v>
      </c>
      <c r="F17" s="21" t="s">
        <v>171</v>
      </c>
      <c r="G17" s="28">
        <v>12784.1</v>
      </c>
      <c r="H17" s="202"/>
    </row>
    <row r="18" spans="1:8" ht="31.5">
      <c r="A18" s="26" t="s">
        <v>172</v>
      </c>
      <c r="B18" s="17">
        <v>901</v>
      </c>
      <c r="C18" s="21" t="s">
        <v>159</v>
      </c>
      <c r="D18" s="21" t="s">
        <v>161</v>
      </c>
      <c r="E18" s="21" t="s">
        <v>167</v>
      </c>
      <c r="F18" s="21" t="s">
        <v>173</v>
      </c>
      <c r="G18" s="27">
        <f>G19</f>
        <v>1302.36</v>
      </c>
      <c r="H18" s="202"/>
    </row>
    <row r="19" spans="1:8" ht="47.25">
      <c r="A19" s="26" t="s">
        <v>174</v>
      </c>
      <c r="B19" s="17">
        <v>901</v>
      </c>
      <c r="C19" s="21" t="s">
        <v>159</v>
      </c>
      <c r="D19" s="21" t="s">
        <v>161</v>
      </c>
      <c r="E19" s="21" t="s">
        <v>167</v>
      </c>
      <c r="F19" s="21" t="s">
        <v>175</v>
      </c>
      <c r="G19" s="28">
        <v>1302.36</v>
      </c>
      <c r="H19" s="202"/>
    </row>
    <row r="20" spans="1:8" ht="15.75">
      <c r="A20" s="26" t="s">
        <v>176</v>
      </c>
      <c r="B20" s="17">
        <v>901</v>
      </c>
      <c r="C20" s="21" t="s">
        <v>159</v>
      </c>
      <c r="D20" s="21" t="s">
        <v>161</v>
      </c>
      <c r="E20" s="21" t="s">
        <v>167</v>
      </c>
      <c r="F20" s="21" t="s">
        <v>177</v>
      </c>
      <c r="G20" s="27">
        <f>G21</f>
        <v>28</v>
      </c>
      <c r="H20" s="202"/>
    </row>
    <row r="21" spans="1:8" ht="15.75">
      <c r="A21" s="26" t="s">
        <v>610</v>
      </c>
      <c r="B21" s="17">
        <v>901</v>
      </c>
      <c r="C21" s="21" t="s">
        <v>159</v>
      </c>
      <c r="D21" s="21" t="s">
        <v>161</v>
      </c>
      <c r="E21" s="21" t="s">
        <v>167</v>
      </c>
      <c r="F21" s="21" t="s">
        <v>179</v>
      </c>
      <c r="G21" s="27">
        <v>28</v>
      </c>
      <c r="H21" s="202"/>
    </row>
    <row r="22" spans="1:8" ht="31.5" customHeight="1">
      <c r="A22" s="24" t="s">
        <v>180</v>
      </c>
      <c r="B22" s="20">
        <v>901</v>
      </c>
      <c r="C22" s="25" t="s">
        <v>159</v>
      </c>
      <c r="D22" s="25" t="s">
        <v>181</v>
      </c>
      <c r="E22" s="25"/>
      <c r="F22" s="25"/>
      <c r="G22" s="22">
        <f>G23</f>
        <v>50</v>
      </c>
      <c r="H22" s="202"/>
    </row>
    <row r="23" spans="1:8" ht="15.75">
      <c r="A23" s="26" t="s">
        <v>182</v>
      </c>
      <c r="B23" s="17">
        <v>901</v>
      </c>
      <c r="C23" s="21" t="s">
        <v>159</v>
      </c>
      <c r="D23" s="21" t="s">
        <v>181</v>
      </c>
      <c r="E23" s="21" t="s">
        <v>183</v>
      </c>
      <c r="F23" s="21"/>
      <c r="G23" s="27">
        <f>G24</f>
        <v>50</v>
      </c>
      <c r="H23" s="202"/>
    </row>
    <row r="24" spans="1:8" ht="15.75">
      <c r="A24" s="26" t="s">
        <v>184</v>
      </c>
      <c r="B24" s="17">
        <v>901</v>
      </c>
      <c r="C24" s="21" t="s">
        <v>159</v>
      </c>
      <c r="D24" s="21" t="s">
        <v>181</v>
      </c>
      <c r="E24" s="21" t="s">
        <v>185</v>
      </c>
      <c r="F24" s="21"/>
      <c r="G24" s="27">
        <f>G25</f>
        <v>50</v>
      </c>
      <c r="H24" s="202"/>
    </row>
    <row r="25" spans="1:8" ht="15.75">
      <c r="A25" s="26" t="s">
        <v>176</v>
      </c>
      <c r="B25" s="17">
        <v>901</v>
      </c>
      <c r="C25" s="21" t="s">
        <v>159</v>
      </c>
      <c r="D25" s="21" t="s">
        <v>181</v>
      </c>
      <c r="E25" s="21" t="s">
        <v>185</v>
      </c>
      <c r="F25" s="21" t="s">
        <v>186</v>
      </c>
      <c r="G25" s="27">
        <f>G26</f>
        <v>50</v>
      </c>
      <c r="H25" s="202"/>
    </row>
    <row r="26" spans="1:8" ht="15.75">
      <c r="A26" s="26" t="s">
        <v>187</v>
      </c>
      <c r="B26" s="17">
        <v>901</v>
      </c>
      <c r="C26" s="21" t="s">
        <v>159</v>
      </c>
      <c r="D26" s="21" t="s">
        <v>181</v>
      </c>
      <c r="E26" s="21" t="s">
        <v>185</v>
      </c>
      <c r="F26" s="21" t="s">
        <v>188</v>
      </c>
      <c r="G26" s="27">
        <v>50</v>
      </c>
      <c r="H26" s="202"/>
    </row>
    <row r="27" spans="1:8" ht="31.5">
      <c r="A27" s="20" t="s">
        <v>189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2"/>
    </row>
    <row r="28" spans="1:8" ht="15.75">
      <c r="A28" s="24" t="s">
        <v>158</v>
      </c>
      <c r="B28" s="20">
        <v>902</v>
      </c>
      <c r="C28" s="25" t="s">
        <v>159</v>
      </c>
      <c r="D28" s="21"/>
      <c r="E28" s="21"/>
      <c r="F28" s="21"/>
      <c r="G28" s="22">
        <f>G29+G48+G56</f>
        <v>66062.7</v>
      </c>
      <c r="H28" s="202"/>
    </row>
    <row r="29" spans="1:8" ht="78.75">
      <c r="A29" s="24" t="s">
        <v>190</v>
      </c>
      <c r="B29" s="20">
        <v>902</v>
      </c>
      <c r="C29" s="25" t="s">
        <v>159</v>
      </c>
      <c r="D29" s="25" t="s">
        <v>191</v>
      </c>
      <c r="E29" s="25"/>
      <c r="F29" s="25"/>
      <c r="G29" s="22">
        <f>G30</f>
        <v>51508.2</v>
      </c>
      <c r="H29" s="202"/>
    </row>
    <row r="30" spans="1:8" ht="15.75">
      <c r="A30" s="26" t="s">
        <v>162</v>
      </c>
      <c r="B30" s="17">
        <v>902</v>
      </c>
      <c r="C30" s="21" t="s">
        <v>159</v>
      </c>
      <c r="D30" s="21" t="s">
        <v>191</v>
      </c>
      <c r="E30" s="21" t="s">
        <v>163</v>
      </c>
      <c r="F30" s="21"/>
      <c r="G30" s="28">
        <f>G31+G42</f>
        <v>51508.2</v>
      </c>
      <c r="H30" s="202"/>
    </row>
    <row r="31" spans="1:8" ht="31.5">
      <c r="A31" s="26" t="s">
        <v>164</v>
      </c>
      <c r="B31" s="17">
        <v>902</v>
      </c>
      <c r="C31" s="21" t="s">
        <v>159</v>
      </c>
      <c r="D31" s="21" t="s">
        <v>191</v>
      </c>
      <c r="E31" s="21" t="s">
        <v>165</v>
      </c>
      <c r="F31" s="21"/>
      <c r="G31" s="28">
        <f>G32+G39</f>
        <v>43489.2</v>
      </c>
      <c r="H31" s="202"/>
    </row>
    <row r="32" spans="1:8" ht="47.25">
      <c r="A32" s="26" t="s">
        <v>166</v>
      </c>
      <c r="B32" s="17">
        <v>902</v>
      </c>
      <c r="C32" s="21" t="s">
        <v>159</v>
      </c>
      <c r="D32" s="21" t="s">
        <v>191</v>
      </c>
      <c r="E32" s="21" t="s">
        <v>167</v>
      </c>
      <c r="F32" s="21"/>
      <c r="G32" s="27">
        <f>G33+G35+G37</f>
        <v>39943.6</v>
      </c>
      <c r="H32" s="202"/>
    </row>
    <row r="33" spans="1:8" ht="94.5">
      <c r="A33" s="26" t="s">
        <v>168</v>
      </c>
      <c r="B33" s="17">
        <v>902</v>
      </c>
      <c r="C33" s="21" t="s">
        <v>159</v>
      </c>
      <c r="D33" s="21" t="s">
        <v>191</v>
      </c>
      <c r="E33" s="21" t="s">
        <v>167</v>
      </c>
      <c r="F33" s="21" t="s">
        <v>169</v>
      </c>
      <c r="G33" s="27">
        <f>G34</f>
        <v>34230.5</v>
      </c>
      <c r="H33" s="202"/>
    </row>
    <row r="34" spans="1:10" ht="31.5">
      <c r="A34" s="26" t="s">
        <v>170</v>
      </c>
      <c r="B34" s="17">
        <v>902</v>
      </c>
      <c r="C34" s="21" t="s">
        <v>159</v>
      </c>
      <c r="D34" s="21" t="s">
        <v>191</v>
      </c>
      <c r="E34" s="21" t="s">
        <v>167</v>
      </c>
      <c r="F34" s="21" t="s">
        <v>171</v>
      </c>
      <c r="G34" s="181">
        <f>36517.7-553.5-1733.7</f>
        <v>34230.5</v>
      </c>
      <c r="H34" s="182" t="s">
        <v>790</v>
      </c>
      <c r="J34" s="197" t="s">
        <v>834</v>
      </c>
    </row>
    <row r="35" spans="1:8" ht="31.5">
      <c r="A35" s="26" t="s">
        <v>172</v>
      </c>
      <c r="B35" s="17">
        <v>902</v>
      </c>
      <c r="C35" s="21" t="s">
        <v>159</v>
      </c>
      <c r="D35" s="21" t="s">
        <v>191</v>
      </c>
      <c r="E35" s="21" t="s">
        <v>167</v>
      </c>
      <c r="F35" s="21" t="s">
        <v>173</v>
      </c>
      <c r="G35" s="27">
        <f>G36</f>
        <v>5592.4</v>
      </c>
      <c r="H35" s="202"/>
    </row>
    <row r="36" spans="1:9" ht="47.25">
      <c r="A36" s="26" t="s">
        <v>174</v>
      </c>
      <c r="B36" s="17">
        <v>902</v>
      </c>
      <c r="C36" s="21" t="s">
        <v>159</v>
      </c>
      <c r="D36" s="21" t="s">
        <v>191</v>
      </c>
      <c r="E36" s="21" t="s">
        <v>167</v>
      </c>
      <c r="F36" s="21" t="s">
        <v>175</v>
      </c>
      <c r="G36" s="28">
        <f>3962.7+1800-140.3-30</f>
        <v>5592.4</v>
      </c>
      <c r="H36" s="127"/>
      <c r="I36" s="148"/>
    </row>
    <row r="37" spans="1:8" ht="15.75">
      <c r="A37" s="26" t="s">
        <v>176</v>
      </c>
      <c r="B37" s="17">
        <v>902</v>
      </c>
      <c r="C37" s="21" t="s">
        <v>159</v>
      </c>
      <c r="D37" s="21" t="s">
        <v>191</v>
      </c>
      <c r="E37" s="21" t="s">
        <v>167</v>
      </c>
      <c r="F37" s="21" t="s">
        <v>186</v>
      </c>
      <c r="G37" s="27">
        <f>G38</f>
        <v>120.7</v>
      </c>
      <c r="H37" s="202"/>
    </row>
    <row r="38" spans="1:9" ht="15.75">
      <c r="A38" s="26" t="s">
        <v>610</v>
      </c>
      <c r="B38" s="17">
        <v>902</v>
      </c>
      <c r="C38" s="21" t="s">
        <v>159</v>
      </c>
      <c r="D38" s="21" t="s">
        <v>191</v>
      </c>
      <c r="E38" s="21" t="s">
        <v>167</v>
      </c>
      <c r="F38" s="21" t="s">
        <v>179</v>
      </c>
      <c r="G38" s="28">
        <f>90.7+30</f>
        <v>120.7</v>
      </c>
      <c r="H38" s="127"/>
      <c r="I38" s="147"/>
    </row>
    <row r="39" spans="1:8" ht="31.5">
      <c r="A39" s="26" t="s">
        <v>192</v>
      </c>
      <c r="B39" s="17">
        <v>902</v>
      </c>
      <c r="C39" s="21" t="s">
        <v>159</v>
      </c>
      <c r="D39" s="21" t="s">
        <v>191</v>
      </c>
      <c r="E39" s="21" t="s">
        <v>193</v>
      </c>
      <c r="F39" s="21"/>
      <c r="G39" s="27">
        <f>G40</f>
        <v>3545.6</v>
      </c>
      <c r="H39" s="202"/>
    </row>
    <row r="40" spans="1:8" ht="94.5">
      <c r="A40" s="26" t="s">
        <v>168</v>
      </c>
      <c r="B40" s="17">
        <v>902</v>
      </c>
      <c r="C40" s="21" t="s">
        <v>159</v>
      </c>
      <c r="D40" s="21" t="s">
        <v>191</v>
      </c>
      <c r="E40" s="21" t="s">
        <v>193</v>
      </c>
      <c r="F40" s="21" t="s">
        <v>169</v>
      </c>
      <c r="G40" s="27">
        <f>G41</f>
        <v>3545.6</v>
      </c>
      <c r="H40" s="202"/>
    </row>
    <row r="41" spans="1:8" ht="31.5">
      <c r="A41" s="26" t="s">
        <v>170</v>
      </c>
      <c r="B41" s="17">
        <v>902</v>
      </c>
      <c r="C41" s="21" t="s">
        <v>159</v>
      </c>
      <c r="D41" s="21" t="s">
        <v>191</v>
      </c>
      <c r="E41" s="21" t="s">
        <v>193</v>
      </c>
      <c r="F41" s="21" t="s">
        <v>171</v>
      </c>
      <c r="G41" s="28">
        <v>3545.6</v>
      </c>
      <c r="H41" s="202"/>
    </row>
    <row r="42" spans="1:8" ht="15.75">
      <c r="A42" s="26" t="s">
        <v>182</v>
      </c>
      <c r="B42" s="17">
        <v>902</v>
      </c>
      <c r="C42" s="21" t="s">
        <v>159</v>
      </c>
      <c r="D42" s="21" t="s">
        <v>191</v>
      </c>
      <c r="E42" s="21" t="s">
        <v>183</v>
      </c>
      <c r="F42" s="21"/>
      <c r="G42" s="30">
        <f>G43</f>
        <v>8019</v>
      </c>
      <c r="H42" s="202"/>
    </row>
    <row r="43" spans="1:8" ht="31.5">
      <c r="A43" s="26" t="s">
        <v>194</v>
      </c>
      <c r="B43" s="17">
        <v>902</v>
      </c>
      <c r="C43" s="21" t="s">
        <v>159</v>
      </c>
      <c r="D43" s="21" t="s">
        <v>191</v>
      </c>
      <c r="E43" s="21" t="s">
        <v>195</v>
      </c>
      <c r="F43" s="21"/>
      <c r="G43" s="27">
        <f>G44+G46</f>
        <v>8019</v>
      </c>
      <c r="H43" s="202"/>
    </row>
    <row r="44" spans="1:8" ht="94.5">
      <c r="A44" s="26" t="s">
        <v>168</v>
      </c>
      <c r="B44" s="17">
        <v>902</v>
      </c>
      <c r="C44" s="21" t="s">
        <v>159</v>
      </c>
      <c r="D44" s="21" t="s">
        <v>191</v>
      </c>
      <c r="E44" s="21" t="s">
        <v>195</v>
      </c>
      <c r="F44" s="21" t="s">
        <v>169</v>
      </c>
      <c r="G44" s="27">
        <f>G45</f>
        <v>5761.2</v>
      </c>
      <c r="H44" s="202"/>
    </row>
    <row r="45" spans="1:10" ht="31.5">
      <c r="A45" s="26" t="s">
        <v>170</v>
      </c>
      <c r="B45" s="17">
        <v>902</v>
      </c>
      <c r="C45" s="21" t="s">
        <v>159</v>
      </c>
      <c r="D45" s="21" t="s">
        <v>191</v>
      </c>
      <c r="E45" s="21" t="s">
        <v>195</v>
      </c>
      <c r="F45" s="21" t="s">
        <v>171</v>
      </c>
      <c r="G45" s="181">
        <f>6958.6+88.4-2398.3+1112.5</f>
        <v>5761.2</v>
      </c>
      <c r="H45" s="127" t="s">
        <v>791</v>
      </c>
      <c r="I45" s="147"/>
      <c r="J45" s="196" t="s">
        <v>835</v>
      </c>
    </row>
    <row r="46" spans="1:8" ht="31.5">
      <c r="A46" s="26" t="s">
        <v>172</v>
      </c>
      <c r="B46" s="17">
        <v>902</v>
      </c>
      <c r="C46" s="21" t="s">
        <v>159</v>
      </c>
      <c r="D46" s="21" t="s">
        <v>191</v>
      </c>
      <c r="E46" s="21" t="s">
        <v>195</v>
      </c>
      <c r="F46" s="21" t="s">
        <v>173</v>
      </c>
      <c r="G46" s="27">
        <f>G47</f>
        <v>2257.8</v>
      </c>
      <c r="H46" s="202"/>
    </row>
    <row r="47" spans="1:9" ht="47.25">
      <c r="A47" s="26" t="s">
        <v>174</v>
      </c>
      <c r="B47" s="17">
        <v>902</v>
      </c>
      <c r="C47" s="21" t="s">
        <v>159</v>
      </c>
      <c r="D47" s="21" t="s">
        <v>191</v>
      </c>
      <c r="E47" s="21" t="s">
        <v>195</v>
      </c>
      <c r="F47" s="21" t="s">
        <v>175</v>
      </c>
      <c r="G47" s="181">
        <f>2109.3+129.9+835.5-1438.1+621.2</f>
        <v>2257.8</v>
      </c>
      <c r="H47" s="127" t="s">
        <v>792</v>
      </c>
      <c r="I47" s="148"/>
    </row>
    <row r="48" spans="1:8" ht="63">
      <c r="A48" s="24" t="s">
        <v>160</v>
      </c>
      <c r="B48" s="20">
        <v>902</v>
      </c>
      <c r="C48" s="25" t="s">
        <v>159</v>
      </c>
      <c r="D48" s="25" t="s">
        <v>161</v>
      </c>
      <c r="E48" s="25"/>
      <c r="F48" s="21"/>
      <c r="G48" s="22">
        <f>G49</f>
        <v>1081.7</v>
      </c>
      <c r="H48" s="202"/>
    </row>
    <row r="49" spans="1:8" ht="21" customHeight="1">
      <c r="A49" s="26" t="s">
        <v>162</v>
      </c>
      <c r="B49" s="17">
        <v>902</v>
      </c>
      <c r="C49" s="21" t="s">
        <v>159</v>
      </c>
      <c r="D49" s="21" t="s">
        <v>161</v>
      </c>
      <c r="E49" s="21" t="s">
        <v>163</v>
      </c>
      <c r="F49" s="21"/>
      <c r="G49" s="27">
        <f>G50</f>
        <v>1081.7</v>
      </c>
      <c r="H49" s="202"/>
    </row>
    <row r="50" spans="1:11" ht="31.5">
      <c r="A50" s="26" t="s">
        <v>164</v>
      </c>
      <c r="B50" s="17">
        <v>902</v>
      </c>
      <c r="C50" s="21" t="s">
        <v>159</v>
      </c>
      <c r="D50" s="21" t="s">
        <v>161</v>
      </c>
      <c r="E50" s="21" t="s">
        <v>165</v>
      </c>
      <c r="F50" s="21"/>
      <c r="G50" s="27">
        <f>G51</f>
        <v>1081.7</v>
      </c>
      <c r="H50" s="202"/>
      <c r="K50" s="27"/>
    </row>
    <row r="51" spans="1:11" ht="47.25">
      <c r="A51" s="26" t="s">
        <v>166</v>
      </c>
      <c r="B51" s="17">
        <v>902</v>
      </c>
      <c r="C51" s="21" t="s">
        <v>159</v>
      </c>
      <c r="D51" s="21" t="s">
        <v>161</v>
      </c>
      <c r="E51" s="21" t="s">
        <v>167</v>
      </c>
      <c r="F51" s="21"/>
      <c r="G51" s="27">
        <f>G52+G54</f>
        <v>1081.7</v>
      </c>
      <c r="H51" s="202"/>
      <c r="K51" s="27"/>
    </row>
    <row r="52" spans="1:11" ht="94.5">
      <c r="A52" s="26" t="s">
        <v>168</v>
      </c>
      <c r="B52" s="17">
        <v>902</v>
      </c>
      <c r="C52" s="21" t="s">
        <v>159</v>
      </c>
      <c r="D52" s="21" t="s">
        <v>161</v>
      </c>
      <c r="E52" s="21" t="s">
        <v>167</v>
      </c>
      <c r="F52" s="21" t="s">
        <v>169</v>
      </c>
      <c r="G52" s="27">
        <f>G53</f>
        <v>1081.7</v>
      </c>
      <c r="H52" s="202"/>
      <c r="K52" s="28"/>
    </row>
    <row r="53" spans="1:11" ht="31.5">
      <c r="A53" s="26" t="s">
        <v>170</v>
      </c>
      <c r="B53" s="17">
        <v>902</v>
      </c>
      <c r="C53" s="21" t="s">
        <v>159</v>
      </c>
      <c r="D53" s="21" t="s">
        <v>161</v>
      </c>
      <c r="E53" s="21" t="s">
        <v>167</v>
      </c>
      <c r="F53" s="21" t="s">
        <v>171</v>
      </c>
      <c r="G53" s="28">
        <f>1081.7</f>
        <v>1081.7</v>
      </c>
      <c r="H53" s="202"/>
      <c r="I53" s="136"/>
      <c r="K53" s="27"/>
    </row>
    <row r="54" spans="1:11" ht="31.5" hidden="1">
      <c r="A54" s="26" t="s">
        <v>172</v>
      </c>
      <c r="B54" s="17">
        <v>902</v>
      </c>
      <c r="C54" s="21" t="s">
        <v>159</v>
      </c>
      <c r="D54" s="21" t="s">
        <v>161</v>
      </c>
      <c r="E54" s="21" t="s">
        <v>167</v>
      </c>
      <c r="F54" s="21" t="s">
        <v>173</v>
      </c>
      <c r="G54" s="28">
        <f>G55</f>
        <v>0</v>
      </c>
      <c r="H54" s="202"/>
      <c r="K54" s="27"/>
    </row>
    <row r="55" spans="1:11" ht="47.25" hidden="1">
      <c r="A55" s="26" t="s">
        <v>174</v>
      </c>
      <c r="B55" s="17">
        <v>902</v>
      </c>
      <c r="C55" s="21" t="s">
        <v>159</v>
      </c>
      <c r="D55" s="21" t="s">
        <v>161</v>
      </c>
      <c r="E55" s="21" t="s">
        <v>167</v>
      </c>
      <c r="F55" s="21" t="s">
        <v>175</v>
      </c>
      <c r="G55" s="28"/>
      <c r="H55" s="202"/>
      <c r="I55" s="136"/>
      <c r="K55" s="27"/>
    </row>
    <row r="56" spans="1:11" ht="15.75">
      <c r="A56" s="24" t="s">
        <v>180</v>
      </c>
      <c r="B56" s="20">
        <v>902</v>
      </c>
      <c r="C56" s="25" t="s">
        <v>159</v>
      </c>
      <c r="D56" s="25" t="s">
        <v>181</v>
      </c>
      <c r="E56" s="25"/>
      <c r="F56" s="25"/>
      <c r="G56" s="22">
        <f>G57+G61+G73+G86+G97+G90</f>
        <v>13472.8</v>
      </c>
      <c r="H56" s="202"/>
      <c r="I56" s="135"/>
      <c r="K56" s="27"/>
    </row>
    <row r="57" spans="1:8" ht="63">
      <c r="A57" s="26" t="s">
        <v>196</v>
      </c>
      <c r="B57" s="17">
        <v>902</v>
      </c>
      <c r="C57" s="21" t="s">
        <v>159</v>
      </c>
      <c r="D57" s="21" t="s">
        <v>181</v>
      </c>
      <c r="E57" s="21" t="s">
        <v>197</v>
      </c>
      <c r="F57" s="21"/>
      <c r="G57" s="27">
        <f>G58</f>
        <v>250</v>
      </c>
      <c r="H57" s="202"/>
    </row>
    <row r="58" spans="1:8" ht="31.5">
      <c r="A58" s="26" t="s">
        <v>198</v>
      </c>
      <c r="B58" s="17">
        <v>902</v>
      </c>
      <c r="C58" s="21" t="s">
        <v>159</v>
      </c>
      <c r="D58" s="21" t="s">
        <v>181</v>
      </c>
      <c r="E58" s="21" t="s">
        <v>199</v>
      </c>
      <c r="F58" s="21"/>
      <c r="G58" s="27">
        <f>G59</f>
        <v>250</v>
      </c>
      <c r="H58" s="202"/>
    </row>
    <row r="59" spans="1:8" ht="15.75">
      <c r="A59" s="26" t="s">
        <v>176</v>
      </c>
      <c r="B59" s="17">
        <v>902</v>
      </c>
      <c r="C59" s="21" t="s">
        <v>159</v>
      </c>
      <c r="D59" s="21" t="s">
        <v>181</v>
      </c>
      <c r="E59" s="21" t="s">
        <v>199</v>
      </c>
      <c r="F59" s="21" t="s">
        <v>186</v>
      </c>
      <c r="G59" s="27">
        <f>G60</f>
        <v>250</v>
      </c>
      <c r="H59" s="202"/>
    </row>
    <row r="60" spans="1:9" ht="78.75">
      <c r="A60" s="26" t="s">
        <v>200</v>
      </c>
      <c r="B60" s="17">
        <v>902</v>
      </c>
      <c r="C60" s="21" t="s">
        <v>159</v>
      </c>
      <c r="D60" s="21" t="s">
        <v>181</v>
      </c>
      <c r="E60" s="21" t="s">
        <v>199</v>
      </c>
      <c r="F60" s="21" t="s">
        <v>201</v>
      </c>
      <c r="G60" s="27">
        <f>100+150</f>
        <v>250</v>
      </c>
      <c r="H60" s="202"/>
      <c r="I60" s="136"/>
    </row>
    <row r="61" spans="1:8" ht="47.25">
      <c r="A61" s="26" t="s">
        <v>202</v>
      </c>
      <c r="B61" s="17">
        <v>902</v>
      </c>
      <c r="C61" s="21" t="s">
        <v>159</v>
      </c>
      <c r="D61" s="21" t="s">
        <v>181</v>
      </c>
      <c r="E61" s="21" t="s">
        <v>203</v>
      </c>
      <c r="F61" s="21"/>
      <c r="G61" s="27">
        <f>G62+G65+G70</f>
        <v>653.5</v>
      </c>
      <c r="H61" s="202"/>
    </row>
    <row r="62" spans="1:8" ht="31.5">
      <c r="A62" s="31" t="s">
        <v>204</v>
      </c>
      <c r="B62" s="17">
        <v>902</v>
      </c>
      <c r="C62" s="21" t="s">
        <v>159</v>
      </c>
      <c r="D62" s="21" t="s">
        <v>181</v>
      </c>
      <c r="E62" s="42" t="s">
        <v>205</v>
      </c>
      <c r="F62" s="21"/>
      <c r="G62" s="27">
        <f>G63</f>
        <v>428.1</v>
      </c>
      <c r="H62" s="202"/>
    </row>
    <row r="63" spans="1:8" ht="31.5">
      <c r="A63" s="26" t="s">
        <v>172</v>
      </c>
      <c r="B63" s="17">
        <v>902</v>
      </c>
      <c r="C63" s="21" t="s">
        <v>159</v>
      </c>
      <c r="D63" s="21" t="s">
        <v>181</v>
      </c>
      <c r="E63" s="42" t="s">
        <v>205</v>
      </c>
      <c r="F63" s="21" t="s">
        <v>173</v>
      </c>
      <c r="G63" s="27">
        <f>G64</f>
        <v>428.1</v>
      </c>
      <c r="H63" s="202"/>
    </row>
    <row r="64" spans="1:8" ht="47.25">
      <c r="A64" s="26" t="s">
        <v>174</v>
      </c>
      <c r="B64" s="17">
        <v>902</v>
      </c>
      <c r="C64" s="21" t="s">
        <v>159</v>
      </c>
      <c r="D64" s="21" t="s">
        <v>181</v>
      </c>
      <c r="E64" s="42" t="s">
        <v>205</v>
      </c>
      <c r="F64" s="21" t="s">
        <v>175</v>
      </c>
      <c r="G64" s="27">
        <f>494.3-66.2</f>
        <v>428.1</v>
      </c>
      <c r="H64" s="202"/>
    </row>
    <row r="65" spans="1:8" ht="63">
      <c r="A65" s="203" t="s">
        <v>206</v>
      </c>
      <c r="B65" s="17">
        <v>902</v>
      </c>
      <c r="C65" s="21" t="s">
        <v>159</v>
      </c>
      <c r="D65" s="21" t="s">
        <v>181</v>
      </c>
      <c r="E65" s="42" t="s">
        <v>207</v>
      </c>
      <c r="F65" s="21"/>
      <c r="G65" s="27">
        <f>G66+G68</f>
        <v>224.89999999999998</v>
      </c>
      <c r="H65" s="202"/>
    </row>
    <row r="66" spans="1:8" ht="94.5">
      <c r="A66" s="26" t="s">
        <v>168</v>
      </c>
      <c r="B66" s="17">
        <v>902</v>
      </c>
      <c r="C66" s="21" t="s">
        <v>159</v>
      </c>
      <c r="D66" s="21" t="s">
        <v>181</v>
      </c>
      <c r="E66" s="42" t="s">
        <v>207</v>
      </c>
      <c r="F66" s="21" t="s">
        <v>169</v>
      </c>
      <c r="G66" s="27">
        <f>G67</f>
        <v>159.7</v>
      </c>
      <c r="H66" s="202"/>
    </row>
    <row r="67" spans="1:8" ht="31.5">
      <c r="A67" s="26" t="s">
        <v>170</v>
      </c>
      <c r="B67" s="17">
        <v>902</v>
      </c>
      <c r="C67" s="21" t="s">
        <v>159</v>
      </c>
      <c r="D67" s="21" t="s">
        <v>181</v>
      </c>
      <c r="E67" s="42" t="s">
        <v>207</v>
      </c>
      <c r="F67" s="21" t="s">
        <v>171</v>
      </c>
      <c r="G67" s="27">
        <v>159.7</v>
      </c>
      <c r="H67" s="202"/>
    </row>
    <row r="68" spans="1:8" ht="31.5">
      <c r="A68" s="26" t="s">
        <v>172</v>
      </c>
      <c r="B68" s="17">
        <v>902</v>
      </c>
      <c r="C68" s="21" t="s">
        <v>159</v>
      </c>
      <c r="D68" s="21" t="s">
        <v>181</v>
      </c>
      <c r="E68" s="42" t="s">
        <v>207</v>
      </c>
      <c r="F68" s="21" t="s">
        <v>173</v>
      </c>
      <c r="G68" s="27">
        <f>G69</f>
        <v>65.2</v>
      </c>
      <c r="H68" s="202"/>
    </row>
    <row r="69" spans="1:8" ht="47.25">
      <c r="A69" s="26" t="s">
        <v>174</v>
      </c>
      <c r="B69" s="17">
        <v>902</v>
      </c>
      <c r="C69" s="21" t="s">
        <v>159</v>
      </c>
      <c r="D69" s="21" t="s">
        <v>181</v>
      </c>
      <c r="E69" s="42" t="s">
        <v>207</v>
      </c>
      <c r="F69" s="21" t="s">
        <v>175</v>
      </c>
      <c r="G69" s="27">
        <f>66.2-0.5-0.5</f>
        <v>65.2</v>
      </c>
      <c r="H69" s="127"/>
    </row>
    <row r="70" spans="1:8" ht="47.25">
      <c r="A70" s="35" t="s">
        <v>232</v>
      </c>
      <c r="B70" s="17">
        <v>902</v>
      </c>
      <c r="C70" s="21" t="s">
        <v>159</v>
      </c>
      <c r="D70" s="21" t="s">
        <v>181</v>
      </c>
      <c r="E70" s="42" t="s">
        <v>747</v>
      </c>
      <c r="F70" s="21"/>
      <c r="G70" s="27">
        <f>G71</f>
        <v>0.5</v>
      </c>
      <c r="H70" s="129"/>
    </row>
    <row r="71" spans="1:8" ht="31.5">
      <c r="A71" s="26" t="s">
        <v>172</v>
      </c>
      <c r="B71" s="17">
        <v>902</v>
      </c>
      <c r="C71" s="21" t="s">
        <v>159</v>
      </c>
      <c r="D71" s="21" t="s">
        <v>181</v>
      </c>
      <c r="E71" s="42" t="s">
        <v>747</v>
      </c>
      <c r="F71" s="21" t="s">
        <v>173</v>
      </c>
      <c r="G71" s="27">
        <f>G72</f>
        <v>0.5</v>
      </c>
      <c r="H71" s="202"/>
    </row>
    <row r="72" spans="1:8" ht="47.25">
      <c r="A72" s="26" t="s">
        <v>174</v>
      </c>
      <c r="B72" s="17">
        <v>902</v>
      </c>
      <c r="C72" s="21" t="s">
        <v>159</v>
      </c>
      <c r="D72" s="21" t="s">
        <v>181</v>
      </c>
      <c r="E72" s="42" t="s">
        <v>747</v>
      </c>
      <c r="F72" s="21" t="s">
        <v>175</v>
      </c>
      <c r="G72" s="27">
        <v>0.5</v>
      </c>
      <c r="H72" s="127"/>
    </row>
    <row r="73" spans="1:8" ht="94.5">
      <c r="A73" s="31" t="s">
        <v>208</v>
      </c>
      <c r="B73" s="17">
        <v>902</v>
      </c>
      <c r="C73" s="10" t="s">
        <v>159</v>
      </c>
      <c r="D73" s="10" t="s">
        <v>181</v>
      </c>
      <c r="E73" s="6" t="s">
        <v>209</v>
      </c>
      <c r="F73" s="10"/>
      <c r="G73" s="27">
        <f>G74+G78+G82</f>
        <v>80</v>
      </c>
      <c r="H73" s="202"/>
    </row>
    <row r="74" spans="1:8" ht="78.75">
      <c r="A74" s="31" t="s">
        <v>210</v>
      </c>
      <c r="B74" s="17">
        <v>902</v>
      </c>
      <c r="C74" s="10" t="s">
        <v>159</v>
      </c>
      <c r="D74" s="10" t="s">
        <v>181</v>
      </c>
      <c r="E74" s="32" t="s">
        <v>211</v>
      </c>
      <c r="F74" s="10"/>
      <c r="G74" s="27">
        <f>G75</f>
        <v>15</v>
      </c>
      <c r="H74" s="202"/>
    </row>
    <row r="75" spans="1:8" ht="31.5">
      <c r="A75" s="203" t="s">
        <v>212</v>
      </c>
      <c r="B75" s="17">
        <v>902</v>
      </c>
      <c r="C75" s="10" t="s">
        <v>159</v>
      </c>
      <c r="D75" s="10" t="s">
        <v>181</v>
      </c>
      <c r="E75" s="6" t="s">
        <v>213</v>
      </c>
      <c r="F75" s="10"/>
      <c r="G75" s="27">
        <f>G76</f>
        <v>15</v>
      </c>
      <c r="H75" s="202"/>
    </row>
    <row r="76" spans="1:8" ht="31.5">
      <c r="A76" s="26" t="s">
        <v>172</v>
      </c>
      <c r="B76" s="17">
        <v>902</v>
      </c>
      <c r="C76" s="10" t="s">
        <v>159</v>
      </c>
      <c r="D76" s="10" t="s">
        <v>181</v>
      </c>
      <c r="E76" s="6" t="s">
        <v>213</v>
      </c>
      <c r="F76" s="10" t="s">
        <v>173</v>
      </c>
      <c r="G76" s="27">
        <f>G77</f>
        <v>15</v>
      </c>
      <c r="H76" s="202"/>
    </row>
    <row r="77" spans="1:8" ht="47.25">
      <c r="A77" s="26" t="s">
        <v>174</v>
      </c>
      <c r="B77" s="17">
        <v>902</v>
      </c>
      <c r="C77" s="10" t="s">
        <v>159</v>
      </c>
      <c r="D77" s="10" t="s">
        <v>181</v>
      </c>
      <c r="E77" s="6" t="s">
        <v>213</v>
      </c>
      <c r="F77" s="10" t="s">
        <v>175</v>
      </c>
      <c r="G77" s="27">
        <v>15</v>
      </c>
      <c r="H77" s="202"/>
    </row>
    <row r="78" spans="1:8" ht="63">
      <c r="A78" s="31" t="s">
        <v>214</v>
      </c>
      <c r="B78" s="17">
        <v>902</v>
      </c>
      <c r="C78" s="10" t="s">
        <v>159</v>
      </c>
      <c r="D78" s="10" t="s">
        <v>181</v>
      </c>
      <c r="E78" s="32" t="s">
        <v>215</v>
      </c>
      <c r="F78" s="10"/>
      <c r="G78" s="27">
        <f>G79</f>
        <v>50</v>
      </c>
      <c r="H78" s="202"/>
    </row>
    <row r="79" spans="1:8" ht="31.5">
      <c r="A79" s="47" t="s">
        <v>216</v>
      </c>
      <c r="B79" s="17">
        <v>902</v>
      </c>
      <c r="C79" s="10" t="s">
        <v>159</v>
      </c>
      <c r="D79" s="10" t="s">
        <v>181</v>
      </c>
      <c r="E79" s="6" t="s">
        <v>217</v>
      </c>
      <c r="F79" s="10"/>
      <c r="G79" s="27">
        <f>G80</f>
        <v>50</v>
      </c>
      <c r="H79" s="202"/>
    </row>
    <row r="80" spans="1:8" ht="31.5">
      <c r="A80" s="26" t="s">
        <v>172</v>
      </c>
      <c r="B80" s="17">
        <v>902</v>
      </c>
      <c r="C80" s="10" t="s">
        <v>159</v>
      </c>
      <c r="D80" s="10" t="s">
        <v>181</v>
      </c>
      <c r="E80" s="6" t="s">
        <v>217</v>
      </c>
      <c r="F80" s="10" t="s">
        <v>173</v>
      </c>
      <c r="G80" s="27">
        <f>G81</f>
        <v>50</v>
      </c>
      <c r="H80" s="202"/>
    </row>
    <row r="81" spans="1:8" ht="47.25">
      <c r="A81" s="26" t="s">
        <v>174</v>
      </c>
      <c r="B81" s="17">
        <v>902</v>
      </c>
      <c r="C81" s="10" t="s">
        <v>159</v>
      </c>
      <c r="D81" s="10" t="s">
        <v>181</v>
      </c>
      <c r="E81" s="6" t="s">
        <v>217</v>
      </c>
      <c r="F81" s="10" t="s">
        <v>175</v>
      </c>
      <c r="G81" s="27">
        <v>50</v>
      </c>
      <c r="H81" s="202"/>
    </row>
    <row r="82" spans="1:8" ht="47.25">
      <c r="A82" s="26" t="s">
        <v>218</v>
      </c>
      <c r="B82" s="17">
        <v>902</v>
      </c>
      <c r="C82" s="10" t="s">
        <v>159</v>
      </c>
      <c r="D82" s="10" t="s">
        <v>181</v>
      </c>
      <c r="E82" s="6" t="s">
        <v>219</v>
      </c>
      <c r="F82" s="10"/>
      <c r="G82" s="27">
        <f>G83</f>
        <v>15</v>
      </c>
      <c r="H82" s="202"/>
    </row>
    <row r="83" spans="1:8" ht="15.75">
      <c r="A83" s="47" t="s">
        <v>220</v>
      </c>
      <c r="B83" s="17">
        <v>902</v>
      </c>
      <c r="C83" s="10" t="s">
        <v>159</v>
      </c>
      <c r="D83" s="10" t="s">
        <v>181</v>
      </c>
      <c r="E83" s="6" t="s">
        <v>221</v>
      </c>
      <c r="F83" s="10"/>
      <c r="G83" s="27">
        <f>G84</f>
        <v>15</v>
      </c>
      <c r="H83" s="202"/>
    </row>
    <row r="84" spans="1:8" ht="31.5">
      <c r="A84" s="26" t="s">
        <v>172</v>
      </c>
      <c r="B84" s="17">
        <v>902</v>
      </c>
      <c r="C84" s="10" t="s">
        <v>159</v>
      </c>
      <c r="D84" s="10" t="s">
        <v>181</v>
      </c>
      <c r="E84" s="6" t="s">
        <v>221</v>
      </c>
      <c r="F84" s="10" t="s">
        <v>173</v>
      </c>
      <c r="G84" s="27">
        <f>G85</f>
        <v>15</v>
      </c>
      <c r="H84" s="202"/>
    </row>
    <row r="85" spans="1:8" ht="47.25">
      <c r="A85" s="26" t="s">
        <v>174</v>
      </c>
      <c r="B85" s="17">
        <v>902</v>
      </c>
      <c r="C85" s="10" t="s">
        <v>159</v>
      </c>
      <c r="D85" s="10" t="s">
        <v>181</v>
      </c>
      <c r="E85" s="6" t="s">
        <v>221</v>
      </c>
      <c r="F85" s="10" t="s">
        <v>175</v>
      </c>
      <c r="G85" s="27">
        <v>15</v>
      </c>
      <c r="H85" s="202"/>
    </row>
    <row r="86" spans="1:8" ht="47.25">
      <c r="A86" s="33" t="s">
        <v>222</v>
      </c>
      <c r="B86" s="17">
        <v>902</v>
      </c>
      <c r="C86" s="21" t="s">
        <v>159</v>
      </c>
      <c r="D86" s="21" t="s">
        <v>181</v>
      </c>
      <c r="E86" s="32" t="s">
        <v>223</v>
      </c>
      <c r="F86" s="34"/>
      <c r="G86" s="27">
        <f>G87</f>
        <v>120</v>
      </c>
      <c r="H86" s="202"/>
    </row>
    <row r="87" spans="1:8" ht="31.5">
      <c r="A87" s="26" t="s">
        <v>198</v>
      </c>
      <c r="B87" s="17">
        <v>902</v>
      </c>
      <c r="C87" s="21" t="s">
        <v>159</v>
      </c>
      <c r="D87" s="21" t="s">
        <v>181</v>
      </c>
      <c r="E87" s="21" t="s">
        <v>224</v>
      </c>
      <c r="F87" s="34"/>
      <c r="G87" s="27">
        <f>G88</f>
        <v>120</v>
      </c>
      <c r="H87" s="202"/>
    </row>
    <row r="88" spans="1:8" ht="15.75">
      <c r="A88" s="31" t="s">
        <v>176</v>
      </c>
      <c r="B88" s="17">
        <v>902</v>
      </c>
      <c r="C88" s="21" t="s">
        <v>159</v>
      </c>
      <c r="D88" s="21" t="s">
        <v>181</v>
      </c>
      <c r="E88" s="21" t="s">
        <v>224</v>
      </c>
      <c r="F88" s="34" t="s">
        <v>186</v>
      </c>
      <c r="G88" s="27">
        <f>G89</f>
        <v>120</v>
      </c>
      <c r="H88" s="202"/>
    </row>
    <row r="89" spans="1:9" ht="63">
      <c r="A89" s="31" t="s">
        <v>225</v>
      </c>
      <c r="B89" s="17">
        <v>902</v>
      </c>
      <c r="C89" s="21" t="s">
        <v>159</v>
      </c>
      <c r="D89" s="21" t="s">
        <v>181</v>
      </c>
      <c r="E89" s="21" t="s">
        <v>224</v>
      </c>
      <c r="F89" s="34" t="s">
        <v>201</v>
      </c>
      <c r="G89" s="27">
        <f>100+20</f>
        <v>120</v>
      </c>
      <c r="H89" s="127"/>
      <c r="I89" s="149"/>
    </row>
    <row r="90" spans="1:8" ht="63">
      <c r="A90" s="31" t="s">
        <v>782</v>
      </c>
      <c r="B90" s="17">
        <v>902</v>
      </c>
      <c r="C90" s="21" t="s">
        <v>159</v>
      </c>
      <c r="D90" s="21" t="s">
        <v>181</v>
      </c>
      <c r="E90" s="21" t="s">
        <v>780</v>
      </c>
      <c r="F90" s="34"/>
      <c r="G90" s="27">
        <f>G91</f>
        <v>29</v>
      </c>
      <c r="H90" s="129"/>
    </row>
    <row r="91" spans="1:8" ht="31.5">
      <c r="A91" s="33" t="s">
        <v>198</v>
      </c>
      <c r="B91" s="17">
        <v>902</v>
      </c>
      <c r="C91" s="21" t="s">
        <v>159</v>
      </c>
      <c r="D91" s="21" t="s">
        <v>181</v>
      </c>
      <c r="E91" s="21" t="s">
        <v>788</v>
      </c>
      <c r="F91" s="34"/>
      <c r="G91" s="27">
        <f>G92</f>
        <v>29</v>
      </c>
      <c r="H91" s="129"/>
    </row>
    <row r="92" spans="1:8" ht="31.5">
      <c r="A92" s="26" t="s">
        <v>172</v>
      </c>
      <c r="B92" s="17">
        <v>902</v>
      </c>
      <c r="C92" s="21" t="s">
        <v>159</v>
      </c>
      <c r="D92" s="21" t="s">
        <v>181</v>
      </c>
      <c r="E92" s="21" t="s">
        <v>788</v>
      </c>
      <c r="F92" s="34" t="s">
        <v>173</v>
      </c>
      <c r="G92" s="27">
        <f>G93</f>
        <v>29</v>
      </c>
      <c r="H92" s="129"/>
    </row>
    <row r="93" spans="1:9" ht="47.25">
      <c r="A93" s="26" t="s">
        <v>174</v>
      </c>
      <c r="B93" s="17">
        <v>902</v>
      </c>
      <c r="C93" s="21" t="s">
        <v>159</v>
      </c>
      <c r="D93" s="21" t="s">
        <v>181</v>
      </c>
      <c r="E93" s="21" t="s">
        <v>788</v>
      </c>
      <c r="F93" s="34" t="s">
        <v>175</v>
      </c>
      <c r="G93" s="27">
        <v>29</v>
      </c>
      <c r="H93" s="129"/>
      <c r="I93" s="147"/>
    </row>
    <row r="94" spans="1:8" ht="15.75" hidden="1">
      <c r="A94" s="31"/>
      <c r="B94" s="17"/>
      <c r="C94" s="21"/>
      <c r="D94" s="21"/>
      <c r="E94" s="21"/>
      <c r="F94" s="34"/>
      <c r="G94" s="27"/>
      <c r="H94" s="129"/>
    </row>
    <row r="95" spans="1:8" ht="15.75" hidden="1">
      <c r="A95" s="26"/>
      <c r="B95" s="17"/>
      <c r="C95" s="21"/>
      <c r="D95" s="21"/>
      <c r="E95" s="21"/>
      <c r="F95" s="34"/>
      <c r="G95" s="27"/>
      <c r="H95" s="129"/>
    </row>
    <row r="96" spans="1:9" ht="15.75" hidden="1">
      <c r="A96" s="26"/>
      <c r="B96" s="17"/>
      <c r="C96" s="21"/>
      <c r="D96" s="21"/>
      <c r="E96" s="21"/>
      <c r="F96" s="34"/>
      <c r="G96" s="27"/>
      <c r="H96" s="129"/>
      <c r="I96" s="147"/>
    </row>
    <row r="97" spans="1:8" ht="15.75">
      <c r="A97" s="26" t="s">
        <v>162</v>
      </c>
      <c r="B97" s="17">
        <v>902</v>
      </c>
      <c r="C97" s="21" t="s">
        <v>159</v>
      </c>
      <c r="D97" s="21" t="s">
        <v>181</v>
      </c>
      <c r="E97" s="21" t="s">
        <v>163</v>
      </c>
      <c r="F97" s="21"/>
      <c r="G97" s="27">
        <f>G98+G121</f>
        <v>12340.3</v>
      </c>
      <c r="H97" s="202"/>
    </row>
    <row r="98" spans="1:8" ht="31.5">
      <c r="A98" s="26" t="s">
        <v>226</v>
      </c>
      <c r="B98" s="17">
        <v>902</v>
      </c>
      <c r="C98" s="21" t="s">
        <v>159</v>
      </c>
      <c r="D98" s="21" t="s">
        <v>181</v>
      </c>
      <c r="E98" s="21" t="s">
        <v>227</v>
      </c>
      <c r="F98" s="21"/>
      <c r="G98" s="27">
        <f>G104+G107+G113+G116</f>
        <v>3600.8999999999996</v>
      </c>
      <c r="H98" s="202"/>
    </row>
    <row r="99" spans="1:8" ht="47.25" hidden="1">
      <c r="A99" s="26" t="s">
        <v>228</v>
      </c>
      <c r="B99" s="17">
        <v>902</v>
      </c>
      <c r="C99" s="21" t="s">
        <v>159</v>
      </c>
      <c r="D99" s="21" t="s">
        <v>181</v>
      </c>
      <c r="E99" s="21" t="s">
        <v>229</v>
      </c>
      <c r="F99" s="25"/>
      <c r="G99" s="27">
        <f>G100+G102</f>
        <v>0</v>
      </c>
      <c r="H99" s="202"/>
    </row>
    <row r="100" spans="1:8" ht="94.5" hidden="1">
      <c r="A100" s="26" t="s">
        <v>168</v>
      </c>
      <c r="B100" s="17">
        <v>902</v>
      </c>
      <c r="C100" s="21" t="s">
        <v>159</v>
      </c>
      <c r="D100" s="21" t="s">
        <v>181</v>
      </c>
      <c r="E100" s="21" t="s">
        <v>229</v>
      </c>
      <c r="F100" s="21" t="s">
        <v>169</v>
      </c>
      <c r="G100" s="27">
        <f>G101</f>
        <v>0</v>
      </c>
      <c r="H100" s="202"/>
    </row>
    <row r="101" spans="1:8" ht="31.5" hidden="1">
      <c r="A101" s="26" t="s">
        <v>170</v>
      </c>
      <c r="B101" s="17">
        <v>902</v>
      </c>
      <c r="C101" s="21" t="s">
        <v>159</v>
      </c>
      <c r="D101" s="21" t="s">
        <v>181</v>
      </c>
      <c r="E101" s="21" t="s">
        <v>229</v>
      </c>
      <c r="F101" s="21" t="s">
        <v>171</v>
      </c>
      <c r="G101" s="27">
        <v>0</v>
      </c>
      <c r="H101" s="202"/>
    </row>
    <row r="102" spans="1:8" ht="31.5" hidden="1">
      <c r="A102" s="26" t="s">
        <v>172</v>
      </c>
      <c r="B102" s="17">
        <v>902</v>
      </c>
      <c r="C102" s="21" t="s">
        <v>159</v>
      </c>
      <c r="D102" s="21" t="s">
        <v>181</v>
      </c>
      <c r="E102" s="21" t="s">
        <v>229</v>
      </c>
      <c r="F102" s="21" t="s">
        <v>173</v>
      </c>
      <c r="G102" s="27">
        <f>G103</f>
        <v>0</v>
      </c>
      <c r="H102" s="202"/>
    </row>
    <row r="103" spans="1:8" ht="47.25" hidden="1">
      <c r="A103" s="26" t="s">
        <v>174</v>
      </c>
      <c r="B103" s="17">
        <v>902</v>
      </c>
      <c r="C103" s="21" t="s">
        <v>159</v>
      </c>
      <c r="D103" s="21" t="s">
        <v>181</v>
      </c>
      <c r="E103" s="21" t="s">
        <v>229</v>
      </c>
      <c r="F103" s="21" t="s">
        <v>175</v>
      </c>
      <c r="G103" s="27">
        <v>0</v>
      </c>
      <c r="H103" s="202"/>
    </row>
    <row r="104" spans="1:8" ht="47.25">
      <c r="A104" s="33" t="s">
        <v>230</v>
      </c>
      <c r="B104" s="17">
        <v>902</v>
      </c>
      <c r="C104" s="21" t="s">
        <v>159</v>
      </c>
      <c r="D104" s="21" t="s">
        <v>181</v>
      </c>
      <c r="E104" s="21" t="s">
        <v>231</v>
      </c>
      <c r="F104" s="21"/>
      <c r="G104" s="27">
        <f>G105</f>
        <v>701.8</v>
      </c>
      <c r="H104" s="202"/>
    </row>
    <row r="105" spans="1:8" ht="94.5">
      <c r="A105" s="26" t="s">
        <v>168</v>
      </c>
      <c r="B105" s="17">
        <v>902</v>
      </c>
      <c r="C105" s="21" t="s">
        <v>159</v>
      </c>
      <c r="D105" s="21" t="s">
        <v>181</v>
      </c>
      <c r="E105" s="21" t="s">
        <v>231</v>
      </c>
      <c r="F105" s="21" t="s">
        <v>169</v>
      </c>
      <c r="G105" s="27">
        <f>G106</f>
        <v>701.8</v>
      </c>
      <c r="H105" s="202"/>
    </row>
    <row r="106" spans="1:9" ht="31.5">
      <c r="A106" s="26" t="s">
        <v>170</v>
      </c>
      <c r="B106" s="17">
        <v>902</v>
      </c>
      <c r="C106" s="21" t="s">
        <v>159</v>
      </c>
      <c r="D106" s="21" t="s">
        <v>181</v>
      </c>
      <c r="E106" s="21" t="s">
        <v>231</v>
      </c>
      <c r="F106" s="21" t="s">
        <v>171</v>
      </c>
      <c r="G106" s="27">
        <v>701.8</v>
      </c>
      <c r="H106" s="202"/>
      <c r="I106" s="136"/>
    </row>
    <row r="107" spans="1:8" ht="47.25">
      <c r="A107" s="35" t="s">
        <v>232</v>
      </c>
      <c r="B107" s="17">
        <v>902</v>
      </c>
      <c r="C107" s="21" t="s">
        <v>159</v>
      </c>
      <c r="D107" s="21" t="s">
        <v>181</v>
      </c>
      <c r="E107" s="21" t="s">
        <v>233</v>
      </c>
      <c r="F107" s="21"/>
      <c r="G107" s="27">
        <f>G108</f>
        <v>40</v>
      </c>
      <c r="H107" s="202"/>
    </row>
    <row r="108" spans="1:8" ht="31.5">
      <c r="A108" s="26" t="s">
        <v>172</v>
      </c>
      <c r="B108" s="17">
        <v>902</v>
      </c>
      <c r="C108" s="21" t="s">
        <v>159</v>
      </c>
      <c r="D108" s="21" t="s">
        <v>181</v>
      </c>
      <c r="E108" s="21" t="s">
        <v>233</v>
      </c>
      <c r="F108" s="21" t="s">
        <v>173</v>
      </c>
      <c r="G108" s="27">
        <f>G109</f>
        <v>40</v>
      </c>
      <c r="H108" s="202"/>
    </row>
    <row r="109" spans="1:9" ht="47.25">
      <c r="A109" s="26" t="s">
        <v>174</v>
      </c>
      <c r="B109" s="17">
        <v>902</v>
      </c>
      <c r="C109" s="21" t="s">
        <v>159</v>
      </c>
      <c r="D109" s="21" t="s">
        <v>181</v>
      </c>
      <c r="E109" s="21" t="s">
        <v>233</v>
      </c>
      <c r="F109" s="21" t="s">
        <v>175</v>
      </c>
      <c r="G109" s="27">
        <f>36+4</f>
        <v>40</v>
      </c>
      <c r="H109" s="202"/>
      <c r="I109" s="136"/>
    </row>
    <row r="110" spans="1:8" ht="31.5" hidden="1">
      <c r="A110" s="33" t="s">
        <v>234</v>
      </c>
      <c r="B110" s="17">
        <v>902</v>
      </c>
      <c r="C110" s="21" t="s">
        <v>159</v>
      </c>
      <c r="D110" s="21" t="s">
        <v>181</v>
      </c>
      <c r="E110" s="21" t="s">
        <v>233</v>
      </c>
      <c r="F110" s="21"/>
      <c r="G110" s="27">
        <f>G111</f>
        <v>0</v>
      </c>
      <c r="H110" s="202"/>
    </row>
    <row r="111" spans="1:8" ht="31.5" hidden="1">
      <c r="A111" s="26" t="s">
        <v>172</v>
      </c>
      <c r="B111" s="17">
        <v>902</v>
      </c>
      <c r="C111" s="21" t="s">
        <v>159</v>
      </c>
      <c r="D111" s="21" t="s">
        <v>181</v>
      </c>
      <c r="E111" s="21" t="s">
        <v>233</v>
      </c>
      <c r="F111" s="21" t="s">
        <v>173</v>
      </c>
      <c r="G111" s="27">
        <f>G112</f>
        <v>0</v>
      </c>
      <c r="H111" s="202"/>
    </row>
    <row r="112" spans="1:8" ht="47.25" hidden="1">
      <c r="A112" s="26" t="s">
        <v>174</v>
      </c>
      <c r="B112" s="17">
        <v>902</v>
      </c>
      <c r="C112" s="21" t="s">
        <v>159</v>
      </c>
      <c r="D112" s="21" t="s">
        <v>181</v>
      </c>
      <c r="E112" s="21" t="s">
        <v>233</v>
      </c>
      <c r="F112" s="21" t="s">
        <v>175</v>
      </c>
      <c r="G112" s="27"/>
      <c r="H112" s="202"/>
    </row>
    <row r="113" spans="1:8" ht="63">
      <c r="A113" s="33" t="s">
        <v>235</v>
      </c>
      <c r="B113" s="17">
        <v>902</v>
      </c>
      <c r="C113" s="21" t="s">
        <v>159</v>
      </c>
      <c r="D113" s="21" t="s">
        <v>181</v>
      </c>
      <c r="E113" s="21" t="s">
        <v>236</v>
      </c>
      <c r="F113" s="21"/>
      <c r="G113" s="27">
        <f>G114</f>
        <v>1752.9</v>
      </c>
      <c r="H113" s="202"/>
    </row>
    <row r="114" spans="1:8" ht="94.5">
      <c r="A114" s="26" t="s">
        <v>168</v>
      </c>
      <c r="B114" s="17">
        <v>902</v>
      </c>
      <c r="C114" s="21" t="s">
        <v>159</v>
      </c>
      <c r="D114" s="21" t="s">
        <v>181</v>
      </c>
      <c r="E114" s="21" t="s">
        <v>236</v>
      </c>
      <c r="F114" s="21" t="s">
        <v>169</v>
      </c>
      <c r="G114" s="27">
        <f>G115</f>
        <v>1752.9</v>
      </c>
      <c r="H114" s="202"/>
    </row>
    <row r="115" spans="1:8" ht="31.5">
      <c r="A115" s="26" t="s">
        <v>170</v>
      </c>
      <c r="B115" s="17">
        <v>902</v>
      </c>
      <c r="C115" s="21" t="s">
        <v>159</v>
      </c>
      <c r="D115" s="21" t="s">
        <v>181</v>
      </c>
      <c r="E115" s="21" t="s">
        <v>236</v>
      </c>
      <c r="F115" s="21" t="s">
        <v>171</v>
      </c>
      <c r="G115" s="27">
        <v>1752.9</v>
      </c>
      <c r="H115" s="202"/>
    </row>
    <row r="116" spans="1:8" ht="47.25">
      <c r="A116" s="33" t="s">
        <v>237</v>
      </c>
      <c r="B116" s="17">
        <v>902</v>
      </c>
      <c r="C116" s="21" t="s">
        <v>159</v>
      </c>
      <c r="D116" s="21" t="s">
        <v>181</v>
      </c>
      <c r="E116" s="21" t="s">
        <v>238</v>
      </c>
      <c r="F116" s="21"/>
      <c r="G116" s="27">
        <f>G117+G119</f>
        <v>1106.1999999999998</v>
      </c>
      <c r="H116" s="202"/>
    </row>
    <row r="117" spans="1:8" ht="94.5">
      <c r="A117" s="26" t="s">
        <v>168</v>
      </c>
      <c r="B117" s="17">
        <v>902</v>
      </c>
      <c r="C117" s="21" t="s">
        <v>159</v>
      </c>
      <c r="D117" s="21" t="s">
        <v>181</v>
      </c>
      <c r="E117" s="21" t="s">
        <v>238</v>
      </c>
      <c r="F117" s="21" t="s">
        <v>169</v>
      </c>
      <c r="G117" s="27">
        <f>G118</f>
        <v>1073.1</v>
      </c>
      <c r="H117" s="202"/>
    </row>
    <row r="118" spans="1:9" ht="31.5">
      <c r="A118" s="26" t="s">
        <v>170</v>
      </c>
      <c r="B118" s="17">
        <v>902</v>
      </c>
      <c r="C118" s="21" t="s">
        <v>159</v>
      </c>
      <c r="D118" s="21" t="s">
        <v>181</v>
      </c>
      <c r="E118" s="21" t="s">
        <v>238</v>
      </c>
      <c r="F118" s="21" t="s">
        <v>171</v>
      </c>
      <c r="G118" s="27">
        <f>1537-463.9</f>
        <v>1073.1</v>
      </c>
      <c r="H118" s="202"/>
      <c r="I118" s="136"/>
    </row>
    <row r="119" spans="1:8" ht="47.25">
      <c r="A119" s="26" t="s">
        <v>239</v>
      </c>
      <c r="B119" s="17">
        <v>902</v>
      </c>
      <c r="C119" s="21" t="s">
        <v>159</v>
      </c>
      <c r="D119" s="21" t="s">
        <v>181</v>
      </c>
      <c r="E119" s="21" t="s">
        <v>238</v>
      </c>
      <c r="F119" s="21" t="s">
        <v>173</v>
      </c>
      <c r="G119" s="27">
        <f>G120</f>
        <v>33.1</v>
      </c>
      <c r="H119" s="202"/>
    </row>
    <row r="120" spans="1:8" ht="47.25">
      <c r="A120" s="26" t="s">
        <v>174</v>
      </c>
      <c r="B120" s="17">
        <v>902</v>
      </c>
      <c r="C120" s="21" t="s">
        <v>159</v>
      </c>
      <c r="D120" s="21" t="s">
        <v>181</v>
      </c>
      <c r="E120" s="21" t="s">
        <v>238</v>
      </c>
      <c r="F120" s="21" t="s">
        <v>175</v>
      </c>
      <c r="G120" s="27">
        <v>33.1</v>
      </c>
      <c r="H120" s="202"/>
    </row>
    <row r="121" spans="1:8" ht="15.75">
      <c r="A121" s="26" t="s">
        <v>182</v>
      </c>
      <c r="B121" s="17">
        <v>902</v>
      </c>
      <c r="C121" s="21" t="s">
        <v>159</v>
      </c>
      <c r="D121" s="21" t="s">
        <v>181</v>
      </c>
      <c r="E121" s="21" t="s">
        <v>183</v>
      </c>
      <c r="F121" s="21"/>
      <c r="G121" s="27">
        <f>G134+G139+G144</f>
        <v>8739.4</v>
      </c>
      <c r="H121" s="202"/>
    </row>
    <row r="122" spans="1:8" ht="15.75" hidden="1">
      <c r="A122" s="26" t="s">
        <v>240</v>
      </c>
      <c r="B122" s="17">
        <v>902</v>
      </c>
      <c r="C122" s="21" t="s">
        <v>159</v>
      </c>
      <c r="D122" s="21" t="s">
        <v>181</v>
      </c>
      <c r="E122" s="21" t="s">
        <v>241</v>
      </c>
      <c r="F122" s="21"/>
      <c r="G122" s="27">
        <f>G123</f>
        <v>0</v>
      </c>
      <c r="H122" s="202"/>
    </row>
    <row r="123" spans="1:8" ht="33" customHeight="1" hidden="1">
      <c r="A123" s="26" t="s">
        <v>239</v>
      </c>
      <c r="B123" s="17">
        <v>902</v>
      </c>
      <c r="C123" s="21" t="s">
        <v>159</v>
      </c>
      <c r="D123" s="21" t="s">
        <v>181</v>
      </c>
      <c r="E123" s="21" t="s">
        <v>241</v>
      </c>
      <c r="F123" s="21" t="s">
        <v>173</v>
      </c>
      <c r="G123" s="27">
        <f>G124</f>
        <v>0</v>
      </c>
      <c r="H123" s="202"/>
    </row>
    <row r="124" spans="1:8" ht="47.25" hidden="1">
      <c r="A124" s="26" t="s">
        <v>174</v>
      </c>
      <c r="B124" s="17">
        <v>902</v>
      </c>
      <c r="C124" s="21" t="s">
        <v>159</v>
      </c>
      <c r="D124" s="21" t="s">
        <v>181</v>
      </c>
      <c r="E124" s="21" t="s">
        <v>241</v>
      </c>
      <c r="F124" s="21" t="s">
        <v>175</v>
      </c>
      <c r="G124" s="27">
        <v>0</v>
      </c>
      <c r="H124" s="202"/>
    </row>
    <row r="125" spans="1:8" ht="15.75" hidden="1">
      <c r="A125" s="26" t="s">
        <v>242</v>
      </c>
      <c r="B125" s="17">
        <v>902</v>
      </c>
      <c r="C125" s="21" t="s">
        <v>159</v>
      </c>
      <c r="D125" s="21" t="s">
        <v>181</v>
      </c>
      <c r="E125" s="21" t="s">
        <v>243</v>
      </c>
      <c r="F125" s="25"/>
      <c r="G125" s="27">
        <f>G126</f>
        <v>0</v>
      </c>
      <c r="H125" s="202"/>
    </row>
    <row r="126" spans="1:8" ht="47.25" hidden="1">
      <c r="A126" s="26" t="s">
        <v>239</v>
      </c>
      <c r="B126" s="17">
        <v>902</v>
      </c>
      <c r="C126" s="21" t="s">
        <v>159</v>
      </c>
      <c r="D126" s="21" t="s">
        <v>181</v>
      </c>
      <c r="E126" s="21" t="s">
        <v>243</v>
      </c>
      <c r="F126" s="21" t="s">
        <v>173</v>
      </c>
      <c r="G126" s="27">
        <f>G127</f>
        <v>0</v>
      </c>
      <c r="H126" s="202"/>
    </row>
    <row r="127" spans="1:8" ht="47.25" hidden="1">
      <c r="A127" s="26" t="s">
        <v>174</v>
      </c>
      <c r="B127" s="17">
        <v>902</v>
      </c>
      <c r="C127" s="21" t="s">
        <v>159</v>
      </c>
      <c r="D127" s="21" t="s">
        <v>181</v>
      </c>
      <c r="E127" s="21" t="s">
        <v>243</v>
      </c>
      <c r="F127" s="21" t="s">
        <v>175</v>
      </c>
      <c r="G127" s="27">
        <v>0</v>
      </c>
      <c r="H127" s="202"/>
    </row>
    <row r="128" spans="1:8" ht="31.5" hidden="1">
      <c r="A128" s="26" t="s">
        <v>244</v>
      </c>
      <c r="B128" s="17">
        <v>902</v>
      </c>
      <c r="C128" s="21" t="s">
        <v>159</v>
      </c>
      <c r="D128" s="21" t="s">
        <v>181</v>
      </c>
      <c r="E128" s="21" t="s">
        <v>245</v>
      </c>
      <c r="F128" s="21"/>
      <c r="G128" s="27">
        <f>G129</f>
        <v>0</v>
      </c>
      <c r="H128" s="202"/>
    </row>
    <row r="129" spans="1:8" ht="47.25" hidden="1">
      <c r="A129" s="26" t="s">
        <v>239</v>
      </c>
      <c r="B129" s="17">
        <v>902</v>
      </c>
      <c r="C129" s="21" t="s">
        <v>159</v>
      </c>
      <c r="D129" s="21" t="s">
        <v>181</v>
      </c>
      <c r="E129" s="21" t="s">
        <v>245</v>
      </c>
      <c r="F129" s="21" t="s">
        <v>173</v>
      </c>
      <c r="G129" s="27">
        <f>G130</f>
        <v>0</v>
      </c>
      <c r="H129" s="202"/>
    </row>
    <row r="130" spans="1:8" ht="47.25" hidden="1">
      <c r="A130" s="26" t="s">
        <v>174</v>
      </c>
      <c r="B130" s="17">
        <v>902</v>
      </c>
      <c r="C130" s="21" t="s">
        <v>159</v>
      </c>
      <c r="D130" s="21" t="s">
        <v>181</v>
      </c>
      <c r="E130" s="21" t="s">
        <v>245</v>
      </c>
      <c r="F130" s="21" t="s">
        <v>175</v>
      </c>
      <c r="G130" s="27">
        <v>0</v>
      </c>
      <c r="H130" s="202"/>
    </row>
    <row r="131" spans="1:8" ht="15.75" hidden="1">
      <c r="A131" s="26" t="s">
        <v>220</v>
      </c>
      <c r="B131" s="17">
        <v>902</v>
      </c>
      <c r="C131" s="21" t="s">
        <v>159</v>
      </c>
      <c r="D131" s="21" t="s">
        <v>181</v>
      </c>
      <c r="E131" s="21" t="s">
        <v>246</v>
      </c>
      <c r="F131" s="21"/>
      <c r="G131" s="27">
        <f>G132</f>
        <v>0</v>
      </c>
      <c r="H131" s="202"/>
    </row>
    <row r="132" spans="1:8" ht="47.25" hidden="1">
      <c r="A132" s="26" t="s">
        <v>239</v>
      </c>
      <c r="B132" s="17">
        <v>902</v>
      </c>
      <c r="C132" s="21" t="s">
        <v>159</v>
      </c>
      <c r="D132" s="21" t="s">
        <v>181</v>
      </c>
      <c r="E132" s="21" t="s">
        <v>246</v>
      </c>
      <c r="F132" s="21" t="s">
        <v>173</v>
      </c>
      <c r="G132" s="27">
        <f>G133</f>
        <v>0</v>
      </c>
      <c r="H132" s="202"/>
    </row>
    <row r="133" spans="1:8" ht="47.25" hidden="1">
      <c r="A133" s="26" t="s">
        <v>174</v>
      </c>
      <c r="B133" s="17">
        <v>902</v>
      </c>
      <c r="C133" s="21" t="s">
        <v>159</v>
      </c>
      <c r="D133" s="21" t="s">
        <v>181</v>
      </c>
      <c r="E133" s="21" t="s">
        <v>246</v>
      </c>
      <c r="F133" s="21" t="s">
        <v>175</v>
      </c>
      <c r="G133" s="27">
        <v>0</v>
      </c>
      <c r="H133" s="202"/>
    </row>
    <row r="134" spans="1:8" ht="31.5">
      <c r="A134" s="26" t="s">
        <v>247</v>
      </c>
      <c r="B134" s="17">
        <v>902</v>
      </c>
      <c r="C134" s="21" t="s">
        <v>159</v>
      </c>
      <c r="D134" s="21" t="s">
        <v>181</v>
      </c>
      <c r="E134" s="21" t="s">
        <v>248</v>
      </c>
      <c r="F134" s="21"/>
      <c r="G134" s="27">
        <f>G135+G137</f>
        <v>6126.7</v>
      </c>
      <c r="H134" s="202"/>
    </row>
    <row r="135" spans="1:8" ht="94.5">
      <c r="A135" s="26" t="s">
        <v>168</v>
      </c>
      <c r="B135" s="17">
        <v>902</v>
      </c>
      <c r="C135" s="21" t="s">
        <v>159</v>
      </c>
      <c r="D135" s="21" t="s">
        <v>181</v>
      </c>
      <c r="E135" s="21" t="s">
        <v>248</v>
      </c>
      <c r="F135" s="21" t="s">
        <v>169</v>
      </c>
      <c r="G135" s="27">
        <f>G136</f>
        <v>4952</v>
      </c>
      <c r="H135" s="202"/>
    </row>
    <row r="136" spans="1:8" ht="31.5">
      <c r="A136" s="26" t="s">
        <v>249</v>
      </c>
      <c r="B136" s="17">
        <v>902</v>
      </c>
      <c r="C136" s="21" t="s">
        <v>159</v>
      </c>
      <c r="D136" s="21" t="s">
        <v>181</v>
      </c>
      <c r="E136" s="21" t="s">
        <v>248</v>
      </c>
      <c r="F136" s="21" t="s">
        <v>250</v>
      </c>
      <c r="G136" s="28">
        <f>5174.7-222.7</f>
        <v>4952</v>
      </c>
      <c r="H136" s="202"/>
    </row>
    <row r="137" spans="1:8" ht="47.25">
      <c r="A137" s="26" t="s">
        <v>239</v>
      </c>
      <c r="B137" s="17">
        <v>902</v>
      </c>
      <c r="C137" s="21" t="s">
        <v>159</v>
      </c>
      <c r="D137" s="21" t="s">
        <v>181</v>
      </c>
      <c r="E137" s="21" t="s">
        <v>248</v>
      </c>
      <c r="F137" s="21" t="s">
        <v>173</v>
      </c>
      <c r="G137" s="27">
        <f>G138</f>
        <v>1174.7</v>
      </c>
      <c r="H137" s="202"/>
    </row>
    <row r="138" spans="1:9" ht="47.25">
      <c r="A138" s="26" t="s">
        <v>174</v>
      </c>
      <c r="B138" s="17">
        <v>902</v>
      </c>
      <c r="C138" s="21" t="s">
        <v>159</v>
      </c>
      <c r="D138" s="21" t="s">
        <v>181</v>
      </c>
      <c r="E138" s="21" t="s">
        <v>248</v>
      </c>
      <c r="F138" s="21" t="s">
        <v>175</v>
      </c>
      <c r="G138" s="28">
        <f>724.7+450</f>
        <v>1174.7</v>
      </c>
      <c r="H138" s="202"/>
      <c r="I138" s="136"/>
    </row>
    <row r="139" spans="1:8" ht="47.25">
      <c r="A139" s="26" t="s">
        <v>251</v>
      </c>
      <c r="B139" s="17">
        <v>902</v>
      </c>
      <c r="C139" s="21" t="s">
        <v>159</v>
      </c>
      <c r="D139" s="21" t="s">
        <v>181</v>
      </c>
      <c r="E139" s="21" t="s">
        <v>252</v>
      </c>
      <c r="F139" s="21"/>
      <c r="G139" s="27">
        <f>G140+G142</f>
        <v>2520.4</v>
      </c>
      <c r="H139" s="202"/>
    </row>
    <row r="140" spans="1:8" ht="94.5">
      <c r="A140" s="26" t="s">
        <v>168</v>
      </c>
      <c r="B140" s="17">
        <v>902</v>
      </c>
      <c r="C140" s="21" t="s">
        <v>159</v>
      </c>
      <c r="D140" s="21" t="s">
        <v>181</v>
      </c>
      <c r="E140" s="21" t="s">
        <v>252</v>
      </c>
      <c r="F140" s="21" t="s">
        <v>169</v>
      </c>
      <c r="G140" s="27">
        <f>G141</f>
        <v>1895</v>
      </c>
      <c r="H140" s="202"/>
    </row>
    <row r="141" spans="1:9" ht="31.5">
      <c r="A141" s="26" t="s">
        <v>170</v>
      </c>
      <c r="B141" s="17">
        <v>902</v>
      </c>
      <c r="C141" s="21" t="s">
        <v>159</v>
      </c>
      <c r="D141" s="21" t="s">
        <v>181</v>
      </c>
      <c r="E141" s="21" t="s">
        <v>252</v>
      </c>
      <c r="F141" s="21" t="s">
        <v>171</v>
      </c>
      <c r="G141" s="28">
        <f>1952.2-57.2</f>
        <v>1895</v>
      </c>
      <c r="H141" s="202"/>
      <c r="I141" s="136"/>
    </row>
    <row r="142" spans="1:8" ht="47.25">
      <c r="A142" s="26" t="s">
        <v>239</v>
      </c>
      <c r="B142" s="17">
        <v>902</v>
      </c>
      <c r="C142" s="21" t="s">
        <v>159</v>
      </c>
      <c r="D142" s="21" t="s">
        <v>181</v>
      </c>
      <c r="E142" s="21" t="s">
        <v>252</v>
      </c>
      <c r="F142" s="21" t="s">
        <v>173</v>
      </c>
      <c r="G142" s="27">
        <f>G143</f>
        <v>625.4</v>
      </c>
      <c r="H142" s="202"/>
    </row>
    <row r="143" spans="1:8" ht="47.25">
      <c r="A143" s="26" t="s">
        <v>174</v>
      </c>
      <c r="B143" s="17">
        <v>902</v>
      </c>
      <c r="C143" s="21" t="s">
        <v>159</v>
      </c>
      <c r="D143" s="21" t="s">
        <v>181</v>
      </c>
      <c r="E143" s="21" t="s">
        <v>252</v>
      </c>
      <c r="F143" s="21" t="s">
        <v>175</v>
      </c>
      <c r="G143" s="27">
        <f>821.9-196.5</f>
        <v>625.4</v>
      </c>
      <c r="H143" s="202"/>
    </row>
    <row r="144" spans="1:8" ht="15.75">
      <c r="A144" s="47" t="s">
        <v>184</v>
      </c>
      <c r="B144" s="17">
        <v>902</v>
      </c>
      <c r="C144" s="21" t="s">
        <v>159</v>
      </c>
      <c r="D144" s="21" t="s">
        <v>181</v>
      </c>
      <c r="E144" s="21" t="s">
        <v>185</v>
      </c>
      <c r="F144" s="21"/>
      <c r="G144" s="27">
        <f>G145</f>
        <v>92.3</v>
      </c>
      <c r="H144" s="202"/>
    </row>
    <row r="145" spans="1:8" ht="15.75">
      <c r="A145" s="26" t="s">
        <v>176</v>
      </c>
      <c r="B145" s="17">
        <v>902</v>
      </c>
      <c r="C145" s="21" t="s">
        <v>159</v>
      </c>
      <c r="D145" s="21" t="s">
        <v>181</v>
      </c>
      <c r="E145" s="21" t="s">
        <v>185</v>
      </c>
      <c r="F145" s="21" t="s">
        <v>186</v>
      </c>
      <c r="G145" s="27">
        <f>G146</f>
        <v>92.3</v>
      </c>
      <c r="H145" s="202"/>
    </row>
    <row r="146" spans="1:8" ht="15.75">
      <c r="A146" s="26" t="s">
        <v>187</v>
      </c>
      <c r="B146" s="17">
        <v>902</v>
      </c>
      <c r="C146" s="21" t="s">
        <v>159</v>
      </c>
      <c r="D146" s="21" t="s">
        <v>181</v>
      </c>
      <c r="E146" s="21" t="s">
        <v>185</v>
      </c>
      <c r="F146" s="21" t="s">
        <v>188</v>
      </c>
      <c r="G146" s="27">
        <v>92.3</v>
      </c>
      <c r="H146" s="127"/>
    </row>
    <row r="147" spans="1:8" ht="15.75" hidden="1">
      <c r="A147" s="24" t="s">
        <v>253</v>
      </c>
      <c r="B147" s="20">
        <v>902</v>
      </c>
      <c r="C147" s="25" t="s">
        <v>254</v>
      </c>
      <c r="D147" s="25"/>
      <c r="E147" s="25"/>
      <c r="F147" s="25"/>
      <c r="G147" s="22">
        <f>G148+G154</f>
        <v>0</v>
      </c>
      <c r="H147" s="202"/>
    </row>
    <row r="148" spans="1:8" ht="31.5" hidden="1">
      <c r="A148" s="24" t="s">
        <v>255</v>
      </c>
      <c r="B148" s="20">
        <v>902</v>
      </c>
      <c r="C148" s="25" t="s">
        <v>254</v>
      </c>
      <c r="D148" s="25" t="s">
        <v>256</v>
      </c>
      <c r="E148" s="25"/>
      <c r="F148" s="25"/>
      <c r="G148" s="22">
        <f>G149</f>
        <v>0</v>
      </c>
      <c r="H148" s="202"/>
    </row>
    <row r="149" spans="1:8" ht="15.75" hidden="1">
      <c r="A149" s="26" t="s">
        <v>162</v>
      </c>
      <c r="B149" s="17">
        <v>902</v>
      </c>
      <c r="C149" s="21" t="s">
        <v>254</v>
      </c>
      <c r="D149" s="21" t="s">
        <v>256</v>
      </c>
      <c r="E149" s="21" t="s">
        <v>163</v>
      </c>
      <c r="F149" s="21"/>
      <c r="G149" s="27">
        <f>G150</f>
        <v>0</v>
      </c>
      <c r="H149" s="202"/>
    </row>
    <row r="150" spans="1:8" ht="31.5" hidden="1">
      <c r="A150" s="26" t="s">
        <v>226</v>
      </c>
      <c r="B150" s="17">
        <v>902</v>
      </c>
      <c r="C150" s="21" t="s">
        <v>254</v>
      </c>
      <c r="D150" s="21" t="s">
        <v>256</v>
      </c>
      <c r="E150" s="21" t="s">
        <v>227</v>
      </c>
      <c r="F150" s="21"/>
      <c r="G150" s="27">
        <f>G151</f>
        <v>0</v>
      </c>
      <c r="H150" s="202"/>
    </row>
    <row r="151" spans="1:8" ht="47.25" hidden="1">
      <c r="A151" s="26" t="s">
        <v>257</v>
      </c>
      <c r="B151" s="17">
        <v>902</v>
      </c>
      <c r="C151" s="21" t="s">
        <v>254</v>
      </c>
      <c r="D151" s="21" t="s">
        <v>256</v>
      </c>
      <c r="E151" s="21" t="s">
        <v>258</v>
      </c>
      <c r="F151" s="21"/>
      <c r="G151" s="27">
        <f>G152</f>
        <v>0</v>
      </c>
      <c r="H151" s="202"/>
    </row>
    <row r="152" spans="1:8" ht="94.5" hidden="1">
      <c r="A152" s="26" t="s">
        <v>168</v>
      </c>
      <c r="B152" s="17">
        <v>902</v>
      </c>
      <c r="C152" s="21" t="s">
        <v>254</v>
      </c>
      <c r="D152" s="21" t="s">
        <v>256</v>
      </c>
      <c r="E152" s="21" t="s">
        <v>258</v>
      </c>
      <c r="F152" s="21" t="s">
        <v>169</v>
      </c>
      <c r="G152" s="27">
        <f>G153</f>
        <v>0</v>
      </c>
      <c r="H152" s="202"/>
    </row>
    <row r="153" spans="1:8" ht="31.5" hidden="1">
      <c r="A153" s="26" t="s">
        <v>170</v>
      </c>
      <c r="B153" s="17">
        <v>902</v>
      </c>
      <c r="C153" s="21" t="s">
        <v>254</v>
      </c>
      <c r="D153" s="21" t="s">
        <v>256</v>
      </c>
      <c r="E153" s="21" t="s">
        <v>258</v>
      </c>
      <c r="F153" s="21" t="s">
        <v>171</v>
      </c>
      <c r="G153" s="28"/>
      <c r="H153" s="202"/>
    </row>
    <row r="154" spans="1:8" ht="31.5" hidden="1">
      <c r="A154" s="24" t="s">
        <v>259</v>
      </c>
      <c r="B154" s="20">
        <v>902</v>
      </c>
      <c r="C154" s="25" t="s">
        <v>254</v>
      </c>
      <c r="D154" s="25" t="s">
        <v>260</v>
      </c>
      <c r="E154" s="25"/>
      <c r="F154" s="25"/>
      <c r="G154" s="27">
        <f>G155</f>
        <v>0</v>
      </c>
      <c r="H154" s="202"/>
    </row>
    <row r="155" spans="1:8" ht="15.75" hidden="1">
      <c r="A155" s="26" t="s">
        <v>162</v>
      </c>
      <c r="B155" s="17">
        <v>902</v>
      </c>
      <c r="C155" s="21" t="s">
        <v>254</v>
      </c>
      <c r="D155" s="21" t="s">
        <v>260</v>
      </c>
      <c r="E155" s="21" t="s">
        <v>163</v>
      </c>
      <c r="F155" s="21"/>
      <c r="G155" s="27">
        <f>G156</f>
        <v>0</v>
      </c>
      <c r="H155" s="202"/>
    </row>
    <row r="156" spans="1:8" ht="31.5" hidden="1">
      <c r="A156" s="26" t="s">
        <v>261</v>
      </c>
      <c r="B156" s="17">
        <v>902</v>
      </c>
      <c r="C156" s="21" t="s">
        <v>254</v>
      </c>
      <c r="D156" s="21" t="s">
        <v>260</v>
      </c>
      <c r="E156" s="21" t="s">
        <v>262</v>
      </c>
      <c r="F156" s="21"/>
      <c r="G156" s="27">
        <f>G157</f>
        <v>0</v>
      </c>
      <c r="H156" s="202"/>
    </row>
    <row r="157" spans="1:8" ht="47.25" hidden="1">
      <c r="A157" s="26" t="s">
        <v>239</v>
      </c>
      <c r="B157" s="17">
        <v>902</v>
      </c>
      <c r="C157" s="21" t="s">
        <v>254</v>
      </c>
      <c r="D157" s="21" t="s">
        <v>260</v>
      </c>
      <c r="E157" s="21" t="s">
        <v>262</v>
      </c>
      <c r="F157" s="21" t="s">
        <v>173</v>
      </c>
      <c r="G157" s="27">
        <f>G158</f>
        <v>0</v>
      </c>
      <c r="H157" s="202"/>
    </row>
    <row r="158" spans="1:8" ht="47.25" hidden="1">
      <c r="A158" s="26" t="s">
        <v>174</v>
      </c>
      <c r="B158" s="17">
        <v>902</v>
      </c>
      <c r="C158" s="21" t="s">
        <v>254</v>
      </c>
      <c r="D158" s="21" t="s">
        <v>260</v>
      </c>
      <c r="E158" s="21" t="s">
        <v>262</v>
      </c>
      <c r="F158" s="21" t="s">
        <v>175</v>
      </c>
      <c r="G158" s="27">
        <v>0</v>
      </c>
      <c r="H158" s="202"/>
    </row>
    <row r="159" spans="1:8" ht="31.5">
      <c r="A159" s="24" t="s">
        <v>263</v>
      </c>
      <c r="B159" s="20">
        <v>902</v>
      </c>
      <c r="C159" s="25" t="s">
        <v>256</v>
      </c>
      <c r="D159" s="25"/>
      <c r="E159" s="25"/>
      <c r="F159" s="25"/>
      <c r="G159" s="22">
        <f>G160</f>
        <v>7159.400000000001</v>
      </c>
      <c r="H159" s="202"/>
    </row>
    <row r="160" spans="1:8" ht="63">
      <c r="A160" s="24" t="s">
        <v>264</v>
      </c>
      <c r="B160" s="20">
        <v>902</v>
      </c>
      <c r="C160" s="25" t="s">
        <v>256</v>
      </c>
      <c r="D160" s="25" t="s">
        <v>260</v>
      </c>
      <c r="E160" s="21"/>
      <c r="F160" s="21"/>
      <c r="G160" s="22">
        <f>G161</f>
        <v>7159.400000000001</v>
      </c>
      <c r="H160" s="202"/>
    </row>
    <row r="161" spans="1:8" ht="15.75">
      <c r="A161" s="26" t="s">
        <v>162</v>
      </c>
      <c r="B161" s="17">
        <v>902</v>
      </c>
      <c r="C161" s="21" t="s">
        <v>256</v>
      </c>
      <c r="D161" s="21" t="s">
        <v>260</v>
      </c>
      <c r="E161" s="21" t="s">
        <v>163</v>
      </c>
      <c r="F161" s="21"/>
      <c r="G161" s="27">
        <f>G162</f>
        <v>7159.400000000001</v>
      </c>
      <c r="H161" s="202"/>
    </row>
    <row r="162" spans="1:8" ht="15.75">
      <c r="A162" s="26" t="s">
        <v>182</v>
      </c>
      <c r="B162" s="17">
        <v>902</v>
      </c>
      <c r="C162" s="21" t="s">
        <v>256</v>
      </c>
      <c r="D162" s="21" t="s">
        <v>260</v>
      </c>
      <c r="E162" s="21" t="s">
        <v>183</v>
      </c>
      <c r="F162" s="21"/>
      <c r="G162" s="27">
        <f>G163+G169+G174</f>
        <v>7159.400000000001</v>
      </c>
      <c r="H162" s="202"/>
    </row>
    <row r="163" spans="1:8" ht="47.25">
      <c r="A163" s="26" t="s">
        <v>265</v>
      </c>
      <c r="B163" s="17">
        <v>902</v>
      </c>
      <c r="C163" s="21" t="s">
        <v>256</v>
      </c>
      <c r="D163" s="21" t="s">
        <v>260</v>
      </c>
      <c r="E163" s="21" t="s">
        <v>266</v>
      </c>
      <c r="F163" s="21"/>
      <c r="G163" s="27">
        <f>G164</f>
        <v>2064.1</v>
      </c>
      <c r="H163" s="202"/>
    </row>
    <row r="164" spans="1:8" ht="47.25">
      <c r="A164" s="26" t="s">
        <v>239</v>
      </c>
      <c r="B164" s="17">
        <v>902</v>
      </c>
      <c r="C164" s="21" t="s">
        <v>256</v>
      </c>
      <c r="D164" s="21" t="s">
        <v>260</v>
      </c>
      <c r="E164" s="21" t="s">
        <v>266</v>
      </c>
      <c r="F164" s="21" t="s">
        <v>173</v>
      </c>
      <c r="G164" s="27">
        <f>G165</f>
        <v>2064.1</v>
      </c>
      <c r="H164" s="202"/>
    </row>
    <row r="165" spans="1:9" ht="47.25">
      <c r="A165" s="26" t="s">
        <v>174</v>
      </c>
      <c r="B165" s="17">
        <v>902</v>
      </c>
      <c r="C165" s="21" t="s">
        <v>256</v>
      </c>
      <c r="D165" s="21" t="s">
        <v>260</v>
      </c>
      <c r="E165" s="21" t="s">
        <v>266</v>
      </c>
      <c r="F165" s="21" t="s">
        <v>175</v>
      </c>
      <c r="G165" s="184">
        <f>1908.4+354-98.3-100</f>
        <v>2064.1</v>
      </c>
      <c r="H165" s="127" t="s">
        <v>794</v>
      </c>
      <c r="I165" s="148"/>
    </row>
    <row r="166" spans="1:8" ht="15.75" hidden="1">
      <c r="A166" s="26" t="s">
        <v>267</v>
      </c>
      <c r="B166" s="17">
        <v>902</v>
      </c>
      <c r="C166" s="21" t="s">
        <v>256</v>
      </c>
      <c r="D166" s="21" t="s">
        <v>260</v>
      </c>
      <c r="E166" s="21" t="s">
        <v>268</v>
      </c>
      <c r="F166" s="21"/>
      <c r="G166" s="27">
        <f>G167</f>
        <v>0</v>
      </c>
      <c r="H166" s="202"/>
    </row>
    <row r="167" spans="1:8" ht="47.25" hidden="1">
      <c r="A167" s="26" t="s">
        <v>239</v>
      </c>
      <c r="B167" s="17">
        <v>902</v>
      </c>
      <c r="C167" s="21" t="s">
        <v>256</v>
      </c>
      <c r="D167" s="21" t="s">
        <v>260</v>
      </c>
      <c r="E167" s="21" t="s">
        <v>268</v>
      </c>
      <c r="F167" s="21" t="s">
        <v>173</v>
      </c>
      <c r="G167" s="27">
        <f>G168</f>
        <v>0</v>
      </c>
      <c r="H167" s="202"/>
    </row>
    <row r="168" spans="1:8" ht="47.25" hidden="1">
      <c r="A168" s="26" t="s">
        <v>174</v>
      </c>
      <c r="B168" s="17">
        <v>902</v>
      </c>
      <c r="C168" s="21" t="s">
        <v>256</v>
      </c>
      <c r="D168" s="21" t="s">
        <v>260</v>
      </c>
      <c r="E168" s="21" t="s">
        <v>268</v>
      </c>
      <c r="F168" s="21" t="s">
        <v>175</v>
      </c>
      <c r="G168" s="27">
        <v>0</v>
      </c>
      <c r="H168" s="202"/>
    </row>
    <row r="169" spans="1:8" ht="31.5">
      <c r="A169" s="26" t="s">
        <v>269</v>
      </c>
      <c r="B169" s="17">
        <v>902</v>
      </c>
      <c r="C169" s="21" t="s">
        <v>256</v>
      </c>
      <c r="D169" s="21" t="s">
        <v>260</v>
      </c>
      <c r="E169" s="21" t="s">
        <v>270</v>
      </c>
      <c r="F169" s="21"/>
      <c r="G169" s="27">
        <f>G170+G172</f>
        <v>4997</v>
      </c>
      <c r="H169" s="202"/>
    </row>
    <row r="170" spans="1:8" ht="94.5">
      <c r="A170" s="26" t="s">
        <v>168</v>
      </c>
      <c r="B170" s="17">
        <v>902</v>
      </c>
      <c r="C170" s="21" t="s">
        <v>256</v>
      </c>
      <c r="D170" s="21" t="s">
        <v>260</v>
      </c>
      <c r="E170" s="21" t="s">
        <v>270</v>
      </c>
      <c r="F170" s="21" t="s">
        <v>169</v>
      </c>
      <c r="G170" s="27">
        <f>G171</f>
        <v>4692.3</v>
      </c>
      <c r="H170" s="202"/>
    </row>
    <row r="171" spans="1:8" ht="31.5">
      <c r="A171" s="26" t="s">
        <v>249</v>
      </c>
      <c r="B171" s="17">
        <v>902</v>
      </c>
      <c r="C171" s="21" t="s">
        <v>256</v>
      </c>
      <c r="D171" s="21" t="s">
        <v>260</v>
      </c>
      <c r="E171" s="21" t="s">
        <v>270</v>
      </c>
      <c r="F171" s="21" t="s">
        <v>250</v>
      </c>
      <c r="G171" s="28">
        <f>4586.3+106</f>
        <v>4692.3</v>
      </c>
      <c r="H171" s="202"/>
    </row>
    <row r="172" spans="1:8" ht="47.25">
      <c r="A172" s="26" t="s">
        <v>239</v>
      </c>
      <c r="B172" s="17">
        <v>902</v>
      </c>
      <c r="C172" s="21" t="s">
        <v>256</v>
      </c>
      <c r="D172" s="21" t="s">
        <v>260</v>
      </c>
      <c r="E172" s="21" t="s">
        <v>270</v>
      </c>
      <c r="F172" s="21" t="s">
        <v>173</v>
      </c>
      <c r="G172" s="27">
        <f>G173</f>
        <v>304.7</v>
      </c>
      <c r="H172" s="202"/>
    </row>
    <row r="173" spans="1:8" ht="47.25">
      <c r="A173" s="26" t="s">
        <v>174</v>
      </c>
      <c r="B173" s="17">
        <v>902</v>
      </c>
      <c r="C173" s="21" t="s">
        <v>256</v>
      </c>
      <c r="D173" s="21" t="s">
        <v>260</v>
      </c>
      <c r="E173" s="21" t="s">
        <v>270</v>
      </c>
      <c r="F173" s="21" t="s">
        <v>175</v>
      </c>
      <c r="G173" s="181">
        <f>204.7+100</f>
        <v>304.7</v>
      </c>
      <c r="H173" s="182" t="s">
        <v>795</v>
      </c>
    </row>
    <row r="174" spans="1:8" ht="15.75">
      <c r="A174" s="26" t="s">
        <v>271</v>
      </c>
      <c r="B174" s="17">
        <v>902</v>
      </c>
      <c r="C174" s="21" t="s">
        <v>256</v>
      </c>
      <c r="D174" s="21" t="s">
        <v>260</v>
      </c>
      <c r="E174" s="21" t="s">
        <v>272</v>
      </c>
      <c r="F174" s="21"/>
      <c r="G174" s="28">
        <f>G175</f>
        <v>98.3</v>
      </c>
      <c r="H174" s="202"/>
    </row>
    <row r="175" spans="1:8" ht="47.25">
      <c r="A175" s="26" t="s">
        <v>239</v>
      </c>
      <c r="B175" s="17">
        <v>902</v>
      </c>
      <c r="C175" s="21" t="s">
        <v>256</v>
      </c>
      <c r="D175" s="21" t="s">
        <v>260</v>
      </c>
      <c r="E175" s="21" t="s">
        <v>272</v>
      </c>
      <c r="F175" s="21" t="s">
        <v>173</v>
      </c>
      <c r="G175" s="28">
        <f>G176</f>
        <v>98.3</v>
      </c>
      <c r="H175" s="202"/>
    </row>
    <row r="176" spans="1:9" ht="47.25">
      <c r="A176" s="26" t="s">
        <v>174</v>
      </c>
      <c r="B176" s="17">
        <v>902</v>
      </c>
      <c r="C176" s="21" t="s">
        <v>256</v>
      </c>
      <c r="D176" s="21" t="s">
        <v>260</v>
      </c>
      <c r="E176" s="21" t="s">
        <v>272</v>
      </c>
      <c r="F176" s="21" t="s">
        <v>175</v>
      </c>
      <c r="G176" s="28">
        <v>98.3</v>
      </c>
      <c r="H176" s="127"/>
      <c r="I176" s="147"/>
    </row>
    <row r="177" spans="1:8" ht="15.75">
      <c r="A177" s="24" t="s">
        <v>273</v>
      </c>
      <c r="B177" s="20">
        <v>902</v>
      </c>
      <c r="C177" s="25" t="s">
        <v>191</v>
      </c>
      <c r="D177" s="25"/>
      <c r="E177" s="25"/>
      <c r="F177" s="21"/>
      <c r="G177" s="22">
        <f>G184+G178</f>
        <v>1821.3999999999999</v>
      </c>
      <c r="H177" s="202"/>
    </row>
    <row r="178" spans="1:8" ht="15.75">
      <c r="A178" s="24" t="s">
        <v>274</v>
      </c>
      <c r="B178" s="20">
        <v>902</v>
      </c>
      <c r="C178" s="25" t="s">
        <v>191</v>
      </c>
      <c r="D178" s="25" t="s">
        <v>275</v>
      </c>
      <c r="E178" s="25"/>
      <c r="F178" s="21"/>
      <c r="G178" s="22">
        <f>G179</f>
        <v>450</v>
      </c>
      <c r="H178" s="202"/>
    </row>
    <row r="179" spans="1:8" ht="15.75">
      <c r="A179" s="26" t="s">
        <v>162</v>
      </c>
      <c r="B179" s="17">
        <v>902</v>
      </c>
      <c r="C179" s="21" t="s">
        <v>191</v>
      </c>
      <c r="D179" s="21" t="s">
        <v>275</v>
      </c>
      <c r="E179" s="21" t="s">
        <v>163</v>
      </c>
      <c r="F179" s="21"/>
      <c r="G179" s="27">
        <f>G180</f>
        <v>450</v>
      </c>
      <c r="H179" s="202"/>
    </row>
    <row r="180" spans="1:8" ht="31.5">
      <c r="A180" s="26" t="s">
        <v>226</v>
      </c>
      <c r="B180" s="17">
        <v>902</v>
      </c>
      <c r="C180" s="21" t="s">
        <v>191</v>
      </c>
      <c r="D180" s="21" t="s">
        <v>275</v>
      </c>
      <c r="E180" s="21" t="s">
        <v>227</v>
      </c>
      <c r="F180" s="21"/>
      <c r="G180" s="27">
        <f>G181</f>
        <v>450</v>
      </c>
      <c r="H180" s="202"/>
    </row>
    <row r="181" spans="1:8" ht="31.5">
      <c r="A181" s="26" t="s">
        <v>276</v>
      </c>
      <c r="B181" s="17">
        <v>902</v>
      </c>
      <c r="C181" s="21" t="s">
        <v>191</v>
      </c>
      <c r="D181" s="21" t="s">
        <v>275</v>
      </c>
      <c r="E181" s="21" t="s">
        <v>277</v>
      </c>
      <c r="F181" s="21"/>
      <c r="G181" s="27">
        <f>G182</f>
        <v>450</v>
      </c>
      <c r="H181" s="202"/>
    </row>
    <row r="182" spans="1:8" ht="15.75">
      <c r="A182" s="26" t="s">
        <v>176</v>
      </c>
      <c r="B182" s="17">
        <v>902</v>
      </c>
      <c r="C182" s="21" t="s">
        <v>191</v>
      </c>
      <c r="D182" s="21" t="s">
        <v>275</v>
      </c>
      <c r="E182" s="21" t="s">
        <v>277</v>
      </c>
      <c r="F182" s="21" t="s">
        <v>186</v>
      </c>
      <c r="G182" s="27">
        <f>G183</f>
        <v>450</v>
      </c>
      <c r="H182" s="202"/>
    </row>
    <row r="183" spans="1:9" ht="63">
      <c r="A183" s="26" t="s">
        <v>225</v>
      </c>
      <c r="B183" s="17">
        <v>902</v>
      </c>
      <c r="C183" s="21" t="s">
        <v>191</v>
      </c>
      <c r="D183" s="21" t="s">
        <v>275</v>
      </c>
      <c r="E183" s="21" t="s">
        <v>277</v>
      </c>
      <c r="F183" s="21" t="s">
        <v>201</v>
      </c>
      <c r="G183" s="183">
        <f>310+140</f>
        <v>450</v>
      </c>
      <c r="H183" s="182" t="s">
        <v>793</v>
      </c>
      <c r="I183" s="136"/>
    </row>
    <row r="184" spans="1:8" ht="31.5">
      <c r="A184" s="24" t="s">
        <v>278</v>
      </c>
      <c r="B184" s="20">
        <v>902</v>
      </c>
      <c r="C184" s="25" t="s">
        <v>191</v>
      </c>
      <c r="D184" s="25" t="s">
        <v>279</v>
      </c>
      <c r="E184" s="25"/>
      <c r="F184" s="25"/>
      <c r="G184" s="22">
        <f>G185</f>
        <v>1371.3999999999999</v>
      </c>
      <c r="H184" s="202"/>
    </row>
    <row r="185" spans="1:8" ht="15.75">
      <c r="A185" s="26" t="s">
        <v>162</v>
      </c>
      <c r="B185" s="17">
        <v>902</v>
      </c>
      <c r="C185" s="21" t="s">
        <v>191</v>
      </c>
      <c r="D185" s="21" t="s">
        <v>279</v>
      </c>
      <c r="E185" s="21" t="s">
        <v>163</v>
      </c>
      <c r="F185" s="25"/>
      <c r="G185" s="27">
        <f>G186</f>
        <v>1371.3999999999999</v>
      </c>
      <c r="H185" s="202"/>
    </row>
    <row r="186" spans="1:8" ht="31.5">
      <c r="A186" s="26" t="s">
        <v>226</v>
      </c>
      <c r="B186" s="17">
        <v>902</v>
      </c>
      <c r="C186" s="21" t="s">
        <v>191</v>
      </c>
      <c r="D186" s="21" t="s">
        <v>279</v>
      </c>
      <c r="E186" s="21" t="s">
        <v>227</v>
      </c>
      <c r="F186" s="25"/>
      <c r="G186" s="27">
        <f>G190+G187</f>
        <v>1371.3999999999999</v>
      </c>
      <c r="H186" s="202"/>
    </row>
    <row r="187" spans="1:8" ht="31.5">
      <c r="A187" s="26" t="s">
        <v>280</v>
      </c>
      <c r="B187" s="17">
        <v>902</v>
      </c>
      <c r="C187" s="21" t="s">
        <v>191</v>
      </c>
      <c r="D187" s="21" t="s">
        <v>279</v>
      </c>
      <c r="E187" s="21" t="s">
        <v>281</v>
      </c>
      <c r="F187" s="25"/>
      <c r="G187" s="27">
        <f>G188</f>
        <v>90</v>
      </c>
      <c r="H187" s="202"/>
    </row>
    <row r="188" spans="1:8" ht="15.75">
      <c r="A188" s="26" t="s">
        <v>176</v>
      </c>
      <c r="B188" s="17">
        <v>902</v>
      </c>
      <c r="C188" s="21" t="s">
        <v>191</v>
      </c>
      <c r="D188" s="21" t="s">
        <v>279</v>
      </c>
      <c r="E188" s="21" t="s">
        <v>281</v>
      </c>
      <c r="F188" s="21" t="s">
        <v>186</v>
      </c>
      <c r="G188" s="27">
        <f>G189</f>
        <v>90</v>
      </c>
      <c r="H188" s="202"/>
    </row>
    <row r="189" spans="1:8" ht="63">
      <c r="A189" s="26" t="s">
        <v>225</v>
      </c>
      <c r="B189" s="17">
        <v>902</v>
      </c>
      <c r="C189" s="21" t="s">
        <v>191</v>
      </c>
      <c r="D189" s="21" t="s">
        <v>279</v>
      </c>
      <c r="E189" s="21" t="s">
        <v>281</v>
      </c>
      <c r="F189" s="21" t="s">
        <v>201</v>
      </c>
      <c r="G189" s="187">
        <v>90</v>
      </c>
      <c r="H189" s="182" t="s">
        <v>802</v>
      </c>
    </row>
    <row r="190" spans="1:8" ht="63">
      <c r="A190" s="33" t="s">
        <v>282</v>
      </c>
      <c r="B190" s="17">
        <v>902</v>
      </c>
      <c r="C190" s="21" t="s">
        <v>191</v>
      </c>
      <c r="D190" s="21" t="s">
        <v>279</v>
      </c>
      <c r="E190" s="21" t="s">
        <v>283</v>
      </c>
      <c r="F190" s="21"/>
      <c r="G190" s="27">
        <f>G191+G193</f>
        <v>1281.3999999999999</v>
      </c>
      <c r="H190" s="202"/>
    </row>
    <row r="191" spans="1:8" ht="94.5">
      <c r="A191" s="26" t="s">
        <v>168</v>
      </c>
      <c r="B191" s="17">
        <v>902</v>
      </c>
      <c r="C191" s="21" t="s">
        <v>191</v>
      </c>
      <c r="D191" s="21" t="s">
        <v>279</v>
      </c>
      <c r="E191" s="21" t="s">
        <v>283</v>
      </c>
      <c r="F191" s="21" t="s">
        <v>169</v>
      </c>
      <c r="G191" s="27">
        <f>G192</f>
        <v>1116.3999999999999</v>
      </c>
      <c r="H191" s="202"/>
    </row>
    <row r="192" spans="1:9" ht="31.5">
      <c r="A192" s="26" t="s">
        <v>170</v>
      </c>
      <c r="B192" s="17">
        <v>902</v>
      </c>
      <c r="C192" s="21" t="s">
        <v>191</v>
      </c>
      <c r="D192" s="21" t="s">
        <v>279</v>
      </c>
      <c r="E192" s="21" t="s">
        <v>283</v>
      </c>
      <c r="F192" s="21" t="s">
        <v>171</v>
      </c>
      <c r="G192" s="27">
        <f>1302-123.4-62.2</f>
        <v>1116.3999999999999</v>
      </c>
      <c r="H192" s="202"/>
      <c r="I192" s="136"/>
    </row>
    <row r="193" spans="1:8" ht="31.5">
      <c r="A193" s="26" t="s">
        <v>172</v>
      </c>
      <c r="B193" s="17">
        <v>902</v>
      </c>
      <c r="C193" s="21" t="s">
        <v>191</v>
      </c>
      <c r="D193" s="21" t="s">
        <v>279</v>
      </c>
      <c r="E193" s="21" t="s">
        <v>283</v>
      </c>
      <c r="F193" s="21" t="s">
        <v>173</v>
      </c>
      <c r="G193" s="27">
        <f>G194</f>
        <v>165</v>
      </c>
      <c r="H193" s="202"/>
    </row>
    <row r="194" spans="1:8" ht="47.25">
      <c r="A194" s="26" t="s">
        <v>174</v>
      </c>
      <c r="B194" s="17">
        <v>902</v>
      </c>
      <c r="C194" s="21" t="s">
        <v>191</v>
      </c>
      <c r="D194" s="21" t="s">
        <v>279</v>
      </c>
      <c r="E194" s="21" t="s">
        <v>283</v>
      </c>
      <c r="F194" s="21" t="s">
        <v>175</v>
      </c>
      <c r="G194" s="27">
        <f>102.8+62.2</f>
        <v>165</v>
      </c>
      <c r="H194" s="202"/>
    </row>
    <row r="195" spans="1:8" ht="16.5" customHeight="1">
      <c r="A195" s="24" t="s">
        <v>284</v>
      </c>
      <c r="B195" s="20">
        <v>902</v>
      </c>
      <c r="C195" s="25" t="s">
        <v>285</v>
      </c>
      <c r="D195" s="25"/>
      <c r="E195" s="25"/>
      <c r="F195" s="25"/>
      <c r="G195" s="22">
        <f>G196+G202+G212</f>
        <v>12224.9</v>
      </c>
      <c r="H195" s="202"/>
    </row>
    <row r="196" spans="1:8" ht="15.75">
      <c r="A196" s="24" t="s">
        <v>286</v>
      </c>
      <c r="B196" s="20">
        <v>902</v>
      </c>
      <c r="C196" s="25" t="s">
        <v>285</v>
      </c>
      <c r="D196" s="25" t="s">
        <v>159</v>
      </c>
      <c r="E196" s="25"/>
      <c r="F196" s="25"/>
      <c r="G196" s="22">
        <f>G197</f>
        <v>9066.4</v>
      </c>
      <c r="H196" s="202"/>
    </row>
    <row r="197" spans="1:8" ht="15.75">
      <c r="A197" s="26" t="s">
        <v>162</v>
      </c>
      <c r="B197" s="17">
        <v>902</v>
      </c>
      <c r="C197" s="21" t="s">
        <v>285</v>
      </c>
      <c r="D197" s="21" t="s">
        <v>159</v>
      </c>
      <c r="E197" s="21" t="s">
        <v>163</v>
      </c>
      <c r="F197" s="21"/>
      <c r="G197" s="27">
        <f>G198</f>
        <v>9066.4</v>
      </c>
      <c r="H197" s="202"/>
    </row>
    <row r="198" spans="1:8" ht="15.75">
      <c r="A198" s="26" t="s">
        <v>182</v>
      </c>
      <c r="B198" s="17">
        <v>902</v>
      </c>
      <c r="C198" s="21" t="s">
        <v>285</v>
      </c>
      <c r="D198" s="21" t="s">
        <v>159</v>
      </c>
      <c r="E198" s="21" t="s">
        <v>183</v>
      </c>
      <c r="F198" s="21"/>
      <c r="G198" s="27">
        <f>G199</f>
        <v>9066.4</v>
      </c>
      <c r="H198" s="202"/>
    </row>
    <row r="199" spans="1:8" ht="15.75">
      <c r="A199" s="26" t="s">
        <v>287</v>
      </c>
      <c r="B199" s="17">
        <v>902</v>
      </c>
      <c r="C199" s="21" t="s">
        <v>285</v>
      </c>
      <c r="D199" s="21" t="s">
        <v>159</v>
      </c>
      <c r="E199" s="21" t="s">
        <v>288</v>
      </c>
      <c r="F199" s="21"/>
      <c r="G199" s="27">
        <f>G200</f>
        <v>9066.4</v>
      </c>
      <c r="H199" s="202"/>
    </row>
    <row r="200" spans="1:8" ht="31.5">
      <c r="A200" s="26" t="s">
        <v>289</v>
      </c>
      <c r="B200" s="17">
        <v>902</v>
      </c>
      <c r="C200" s="21" t="s">
        <v>285</v>
      </c>
      <c r="D200" s="21" t="s">
        <v>159</v>
      </c>
      <c r="E200" s="21" t="s">
        <v>288</v>
      </c>
      <c r="F200" s="21" t="s">
        <v>290</v>
      </c>
      <c r="G200" s="27">
        <f>G201</f>
        <v>9066.4</v>
      </c>
      <c r="H200" s="202"/>
    </row>
    <row r="201" spans="1:8" ht="31.5">
      <c r="A201" s="26" t="s">
        <v>291</v>
      </c>
      <c r="B201" s="17">
        <v>902</v>
      </c>
      <c r="C201" s="21" t="s">
        <v>285</v>
      </c>
      <c r="D201" s="21" t="s">
        <v>159</v>
      </c>
      <c r="E201" s="21" t="s">
        <v>288</v>
      </c>
      <c r="F201" s="21" t="s">
        <v>292</v>
      </c>
      <c r="G201" s="28">
        <v>9066.4</v>
      </c>
      <c r="H201" s="202"/>
    </row>
    <row r="202" spans="1:8" ht="15.75">
      <c r="A202" s="24" t="s">
        <v>293</v>
      </c>
      <c r="B202" s="20">
        <v>902</v>
      </c>
      <c r="C202" s="25" t="s">
        <v>285</v>
      </c>
      <c r="D202" s="25" t="s">
        <v>256</v>
      </c>
      <c r="E202" s="21"/>
      <c r="F202" s="21"/>
      <c r="G202" s="22">
        <f>G203+G207</f>
        <v>10</v>
      </c>
      <c r="H202" s="202"/>
    </row>
    <row r="203" spans="1:8" ht="78.75">
      <c r="A203" s="26" t="s">
        <v>294</v>
      </c>
      <c r="B203" s="17">
        <v>902</v>
      </c>
      <c r="C203" s="21" t="s">
        <v>285</v>
      </c>
      <c r="D203" s="21" t="s">
        <v>256</v>
      </c>
      <c r="E203" s="21" t="s">
        <v>295</v>
      </c>
      <c r="F203" s="21"/>
      <c r="G203" s="27">
        <f>G204</f>
        <v>10</v>
      </c>
      <c r="H203" s="202"/>
    </row>
    <row r="204" spans="1:8" ht="31.5">
      <c r="A204" s="26" t="s">
        <v>198</v>
      </c>
      <c r="B204" s="17">
        <v>902</v>
      </c>
      <c r="C204" s="21" t="s">
        <v>285</v>
      </c>
      <c r="D204" s="21" t="s">
        <v>256</v>
      </c>
      <c r="E204" s="21" t="s">
        <v>296</v>
      </c>
      <c r="F204" s="21"/>
      <c r="G204" s="27">
        <f>G205</f>
        <v>10</v>
      </c>
      <c r="H204" s="202"/>
    </row>
    <row r="205" spans="1:8" ht="31.5">
      <c r="A205" s="26" t="s">
        <v>289</v>
      </c>
      <c r="B205" s="17">
        <v>902</v>
      </c>
      <c r="C205" s="21" t="s">
        <v>285</v>
      </c>
      <c r="D205" s="21" t="s">
        <v>256</v>
      </c>
      <c r="E205" s="21" t="s">
        <v>296</v>
      </c>
      <c r="F205" s="21" t="s">
        <v>290</v>
      </c>
      <c r="G205" s="27">
        <f>G206</f>
        <v>10</v>
      </c>
      <c r="H205" s="202"/>
    </row>
    <row r="206" spans="1:8" ht="31.5">
      <c r="A206" s="26" t="s">
        <v>291</v>
      </c>
      <c r="B206" s="17">
        <v>902</v>
      </c>
      <c r="C206" s="21" t="s">
        <v>285</v>
      </c>
      <c r="D206" s="21" t="s">
        <v>256</v>
      </c>
      <c r="E206" s="21" t="s">
        <v>296</v>
      </c>
      <c r="F206" s="21" t="s">
        <v>292</v>
      </c>
      <c r="G206" s="27">
        <v>10</v>
      </c>
      <c r="H206" s="202"/>
    </row>
    <row r="207" spans="1:8" ht="15.75" hidden="1">
      <c r="A207" s="26" t="s">
        <v>162</v>
      </c>
      <c r="B207" s="17">
        <v>902</v>
      </c>
      <c r="C207" s="21" t="s">
        <v>285</v>
      </c>
      <c r="D207" s="21" t="s">
        <v>256</v>
      </c>
      <c r="E207" s="21" t="s">
        <v>163</v>
      </c>
      <c r="F207" s="21"/>
      <c r="G207" s="27">
        <f>G208</f>
        <v>0</v>
      </c>
      <c r="H207" s="202"/>
    </row>
    <row r="208" spans="1:8" ht="31.5" hidden="1">
      <c r="A208" s="26" t="s">
        <v>226</v>
      </c>
      <c r="B208" s="17">
        <v>902</v>
      </c>
      <c r="C208" s="21" t="s">
        <v>285</v>
      </c>
      <c r="D208" s="21" t="s">
        <v>256</v>
      </c>
      <c r="E208" s="21" t="s">
        <v>227</v>
      </c>
      <c r="F208" s="21"/>
      <c r="G208" s="27">
        <f>G209</f>
        <v>0</v>
      </c>
      <c r="H208" s="202"/>
    </row>
    <row r="209" spans="1:8" ht="47.25" hidden="1">
      <c r="A209" s="33" t="s">
        <v>297</v>
      </c>
      <c r="B209" s="17">
        <v>902</v>
      </c>
      <c r="C209" s="21" t="s">
        <v>285</v>
      </c>
      <c r="D209" s="21" t="s">
        <v>256</v>
      </c>
      <c r="E209" s="21" t="s">
        <v>298</v>
      </c>
      <c r="F209" s="21"/>
      <c r="G209" s="27">
        <f>G210</f>
        <v>0</v>
      </c>
      <c r="H209" s="202"/>
    </row>
    <row r="210" spans="1:8" ht="31.5" hidden="1">
      <c r="A210" s="26" t="s">
        <v>289</v>
      </c>
      <c r="B210" s="17">
        <v>902</v>
      </c>
      <c r="C210" s="21" t="s">
        <v>285</v>
      </c>
      <c r="D210" s="21" t="s">
        <v>256</v>
      </c>
      <c r="E210" s="21" t="s">
        <v>298</v>
      </c>
      <c r="F210" s="21" t="s">
        <v>290</v>
      </c>
      <c r="G210" s="27">
        <f>G211</f>
        <v>0</v>
      </c>
      <c r="H210" s="202"/>
    </row>
    <row r="211" spans="1:9" ht="31.5" hidden="1">
      <c r="A211" s="26" t="s">
        <v>291</v>
      </c>
      <c r="B211" s="17">
        <v>902</v>
      </c>
      <c r="C211" s="21" t="s">
        <v>285</v>
      </c>
      <c r="D211" s="21" t="s">
        <v>256</v>
      </c>
      <c r="E211" s="21" t="s">
        <v>298</v>
      </c>
      <c r="F211" s="21" t="s">
        <v>292</v>
      </c>
      <c r="G211" s="27">
        <f>6250-6250</f>
        <v>0</v>
      </c>
      <c r="H211" s="127"/>
      <c r="I211" s="136"/>
    </row>
    <row r="212" spans="1:8" ht="31.5">
      <c r="A212" s="24" t="s">
        <v>299</v>
      </c>
      <c r="B212" s="20">
        <v>902</v>
      </c>
      <c r="C212" s="25" t="s">
        <v>285</v>
      </c>
      <c r="D212" s="25" t="s">
        <v>161</v>
      </c>
      <c r="E212" s="25"/>
      <c r="F212" s="25"/>
      <c r="G212" s="22">
        <f>G213</f>
        <v>3148.5000000000005</v>
      </c>
      <c r="H212" s="202"/>
    </row>
    <row r="213" spans="1:8" ht="15.75">
      <c r="A213" s="26" t="s">
        <v>162</v>
      </c>
      <c r="B213" s="17">
        <v>902</v>
      </c>
      <c r="C213" s="21" t="s">
        <v>285</v>
      </c>
      <c r="D213" s="21" t="s">
        <v>161</v>
      </c>
      <c r="E213" s="21" t="s">
        <v>163</v>
      </c>
      <c r="F213" s="25"/>
      <c r="G213" s="27">
        <f>G214</f>
        <v>3148.5000000000005</v>
      </c>
      <c r="H213" s="202"/>
    </row>
    <row r="214" spans="1:8" ht="31.5">
      <c r="A214" s="26" t="s">
        <v>226</v>
      </c>
      <c r="B214" s="17">
        <v>902</v>
      </c>
      <c r="C214" s="21" t="s">
        <v>285</v>
      </c>
      <c r="D214" s="21" t="s">
        <v>161</v>
      </c>
      <c r="E214" s="21" t="s">
        <v>227</v>
      </c>
      <c r="F214" s="21"/>
      <c r="G214" s="27">
        <f>G215</f>
        <v>3148.5000000000005</v>
      </c>
      <c r="H214" s="202"/>
    </row>
    <row r="215" spans="1:8" ht="47.25">
      <c r="A215" s="33" t="s">
        <v>300</v>
      </c>
      <c r="B215" s="17">
        <v>902</v>
      </c>
      <c r="C215" s="21" t="s">
        <v>285</v>
      </c>
      <c r="D215" s="21" t="s">
        <v>161</v>
      </c>
      <c r="E215" s="21" t="s">
        <v>301</v>
      </c>
      <c r="F215" s="21"/>
      <c r="G215" s="27">
        <f>G216+G218</f>
        <v>3148.5000000000005</v>
      </c>
      <c r="H215" s="202"/>
    </row>
    <row r="216" spans="1:8" ht="94.5">
      <c r="A216" s="26" t="s">
        <v>168</v>
      </c>
      <c r="B216" s="17">
        <v>902</v>
      </c>
      <c r="C216" s="21" t="s">
        <v>285</v>
      </c>
      <c r="D216" s="21" t="s">
        <v>161</v>
      </c>
      <c r="E216" s="21" t="s">
        <v>301</v>
      </c>
      <c r="F216" s="21" t="s">
        <v>169</v>
      </c>
      <c r="G216" s="27">
        <f>G217</f>
        <v>2884.1000000000004</v>
      </c>
      <c r="H216" s="202"/>
    </row>
    <row r="217" spans="1:8" ht="31.5">
      <c r="A217" s="26" t="s">
        <v>170</v>
      </c>
      <c r="B217" s="17">
        <v>902</v>
      </c>
      <c r="C217" s="21" t="s">
        <v>285</v>
      </c>
      <c r="D217" s="21" t="s">
        <v>161</v>
      </c>
      <c r="E217" s="21" t="s">
        <v>301</v>
      </c>
      <c r="F217" s="21" t="s">
        <v>171</v>
      </c>
      <c r="G217" s="28">
        <f>2826.8+14.8+42.5</f>
        <v>2884.1000000000004</v>
      </c>
      <c r="H217" s="127"/>
    </row>
    <row r="218" spans="1:8" ht="31.5">
      <c r="A218" s="26" t="s">
        <v>172</v>
      </c>
      <c r="B218" s="17">
        <v>902</v>
      </c>
      <c r="C218" s="21" t="s">
        <v>285</v>
      </c>
      <c r="D218" s="21" t="s">
        <v>161</v>
      </c>
      <c r="E218" s="21" t="s">
        <v>301</v>
      </c>
      <c r="F218" s="21" t="s">
        <v>173</v>
      </c>
      <c r="G218" s="27">
        <f>G219</f>
        <v>264.4</v>
      </c>
      <c r="H218" s="202"/>
    </row>
    <row r="219" spans="1:9" ht="47.25">
      <c r="A219" s="26" t="s">
        <v>174</v>
      </c>
      <c r="B219" s="17">
        <v>902</v>
      </c>
      <c r="C219" s="21" t="s">
        <v>285</v>
      </c>
      <c r="D219" s="21" t="s">
        <v>161</v>
      </c>
      <c r="E219" s="21" t="s">
        <v>301</v>
      </c>
      <c r="F219" s="21" t="s">
        <v>175</v>
      </c>
      <c r="G219" s="28">
        <f>433.9-112.2-14.8-42.5</f>
        <v>264.4</v>
      </c>
      <c r="H219" s="127"/>
      <c r="I219" s="136"/>
    </row>
    <row r="220" spans="1:12" ht="47.25">
      <c r="A220" s="20" t="s">
        <v>302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2"/>
      <c r="L220" s="137"/>
    </row>
    <row r="221" spans="1:8" ht="15.75" hidden="1">
      <c r="A221" s="24" t="s">
        <v>158</v>
      </c>
      <c r="B221" s="20">
        <v>903</v>
      </c>
      <c r="C221" s="25" t="s">
        <v>159</v>
      </c>
      <c r="D221" s="25"/>
      <c r="E221" s="25"/>
      <c r="F221" s="25"/>
      <c r="G221" s="22">
        <f aca="true" t="shared" si="0" ref="G221:G226">G222</f>
        <v>0</v>
      </c>
      <c r="H221" s="202"/>
    </row>
    <row r="222" spans="1:8" ht="15.75" hidden="1">
      <c r="A222" s="36" t="s">
        <v>180</v>
      </c>
      <c r="B222" s="20">
        <v>903</v>
      </c>
      <c r="C222" s="25" t="s">
        <v>159</v>
      </c>
      <c r="D222" s="25" t="s">
        <v>181</v>
      </c>
      <c r="E222" s="25"/>
      <c r="F222" s="25"/>
      <c r="G222" s="22">
        <f t="shared" si="0"/>
        <v>0</v>
      </c>
      <c r="H222" s="202"/>
    </row>
    <row r="223" spans="1:8" ht="15.75" hidden="1">
      <c r="A223" s="33" t="s">
        <v>162</v>
      </c>
      <c r="B223" s="17">
        <v>903</v>
      </c>
      <c r="C223" s="21" t="s">
        <v>159</v>
      </c>
      <c r="D223" s="21" t="s">
        <v>181</v>
      </c>
      <c r="E223" s="21" t="s">
        <v>163</v>
      </c>
      <c r="F223" s="21"/>
      <c r="G223" s="27">
        <f t="shared" si="0"/>
        <v>0</v>
      </c>
      <c r="H223" s="202"/>
    </row>
    <row r="224" spans="1:8" ht="15.75" hidden="1">
      <c r="A224" s="33" t="s">
        <v>182</v>
      </c>
      <c r="B224" s="17">
        <v>903</v>
      </c>
      <c r="C224" s="21" t="s">
        <v>159</v>
      </c>
      <c r="D224" s="21" t="s">
        <v>181</v>
      </c>
      <c r="E224" s="21" t="s">
        <v>183</v>
      </c>
      <c r="F224" s="21"/>
      <c r="G224" s="27">
        <f t="shared" si="0"/>
        <v>0</v>
      </c>
      <c r="H224" s="202"/>
    </row>
    <row r="225" spans="1:8" ht="15.75" hidden="1">
      <c r="A225" s="26" t="s">
        <v>220</v>
      </c>
      <c r="B225" s="17">
        <v>903</v>
      </c>
      <c r="C225" s="21" t="s">
        <v>159</v>
      </c>
      <c r="D225" s="21" t="s">
        <v>181</v>
      </c>
      <c r="E225" s="21" t="s">
        <v>303</v>
      </c>
      <c r="F225" s="21"/>
      <c r="G225" s="27">
        <f t="shared" si="0"/>
        <v>0</v>
      </c>
      <c r="H225" s="202"/>
    </row>
    <row r="226" spans="1:8" ht="31.5" hidden="1">
      <c r="A226" s="26" t="s">
        <v>172</v>
      </c>
      <c r="B226" s="17">
        <v>903</v>
      </c>
      <c r="C226" s="21" t="s">
        <v>159</v>
      </c>
      <c r="D226" s="21" t="s">
        <v>181</v>
      </c>
      <c r="E226" s="21" t="s">
        <v>303</v>
      </c>
      <c r="F226" s="21" t="s">
        <v>173</v>
      </c>
      <c r="G226" s="27">
        <f t="shared" si="0"/>
        <v>0</v>
      </c>
      <c r="H226" s="202"/>
    </row>
    <row r="227" spans="1:8" ht="47.25" hidden="1">
      <c r="A227" s="26" t="s">
        <v>174</v>
      </c>
      <c r="B227" s="17">
        <v>903</v>
      </c>
      <c r="C227" s="21" t="s">
        <v>159</v>
      </c>
      <c r="D227" s="21" t="s">
        <v>181</v>
      </c>
      <c r="E227" s="21" t="s">
        <v>303</v>
      </c>
      <c r="F227" s="21" t="s">
        <v>175</v>
      </c>
      <c r="G227" s="27"/>
      <c r="H227" s="202"/>
    </row>
    <row r="228" spans="1:8" ht="15.75">
      <c r="A228" s="24" t="s">
        <v>158</v>
      </c>
      <c r="B228" s="20">
        <v>903</v>
      </c>
      <c r="C228" s="25" t="s">
        <v>159</v>
      </c>
      <c r="D228" s="21"/>
      <c r="E228" s="21"/>
      <c r="F228" s="21"/>
      <c r="G228" s="27">
        <f aca="true" t="shared" si="1" ref="G228:G233">G229</f>
        <v>88.7</v>
      </c>
      <c r="H228" s="202"/>
    </row>
    <row r="229" spans="1:8" ht="15.75">
      <c r="A229" s="24" t="s">
        <v>180</v>
      </c>
      <c r="B229" s="20">
        <v>903</v>
      </c>
      <c r="C229" s="25" t="s">
        <v>159</v>
      </c>
      <c r="D229" s="25" t="s">
        <v>181</v>
      </c>
      <c r="E229" s="21"/>
      <c r="F229" s="21"/>
      <c r="G229" s="27">
        <f t="shared" si="1"/>
        <v>88.7</v>
      </c>
      <c r="H229" s="202"/>
    </row>
    <row r="230" spans="1:8" ht="15.75">
      <c r="A230" s="26" t="s">
        <v>162</v>
      </c>
      <c r="B230" s="17">
        <v>903</v>
      </c>
      <c r="C230" s="21" t="s">
        <v>159</v>
      </c>
      <c r="D230" s="21" t="s">
        <v>181</v>
      </c>
      <c r="E230" s="21" t="s">
        <v>163</v>
      </c>
      <c r="F230" s="21"/>
      <c r="G230" s="27">
        <f t="shared" si="1"/>
        <v>88.7</v>
      </c>
      <c r="H230" s="202"/>
    </row>
    <row r="231" spans="1:8" ht="31.5">
      <c r="A231" s="26" t="s">
        <v>226</v>
      </c>
      <c r="B231" s="17">
        <v>903</v>
      </c>
      <c r="C231" s="21" t="s">
        <v>159</v>
      </c>
      <c r="D231" s="21" t="s">
        <v>181</v>
      </c>
      <c r="E231" s="21" t="s">
        <v>227</v>
      </c>
      <c r="F231" s="21"/>
      <c r="G231" s="27">
        <f t="shared" si="1"/>
        <v>88.7</v>
      </c>
      <c r="H231" s="202"/>
    </row>
    <row r="232" spans="1:8" ht="47.25">
      <c r="A232" s="37" t="s">
        <v>810</v>
      </c>
      <c r="B232" s="17">
        <v>903</v>
      </c>
      <c r="C232" s="21" t="s">
        <v>159</v>
      </c>
      <c r="D232" s="21" t="s">
        <v>181</v>
      </c>
      <c r="E232" s="21" t="s">
        <v>809</v>
      </c>
      <c r="F232" s="25"/>
      <c r="G232" s="27">
        <f t="shared" si="1"/>
        <v>88.7</v>
      </c>
      <c r="H232" s="202"/>
    </row>
    <row r="233" spans="1:8" ht="31.5">
      <c r="A233" s="26" t="s">
        <v>172</v>
      </c>
      <c r="B233" s="17">
        <v>903</v>
      </c>
      <c r="C233" s="21" t="s">
        <v>159</v>
      </c>
      <c r="D233" s="21" t="s">
        <v>181</v>
      </c>
      <c r="E233" s="21" t="s">
        <v>809</v>
      </c>
      <c r="F233" s="21" t="s">
        <v>173</v>
      </c>
      <c r="G233" s="27">
        <f t="shared" si="1"/>
        <v>88.7</v>
      </c>
      <c r="H233" s="202"/>
    </row>
    <row r="234" spans="1:8" ht="53.25" customHeight="1">
      <c r="A234" s="26" t="s">
        <v>174</v>
      </c>
      <c r="B234" s="17">
        <v>903</v>
      </c>
      <c r="C234" s="21" t="s">
        <v>159</v>
      </c>
      <c r="D234" s="21" t="s">
        <v>181</v>
      </c>
      <c r="E234" s="21" t="s">
        <v>809</v>
      </c>
      <c r="F234" s="21" t="s">
        <v>175</v>
      </c>
      <c r="G234" s="187">
        <v>88.7</v>
      </c>
      <c r="H234" s="182" t="s">
        <v>804</v>
      </c>
    </row>
    <row r="235" spans="1:8" ht="15.75">
      <c r="A235" s="24" t="s">
        <v>304</v>
      </c>
      <c r="B235" s="20">
        <v>903</v>
      </c>
      <c r="C235" s="25" t="s">
        <v>305</v>
      </c>
      <c r="D235" s="21"/>
      <c r="E235" s="21"/>
      <c r="F235" s="21"/>
      <c r="G235" s="22">
        <f>G236+G271</f>
        <v>17482.699999999997</v>
      </c>
      <c r="H235" s="202"/>
    </row>
    <row r="236" spans="1:8" ht="15.75">
      <c r="A236" s="24" t="s">
        <v>306</v>
      </c>
      <c r="B236" s="20">
        <v>903</v>
      </c>
      <c r="C236" s="25" t="s">
        <v>305</v>
      </c>
      <c r="D236" s="25" t="s">
        <v>256</v>
      </c>
      <c r="E236" s="25"/>
      <c r="F236" s="25"/>
      <c r="G236" s="22">
        <f>G237+G260</f>
        <v>17482.699999999997</v>
      </c>
      <c r="H236" s="202"/>
    </row>
    <row r="237" spans="1:8" ht="47.25">
      <c r="A237" s="26" t="s">
        <v>307</v>
      </c>
      <c r="B237" s="17">
        <v>903</v>
      </c>
      <c r="C237" s="21" t="s">
        <v>305</v>
      </c>
      <c r="D237" s="21" t="s">
        <v>256</v>
      </c>
      <c r="E237" s="21" t="s">
        <v>308</v>
      </c>
      <c r="F237" s="21"/>
      <c r="G237" s="27">
        <f>G238</f>
        <v>16445.6</v>
      </c>
      <c r="H237" s="202"/>
    </row>
    <row r="238" spans="1:8" ht="63">
      <c r="A238" s="26" t="s">
        <v>309</v>
      </c>
      <c r="B238" s="17">
        <v>903</v>
      </c>
      <c r="C238" s="21" t="s">
        <v>305</v>
      </c>
      <c r="D238" s="21" t="s">
        <v>256</v>
      </c>
      <c r="E238" s="21" t="s">
        <v>310</v>
      </c>
      <c r="F238" s="21"/>
      <c r="G238" s="27">
        <f>G239+G251</f>
        <v>16445.6</v>
      </c>
      <c r="H238" s="202"/>
    </row>
    <row r="239" spans="1:8" ht="47.25">
      <c r="A239" s="26" t="s">
        <v>311</v>
      </c>
      <c r="B239" s="17">
        <v>903</v>
      </c>
      <c r="C239" s="21" t="s">
        <v>305</v>
      </c>
      <c r="D239" s="21" t="s">
        <v>256</v>
      </c>
      <c r="E239" s="21" t="s">
        <v>312</v>
      </c>
      <c r="F239" s="21"/>
      <c r="G239" s="27">
        <f>G240</f>
        <v>16395.6</v>
      </c>
      <c r="H239" s="202"/>
    </row>
    <row r="240" spans="1:8" ht="47.25">
      <c r="A240" s="26" t="s">
        <v>313</v>
      </c>
      <c r="B240" s="17">
        <v>903</v>
      </c>
      <c r="C240" s="21" t="s">
        <v>305</v>
      </c>
      <c r="D240" s="21" t="s">
        <v>256</v>
      </c>
      <c r="E240" s="21" t="s">
        <v>312</v>
      </c>
      <c r="F240" s="21" t="s">
        <v>314</v>
      </c>
      <c r="G240" s="27">
        <f>G241</f>
        <v>16395.6</v>
      </c>
      <c r="H240" s="202"/>
    </row>
    <row r="241" spans="1:9" ht="15.75">
      <c r="A241" s="26" t="s">
        <v>315</v>
      </c>
      <c r="B241" s="17">
        <v>903</v>
      </c>
      <c r="C241" s="21" t="s">
        <v>305</v>
      </c>
      <c r="D241" s="21" t="s">
        <v>256</v>
      </c>
      <c r="E241" s="21" t="s">
        <v>312</v>
      </c>
      <c r="F241" s="21" t="s">
        <v>316</v>
      </c>
      <c r="G241" s="28">
        <f>15572+756.3+67.3</f>
        <v>16395.6</v>
      </c>
      <c r="H241" s="127"/>
      <c r="I241" s="148"/>
    </row>
    <row r="242" spans="1:8" ht="47.25" hidden="1">
      <c r="A242" s="26" t="s">
        <v>317</v>
      </c>
      <c r="B242" s="17">
        <v>903</v>
      </c>
      <c r="C242" s="21" t="s">
        <v>305</v>
      </c>
      <c r="D242" s="21" t="s">
        <v>256</v>
      </c>
      <c r="E242" s="21" t="s">
        <v>318</v>
      </c>
      <c r="F242" s="21"/>
      <c r="G242" s="27">
        <f>G243</f>
        <v>0</v>
      </c>
      <c r="H242" s="202"/>
    </row>
    <row r="243" spans="1:8" ht="47.25" hidden="1">
      <c r="A243" s="26" t="s">
        <v>313</v>
      </c>
      <c r="B243" s="17">
        <v>903</v>
      </c>
      <c r="C243" s="21" t="s">
        <v>305</v>
      </c>
      <c r="D243" s="21" t="s">
        <v>256</v>
      </c>
      <c r="E243" s="21" t="s">
        <v>318</v>
      </c>
      <c r="F243" s="21" t="s">
        <v>314</v>
      </c>
      <c r="G243" s="27">
        <f>G244</f>
        <v>0</v>
      </c>
      <c r="H243" s="202"/>
    </row>
    <row r="244" spans="1:8" ht="15.75" hidden="1">
      <c r="A244" s="26" t="s">
        <v>315</v>
      </c>
      <c r="B244" s="17">
        <v>903</v>
      </c>
      <c r="C244" s="21" t="s">
        <v>305</v>
      </c>
      <c r="D244" s="21" t="s">
        <v>256</v>
      </c>
      <c r="E244" s="21" t="s">
        <v>318</v>
      </c>
      <c r="F244" s="21" t="s">
        <v>316</v>
      </c>
      <c r="G244" s="27">
        <v>0</v>
      </c>
      <c r="H244" s="202"/>
    </row>
    <row r="245" spans="1:8" ht="47.25" hidden="1">
      <c r="A245" s="26" t="s">
        <v>319</v>
      </c>
      <c r="B245" s="17">
        <v>903</v>
      </c>
      <c r="C245" s="21" t="s">
        <v>305</v>
      </c>
      <c r="D245" s="21" t="s">
        <v>256</v>
      </c>
      <c r="E245" s="21" t="s">
        <v>320</v>
      </c>
      <c r="F245" s="21"/>
      <c r="G245" s="27">
        <f>G246</f>
        <v>0</v>
      </c>
      <c r="H245" s="202"/>
    </row>
    <row r="246" spans="1:8" ht="47.25" hidden="1">
      <c r="A246" s="26" t="s">
        <v>313</v>
      </c>
      <c r="B246" s="17">
        <v>903</v>
      </c>
      <c r="C246" s="21" t="s">
        <v>305</v>
      </c>
      <c r="D246" s="21" t="s">
        <v>256</v>
      </c>
      <c r="E246" s="21" t="s">
        <v>320</v>
      </c>
      <c r="F246" s="21" t="s">
        <v>314</v>
      </c>
      <c r="G246" s="27">
        <f>G247</f>
        <v>0</v>
      </c>
      <c r="H246" s="202"/>
    </row>
    <row r="247" spans="1:8" ht="15.75" hidden="1">
      <c r="A247" s="26" t="s">
        <v>315</v>
      </c>
      <c r="B247" s="17">
        <v>903</v>
      </c>
      <c r="C247" s="21" t="s">
        <v>305</v>
      </c>
      <c r="D247" s="21" t="s">
        <v>256</v>
      </c>
      <c r="E247" s="21" t="s">
        <v>320</v>
      </c>
      <c r="F247" s="21" t="s">
        <v>316</v>
      </c>
      <c r="G247" s="27">
        <v>0</v>
      </c>
      <c r="H247" s="202"/>
    </row>
    <row r="248" spans="1:8" ht="31.5" hidden="1">
      <c r="A248" s="26" t="s">
        <v>321</v>
      </c>
      <c r="B248" s="17">
        <v>903</v>
      </c>
      <c r="C248" s="21" t="s">
        <v>305</v>
      </c>
      <c r="D248" s="21" t="s">
        <v>256</v>
      </c>
      <c r="E248" s="21" t="s">
        <v>322</v>
      </c>
      <c r="F248" s="21"/>
      <c r="G248" s="27">
        <f>G249</f>
        <v>0</v>
      </c>
      <c r="H248" s="202"/>
    </row>
    <row r="249" spans="1:8" ht="47.25" hidden="1">
      <c r="A249" s="26" t="s">
        <v>313</v>
      </c>
      <c r="B249" s="17">
        <v>903</v>
      </c>
      <c r="C249" s="21" t="s">
        <v>305</v>
      </c>
      <c r="D249" s="21" t="s">
        <v>256</v>
      </c>
      <c r="E249" s="21" t="s">
        <v>322</v>
      </c>
      <c r="F249" s="21" t="s">
        <v>314</v>
      </c>
      <c r="G249" s="27">
        <f>G250</f>
        <v>0</v>
      </c>
      <c r="H249" s="202"/>
    </row>
    <row r="250" spans="1:8" ht="15.75" hidden="1">
      <c r="A250" s="26" t="s">
        <v>315</v>
      </c>
      <c r="B250" s="17">
        <v>903</v>
      </c>
      <c r="C250" s="21" t="s">
        <v>305</v>
      </c>
      <c r="D250" s="21" t="s">
        <v>256</v>
      </c>
      <c r="E250" s="21" t="s">
        <v>322</v>
      </c>
      <c r="F250" s="21" t="s">
        <v>316</v>
      </c>
      <c r="G250" s="27">
        <v>0</v>
      </c>
      <c r="H250" s="202"/>
    </row>
    <row r="251" spans="1:8" ht="47.25">
      <c r="A251" s="26" t="s">
        <v>323</v>
      </c>
      <c r="B251" s="17">
        <v>903</v>
      </c>
      <c r="C251" s="21" t="s">
        <v>305</v>
      </c>
      <c r="D251" s="21" t="s">
        <v>256</v>
      </c>
      <c r="E251" s="21" t="s">
        <v>324</v>
      </c>
      <c r="F251" s="21"/>
      <c r="G251" s="27">
        <f>G252</f>
        <v>50</v>
      </c>
      <c r="H251" s="202"/>
    </row>
    <row r="252" spans="1:8" ht="47.25">
      <c r="A252" s="26" t="s">
        <v>313</v>
      </c>
      <c r="B252" s="17">
        <v>903</v>
      </c>
      <c r="C252" s="21" t="s">
        <v>305</v>
      </c>
      <c r="D252" s="21" t="s">
        <v>256</v>
      </c>
      <c r="E252" s="21" t="s">
        <v>324</v>
      </c>
      <c r="F252" s="21" t="s">
        <v>314</v>
      </c>
      <c r="G252" s="27">
        <f>G253</f>
        <v>50</v>
      </c>
      <c r="H252" s="202"/>
    </row>
    <row r="253" spans="1:8" ht="15.75">
      <c r="A253" s="26" t="s">
        <v>315</v>
      </c>
      <c r="B253" s="17">
        <v>903</v>
      </c>
      <c r="C253" s="21" t="s">
        <v>305</v>
      </c>
      <c r="D253" s="21" t="s">
        <v>256</v>
      </c>
      <c r="E253" s="21" t="s">
        <v>324</v>
      </c>
      <c r="F253" s="21" t="s">
        <v>316</v>
      </c>
      <c r="G253" s="27">
        <v>50</v>
      </c>
      <c r="H253" s="202"/>
    </row>
    <row r="254" spans="1:8" ht="31.5" hidden="1">
      <c r="A254" s="26" t="s">
        <v>325</v>
      </c>
      <c r="B254" s="17">
        <v>903</v>
      </c>
      <c r="C254" s="21" t="s">
        <v>305</v>
      </c>
      <c r="D254" s="21" t="s">
        <v>256</v>
      </c>
      <c r="E254" s="21" t="s">
        <v>326</v>
      </c>
      <c r="F254" s="21"/>
      <c r="G254" s="27">
        <f>G255</f>
        <v>0</v>
      </c>
      <c r="H254" s="202"/>
    </row>
    <row r="255" spans="1:8" ht="47.25" hidden="1">
      <c r="A255" s="26" t="s">
        <v>313</v>
      </c>
      <c r="B255" s="17">
        <v>903</v>
      </c>
      <c r="C255" s="21" t="s">
        <v>305</v>
      </c>
      <c r="D255" s="21" t="s">
        <v>256</v>
      </c>
      <c r="E255" s="21" t="s">
        <v>327</v>
      </c>
      <c r="F255" s="21" t="s">
        <v>314</v>
      </c>
      <c r="G255" s="27">
        <f>G256</f>
        <v>0</v>
      </c>
      <c r="H255" s="202"/>
    </row>
    <row r="256" spans="1:8" ht="15.75" hidden="1">
      <c r="A256" s="26" t="s">
        <v>315</v>
      </c>
      <c r="B256" s="17">
        <v>903</v>
      </c>
      <c r="C256" s="21" t="s">
        <v>305</v>
      </c>
      <c r="D256" s="21" t="s">
        <v>256</v>
      </c>
      <c r="E256" s="21" t="s">
        <v>327</v>
      </c>
      <c r="F256" s="21" t="s">
        <v>316</v>
      </c>
      <c r="G256" s="27">
        <v>0</v>
      </c>
      <c r="H256" s="202"/>
    </row>
    <row r="257" spans="1:8" ht="47.25" hidden="1">
      <c r="A257" s="37" t="s">
        <v>328</v>
      </c>
      <c r="B257" s="17">
        <v>903</v>
      </c>
      <c r="C257" s="21" t="s">
        <v>305</v>
      </c>
      <c r="D257" s="21" t="s">
        <v>256</v>
      </c>
      <c r="E257" s="21" t="s">
        <v>329</v>
      </c>
      <c r="F257" s="21"/>
      <c r="G257" s="27">
        <f>G258</f>
        <v>0</v>
      </c>
      <c r="H257" s="202"/>
    </row>
    <row r="258" spans="1:8" ht="47.25" hidden="1">
      <c r="A258" s="26" t="s">
        <v>313</v>
      </c>
      <c r="B258" s="17">
        <v>903</v>
      </c>
      <c r="C258" s="21" t="s">
        <v>305</v>
      </c>
      <c r="D258" s="21" t="s">
        <v>256</v>
      </c>
      <c r="E258" s="21" t="s">
        <v>329</v>
      </c>
      <c r="F258" s="21" t="s">
        <v>314</v>
      </c>
      <c r="G258" s="27">
        <f>G259</f>
        <v>0</v>
      </c>
      <c r="H258" s="202"/>
    </row>
    <row r="259" spans="1:8" ht="15.75" hidden="1">
      <c r="A259" s="26" t="s">
        <v>315</v>
      </c>
      <c r="B259" s="17">
        <v>903</v>
      </c>
      <c r="C259" s="21" t="s">
        <v>305</v>
      </c>
      <c r="D259" s="21" t="s">
        <v>256</v>
      </c>
      <c r="E259" s="21" t="s">
        <v>329</v>
      </c>
      <c r="F259" s="21" t="s">
        <v>316</v>
      </c>
      <c r="G259" s="27">
        <v>0</v>
      </c>
      <c r="H259" s="202"/>
    </row>
    <row r="260" spans="1:8" ht="15.75">
      <c r="A260" s="26" t="s">
        <v>162</v>
      </c>
      <c r="B260" s="17">
        <v>903</v>
      </c>
      <c r="C260" s="21" t="s">
        <v>305</v>
      </c>
      <c r="D260" s="21" t="s">
        <v>256</v>
      </c>
      <c r="E260" s="21" t="s">
        <v>163</v>
      </c>
      <c r="F260" s="21"/>
      <c r="G260" s="27">
        <f>G261</f>
        <v>1037.1000000000001</v>
      </c>
      <c r="H260" s="202"/>
    </row>
    <row r="261" spans="1:8" ht="31.5">
      <c r="A261" s="26" t="s">
        <v>226</v>
      </c>
      <c r="B261" s="17">
        <v>903</v>
      </c>
      <c r="C261" s="21" t="s">
        <v>305</v>
      </c>
      <c r="D261" s="21" t="s">
        <v>256</v>
      </c>
      <c r="E261" s="21" t="s">
        <v>227</v>
      </c>
      <c r="F261" s="21"/>
      <c r="G261" s="27">
        <f>G262+G265+G268</f>
        <v>1037.1000000000001</v>
      </c>
      <c r="H261" s="202"/>
    </row>
    <row r="262" spans="1:8" ht="63">
      <c r="A262" s="33" t="s">
        <v>330</v>
      </c>
      <c r="B262" s="17">
        <v>903</v>
      </c>
      <c r="C262" s="21" t="s">
        <v>305</v>
      </c>
      <c r="D262" s="21" t="s">
        <v>256</v>
      </c>
      <c r="E262" s="21" t="s">
        <v>331</v>
      </c>
      <c r="F262" s="21"/>
      <c r="G262" s="27">
        <f>G263</f>
        <v>126.69999999999999</v>
      </c>
      <c r="H262" s="202"/>
    </row>
    <row r="263" spans="1:8" ht="47.25">
      <c r="A263" s="26" t="s">
        <v>313</v>
      </c>
      <c r="B263" s="17">
        <v>903</v>
      </c>
      <c r="C263" s="21" t="s">
        <v>305</v>
      </c>
      <c r="D263" s="21" t="s">
        <v>256</v>
      </c>
      <c r="E263" s="21" t="s">
        <v>331</v>
      </c>
      <c r="F263" s="21" t="s">
        <v>314</v>
      </c>
      <c r="G263" s="27">
        <f>G264</f>
        <v>126.69999999999999</v>
      </c>
      <c r="H263" s="202"/>
    </row>
    <row r="264" spans="1:9" ht="15.75">
      <c r="A264" s="26" t="s">
        <v>315</v>
      </c>
      <c r="B264" s="17">
        <v>903</v>
      </c>
      <c r="C264" s="21" t="s">
        <v>305</v>
      </c>
      <c r="D264" s="21" t="s">
        <v>256</v>
      </c>
      <c r="E264" s="21" t="s">
        <v>331</v>
      </c>
      <c r="F264" s="21" t="s">
        <v>316</v>
      </c>
      <c r="G264" s="27">
        <f>162.6-35.9</f>
        <v>126.69999999999999</v>
      </c>
      <c r="H264" s="202"/>
      <c r="I264" s="136"/>
    </row>
    <row r="265" spans="1:8" ht="78.75">
      <c r="A265" s="33" t="s">
        <v>332</v>
      </c>
      <c r="B265" s="17">
        <v>903</v>
      </c>
      <c r="C265" s="21" t="s">
        <v>305</v>
      </c>
      <c r="D265" s="21" t="s">
        <v>256</v>
      </c>
      <c r="E265" s="21" t="s">
        <v>333</v>
      </c>
      <c r="F265" s="21"/>
      <c r="G265" s="27">
        <f>G266</f>
        <v>310.70000000000005</v>
      </c>
      <c r="H265" s="202"/>
    </row>
    <row r="266" spans="1:8" ht="47.25">
      <c r="A266" s="26" t="s">
        <v>313</v>
      </c>
      <c r="B266" s="17">
        <v>903</v>
      </c>
      <c r="C266" s="21" t="s">
        <v>305</v>
      </c>
      <c r="D266" s="21" t="s">
        <v>256</v>
      </c>
      <c r="E266" s="21" t="s">
        <v>333</v>
      </c>
      <c r="F266" s="21" t="s">
        <v>314</v>
      </c>
      <c r="G266" s="27">
        <f>G267</f>
        <v>310.70000000000005</v>
      </c>
      <c r="H266" s="202"/>
    </row>
    <row r="267" spans="1:9" ht="15.75">
      <c r="A267" s="26" t="s">
        <v>315</v>
      </c>
      <c r="B267" s="17">
        <v>903</v>
      </c>
      <c r="C267" s="21" t="s">
        <v>305</v>
      </c>
      <c r="D267" s="21" t="s">
        <v>256</v>
      </c>
      <c r="E267" s="21" t="s">
        <v>333</v>
      </c>
      <c r="F267" s="21" t="s">
        <v>316</v>
      </c>
      <c r="G267" s="27">
        <f>393.3-82.6</f>
        <v>310.70000000000005</v>
      </c>
      <c r="H267" s="202"/>
      <c r="I267" s="136"/>
    </row>
    <row r="268" spans="1:8" ht="110.25">
      <c r="A268" s="33" t="s">
        <v>334</v>
      </c>
      <c r="B268" s="17">
        <v>903</v>
      </c>
      <c r="C268" s="21" t="s">
        <v>305</v>
      </c>
      <c r="D268" s="21" t="s">
        <v>256</v>
      </c>
      <c r="E268" s="21" t="s">
        <v>335</v>
      </c>
      <c r="F268" s="21"/>
      <c r="G268" s="27">
        <f>G269</f>
        <v>599.7</v>
      </c>
      <c r="H268" s="202"/>
    </row>
    <row r="269" spans="1:8" ht="47.25">
      <c r="A269" s="26" t="s">
        <v>313</v>
      </c>
      <c r="B269" s="17">
        <v>903</v>
      </c>
      <c r="C269" s="21" t="s">
        <v>305</v>
      </c>
      <c r="D269" s="21" t="s">
        <v>256</v>
      </c>
      <c r="E269" s="21" t="s">
        <v>335</v>
      </c>
      <c r="F269" s="21" t="s">
        <v>314</v>
      </c>
      <c r="G269" s="27">
        <f>G270</f>
        <v>599.7</v>
      </c>
      <c r="H269" s="202"/>
    </row>
    <row r="270" spans="1:9" ht="15.75">
      <c r="A270" s="26" t="s">
        <v>315</v>
      </c>
      <c r="B270" s="17">
        <v>903</v>
      </c>
      <c r="C270" s="21" t="s">
        <v>305</v>
      </c>
      <c r="D270" s="21" t="s">
        <v>256</v>
      </c>
      <c r="E270" s="21" t="s">
        <v>335</v>
      </c>
      <c r="F270" s="21" t="s">
        <v>316</v>
      </c>
      <c r="G270" s="27">
        <f>600-0.3</f>
        <v>599.7</v>
      </c>
      <c r="H270" s="202"/>
      <c r="I270" s="136"/>
    </row>
    <row r="271" spans="1:8" ht="15.75" hidden="1">
      <c r="A271" s="24" t="s">
        <v>336</v>
      </c>
      <c r="B271" s="20">
        <v>903</v>
      </c>
      <c r="C271" s="25" t="s">
        <v>305</v>
      </c>
      <c r="D271" s="25" t="s">
        <v>260</v>
      </c>
      <c r="E271" s="25"/>
      <c r="F271" s="25"/>
      <c r="G271" s="27">
        <f>G272</f>
        <v>0</v>
      </c>
      <c r="H271" s="202"/>
    </row>
    <row r="272" spans="1:8" ht="15.75" hidden="1">
      <c r="A272" s="26" t="s">
        <v>162</v>
      </c>
      <c r="B272" s="17">
        <v>903</v>
      </c>
      <c r="C272" s="21" t="s">
        <v>305</v>
      </c>
      <c r="D272" s="21" t="s">
        <v>260</v>
      </c>
      <c r="E272" s="21" t="s">
        <v>163</v>
      </c>
      <c r="F272" s="21"/>
      <c r="G272" s="27">
        <f>G273</f>
        <v>0</v>
      </c>
      <c r="H272" s="202"/>
    </row>
    <row r="273" spans="1:8" ht="31.5" hidden="1">
      <c r="A273" s="26" t="s">
        <v>226</v>
      </c>
      <c r="B273" s="17">
        <v>903</v>
      </c>
      <c r="C273" s="21" t="s">
        <v>305</v>
      </c>
      <c r="D273" s="21" t="s">
        <v>260</v>
      </c>
      <c r="E273" s="21" t="s">
        <v>227</v>
      </c>
      <c r="F273" s="21"/>
      <c r="G273" s="27">
        <f>G274</f>
        <v>0</v>
      </c>
      <c r="H273" s="202"/>
    </row>
    <row r="274" spans="1:8" ht="31.5" hidden="1">
      <c r="A274" s="38" t="s">
        <v>337</v>
      </c>
      <c r="B274" s="39">
        <v>903</v>
      </c>
      <c r="C274" s="21" t="s">
        <v>305</v>
      </c>
      <c r="D274" s="21" t="s">
        <v>260</v>
      </c>
      <c r="E274" s="21" t="s">
        <v>338</v>
      </c>
      <c r="F274" s="21"/>
      <c r="G274" s="27">
        <f>G275</f>
        <v>0</v>
      </c>
      <c r="H274" s="202"/>
    </row>
    <row r="275" spans="1:8" ht="15.75" hidden="1">
      <c r="A275" s="26" t="s">
        <v>176</v>
      </c>
      <c r="B275" s="17">
        <v>903</v>
      </c>
      <c r="C275" s="21" t="s">
        <v>305</v>
      </c>
      <c r="D275" s="21" t="s">
        <v>260</v>
      </c>
      <c r="E275" s="21" t="s">
        <v>338</v>
      </c>
      <c r="F275" s="21" t="s">
        <v>186</v>
      </c>
      <c r="G275" s="27">
        <f>G276</f>
        <v>0</v>
      </c>
      <c r="H275" s="202"/>
    </row>
    <row r="276" spans="1:8" ht="63" hidden="1">
      <c r="A276" s="26" t="s">
        <v>225</v>
      </c>
      <c r="B276" s="17">
        <v>903</v>
      </c>
      <c r="C276" s="21" t="s">
        <v>305</v>
      </c>
      <c r="D276" s="21" t="s">
        <v>260</v>
      </c>
      <c r="E276" s="21" t="s">
        <v>338</v>
      </c>
      <c r="F276" s="21" t="s">
        <v>201</v>
      </c>
      <c r="G276" s="27"/>
      <c r="H276" s="202"/>
    </row>
    <row r="277" spans="1:8" ht="15.75">
      <c r="A277" s="24" t="s">
        <v>339</v>
      </c>
      <c r="B277" s="20">
        <v>903</v>
      </c>
      <c r="C277" s="25" t="s">
        <v>340</v>
      </c>
      <c r="D277" s="25"/>
      <c r="E277" s="25"/>
      <c r="F277" s="25"/>
      <c r="G277" s="22">
        <f>G278+G358</f>
        <v>61699.8</v>
      </c>
      <c r="H277" s="202"/>
    </row>
    <row r="278" spans="1:8" ht="15.75">
      <c r="A278" s="24" t="s">
        <v>341</v>
      </c>
      <c r="B278" s="20">
        <v>903</v>
      </c>
      <c r="C278" s="25" t="s">
        <v>340</v>
      </c>
      <c r="D278" s="25" t="s">
        <v>159</v>
      </c>
      <c r="E278" s="25"/>
      <c r="F278" s="25"/>
      <c r="G278" s="22">
        <f>G279+G337+G333</f>
        <v>44421.00000000001</v>
      </c>
      <c r="H278" s="202"/>
    </row>
    <row r="279" spans="1:8" ht="47.25">
      <c r="A279" s="26" t="s">
        <v>307</v>
      </c>
      <c r="B279" s="17">
        <v>903</v>
      </c>
      <c r="C279" s="21" t="s">
        <v>340</v>
      </c>
      <c r="D279" s="21" t="s">
        <v>159</v>
      </c>
      <c r="E279" s="21" t="s">
        <v>308</v>
      </c>
      <c r="F279" s="21"/>
      <c r="G279" s="27">
        <f>G280+G306</f>
        <v>42083.100000000006</v>
      </c>
      <c r="H279" s="202"/>
    </row>
    <row r="280" spans="1:8" ht="63">
      <c r="A280" s="26" t="s">
        <v>342</v>
      </c>
      <c r="B280" s="17">
        <v>903</v>
      </c>
      <c r="C280" s="21" t="s">
        <v>340</v>
      </c>
      <c r="D280" s="21" t="s">
        <v>159</v>
      </c>
      <c r="E280" s="21" t="s">
        <v>343</v>
      </c>
      <c r="F280" s="21"/>
      <c r="G280" s="27">
        <f>G281+G299+G284+G287+G290+G293+G296</f>
        <v>25422.5</v>
      </c>
      <c r="H280" s="202"/>
    </row>
    <row r="281" spans="1:8" ht="52.5" customHeight="1">
      <c r="A281" s="26" t="s">
        <v>344</v>
      </c>
      <c r="B281" s="17">
        <v>903</v>
      </c>
      <c r="C281" s="21" t="s">
        <v>340</v>
      </c>
      <c r="D281" s="21" t="s">
        <v>159</v>
      </c>
      <c r="E281" s="21" t="s">
        <v>345</v>
      </c>
      <c r="F281" s="21"/>
      <c r="G281" s="27">
        <f>G282</f>
        <v>23654.800000000003</v>
      </c>
      <c r="H281" s="202"/>
    </row>
    <row r="282" spans="1:8" ht="47.25">
      <c r="A282" s="26" t="s">
        <v>313</v>
      </c>
      <c r="B282" s="17">
        <v>903</v>
      </c>
      <c r="C282" s="21" t="s">
        <v>340</v>
      </c>
      <c r="D282" s="21" t="s">
        <v>159</v>
      </c>
      <c r="E282" s="21" t="s">
        <v>345</v>
      </c>
      <c r="F282" s="21" t="s">
        <v>314</v>
      </c>
      <c r="G282" s="27">
        <f>G283</f>
        <v>23654.800000000003</v>
      </c>
      <c r="H282" s="202"/>
    </row>
    <row r="283" spans="1:9" ht="15.75">
      <c r="A283" s="26" t="s">
        <v>315</v>
      </c>
      <c r="B283" s="17">
        <v>903</v>
      </c>
      <c r="C283" s="21" t="s">
        <v>340</v>
      </c>
      <c r="D283" s="21" t="s">
        <v>159</v>
      </c>
      <c r="E283" s="21" t="s">
        <v>345</v>
      </c>
      <c r="F283" s="21" t="s">
        <v>316</v>
      </c>
      <c r="G283" s="28">
        <f>25081.9+2671.4-3136.8-961.7</f>
        <v>23654.800000000003</v>
      </c>
      <c r="H283" s="127"/>
      <c r="I283" s="148"/>
    </row>
    <row r="284" spans="1:12" ht="47.25">
      <c r="A284" s="26" t="s">
        <v>776</v>
      </c>
      <c r="B284" s="17">
        <v>903</v>
      </c>
      <c r="C284" s="21" t="s">
        <v>340</v>
      </c>
      <c r="D284" s="21" t="s">
        <v>159</v>
      </c>
      <c r="E284" s="21" t="s">
        <v>346</v>
      </c>
      <c r="F284" s="21"/>
      <c r="G284" s="27">
        <f>G285</f>
        <v>96.1</v>
      </c>
      <c r="H284" s="202"/>
      <c r="L284" s="138"/>
    </row>
    <row r="285" spans="1:8" ht="47.25">
      <c r="A285" s="26" t="s">
        <v>313</v>
      </c>
      <c r="B285" s="17">
        <v>903</v>
      </c>
      <c r="C285" s="21" t="s">
        <v>340</v>
      </c>
      <c r="D285" s="21" t="s">
        <v>159</v>
      </c>
      <c r="E285" s="21" t="s">
        <v>346</v>
      </c>
      <c r="F285" s="21" t="s">
        <v>314</v>
      </c>
      <c r="G285" s="27">
        <f>G286</f>
        <v>96.1</v>
      </c>
      <c r="H285" s="202"/>
    </row>
    <row r="286" spans="1:8" ht="15.75">
      <c r="A286" s="26" t="s">
        <v>315</v>
      </c>
      <c r="B286" s="17">
        <v>903</v>
      </c>
      <c r="C286" s="21" t="s">
        <v>340</v>
      </c>
      <c r="D286" s="21" t="s">
        <v>159</v>
      </c>
      <c r="E286" s="21" t="s">
        <v>346</v>
      </c>
      <c r="F286" s="21" t="s">
        <v>316</v>
      </c>
      <c r="G286" s="27">
        <v>96.1</v>
      </c>
      <c r="H286" s="127"/>
    </row>
    <row r="287" spans="1:8" ht="47.25">
      <c r="A287" s="26" t="s">
        <v>319</v>
      </c>
      <c r="B287" s="17">
        <v>903</v>
      </c>
      <c r="C287" s="21" t="s">
        <v>340</v>
      </c>
      <c r="D287" s="21" t="s">
        <v>159</v>
      </c>
      <c r="E287" s="21" t="s">
        <v>347</v>
      </c>
      <c r="F287" s="21"/>
      <c r="G287" s="27">
        <f>G288</f>
        <v>142.1</v>
      </c>
      <c r="H287" s="202"/>
    </row>
    <row r="288" spans="1:8" ht="47.25">
      <c r="A288" s="26" t="s">
        <v>313</v>
      </c>
      <c r="B288" s="17">
        <v>903</v>
      </c>
      <c r="C288" s="21" t="s">
        <v>340</v>
      </c>
      <c r="D288" s="21" t="s">
        <v>159</v>
      </c>
      <c r="E288" s="21" t="s">
        <v>347</v>
      </c>
      <c r="F288" s="21" t="s">
        <v>314</v>
      </c>
      <c r="G288" s="27">
        <f>G289</f>
        <v>142.1</v>
      </c>
      <c r="H288" s="202"/>
    </row>
    <row r="289" spans="1:9" ht="15.75">
      <c r="A289" s="26" t="s">
        <v>315</v>
      </c>
      <c r="B289" s="17">
        <v>903</v>
      </c>
      <c r="C289" s="21" t="s">
        <v>340</v>
      </c>
      <c r="D289" s="21" t="s">
        <v>159</v>
      </c>
      <c r="E289" s="21" t="s">
        <v>347</v>
      </c>
      <c r="F289" s="21" t="s">
        <v>316</v>
      </c>
      <c r="G289" s="27">
        <v>142.1</v>
      </c>
      <c r="H289" s="202"/>
      <c r="I289" s="136"/>
    </row>
    <row r="290" spans="1:8" ht="15.75">
      <c r="A290" s="26" t="s">
        <v>348</v>
      </c>
      <c r="B290" s="17">
        <v>903</v>
      </c>
      <c r="C290" s="21" t="s">
        <v>340</v>
      </c>
      <c r="D290" s="21" t="s">
        <v>159</v>
      </c>
      <c r="E290" s="21" t="s">
        <v>349</v>
      </c>
      <c r="F290" s="21"/>
      <c r="G290" s="27">
        <f>G291</f>
        <v>1529.5</v>
      </c>
      <c r="H290" s="202"/>
    </row>
    <row r="291" spans="1:8" ht="47.25">
      <c r="A291" s="26" t="s">
        <v>313</v>
      </c>
      <c r="B291" s="17">
        <v>903</v>
      </c>
      <c r="C291" s="21" t="s">
        <v>340</v>
      </c>
      <c r="D291" s="21" t="s">
        <v>159</v>
      </c>
      <c r="E291" s="21" t="s">
        <v>349</v>
      </c>
      <c r="F291" s="21" t="s">
        <v>314</v>
      </c>
      <c r="G291" s="27">
        <f>G292</f>
        <v>1529.5</v>
      </c>
      <c r="H291" s="202"/>
    </row>
    <row r="292" spans="1:10" ht="15.75">
      <c r="A292" s="26" t="s">
        <v>315</v>
      </c>
      <c r="B292" s="17">
        <v>903</v>
      </c>
      <c r="C292" s="21" t="s">
        <v>340</v>
      </c>
      <c r="D292" s="21" t="s">
        <v>159</v>
      </c>
      <c r="E292" s="21" t="s">
        <v>349</v>
      </c>
      <c r="F292" s="21" t="s">
        <v>316</v>
      </c>
      <c r="G292" s="27">
        <f>411.9+1117.6</f>
        <v>1529.5</v>
      </c>
      <c r="H292" s="127"/>
      <c r="I292" s="148"/>
      <c r="J292" s="130"/>
    </row>
    <row r="293" spans="1:8" ht="31.5" hidden="1">
      <c r="A293" s="26" t="s">
        <v>325</v>
      </c>
      <c r="B293" s="17">
        <v>903</v>
      </c>
      <c r="C293" s="21" t="s">
        <v>340</v>
      </c>
      <c r="D293" s="21" t="s">
        <v>159</v>
      </c>
      <c r="E293" s="21" t="s">
        <v>326</v>
      </c>
      <c r="F293" s="21"/>
      <c r="G293" s="27">
        <f>G294</f>
        <v>0</v>
      </c>
      <c r="H293" s="202"/>
    </row>
    <row r="294" spans="1:8" ht="47.25" hidden="1">
      <c r="A294" s="26" t="s">
        <v>313</v>
      </c>
      <c r="B294" s="17">
        <v>903</v>
      </c>
      <c r="C294" s="21" t="s">
        <v>340</v>
      </c>
      <c r="D294" s="21" t="s">
        <v>159</v>
      </c>
      <c r="E294" s="21" t="s">
        <v>326</v>
      </c>
      <c r="F294" s="21" t="s">
        <v>314</v>
      </c>
      <c r="G294" s="27">
        <f>G295</f>
        <v>0</v>
      </c>
      <c r="H294" s="202"/>
    </row>
    <row r="295" spans="1:8" ht="15.75" hidden="1">
      <c r="A295" s="26" t="s">
        <v>315</v>
      </c>
      <c r="B295" s="17">
        <v>903</v>
      </c>
      <c r="C295" s="21" t="s">
        <v>340</v>
      </c>
      <c r="D295" s="21" t="s">
        <v>159</v>
      </c>
      <c r="E295" s="21" t="s">
        <v>326</v>
      </c>
      <c r="F295" s="21" t="s">
        <v>316</v>
      </c>
      <c r="G295" s="27">
        <v>0</v>
      </c>
      <c r="H295" s="202"/>
    </row>
    <row r="296" spans="1:8" ht="47.25" hidden="1">
      <c r="A296" s="37" t="s">
        <v>328</v>
      </c>
      <c r="B296" s="17">
        <v>903</v>
      </c>
      <c r="C296" s="21" t="s">
        <v>340</v>
      </c>
      <c r="D296" s="21" t="s">
        <v>159</v>
      </c>
      <c r="E296" s="21" t="s">
        <v>350</v>
      </c>
      <c r="F296" s="21"/>
      <c r="G296" s="27">
        <f>G297</f>
        <v>0</v>
      </c>
      <c r="H296" s="202"/>
    </row>
    <row r="297" spans="1:8" ht="47.25" hidden="1">
      <c r="A297" s="26" t="s">
        <v>313</v>
      </c>
      <c r="B297" s="17">
        <v>903</v>
      </c>
      <c r="C297" s="21" t="s">
        <v>340</v>
      </c>
      <c r="D297" s="21" t="s">
        <v>159</v>
      </c>
      <c r="E297" s="21" t="s">
        <v>350</v>
      </c>
      <c r="F297" s="21" t="s">
        <v>314</v>
      </c>
      <c r="G297" s="27">
        <f>G298</f>
        <v>0</v>
      </c>
      <c r="H297" s="202"/>
    </row>
    <row r="298" spans="1:8" ht="15.75" hidden="1">
      <c r="A298" s="26" t="s">
        <v>315</v>
      </c>
      <c r="B298" s="17">
        <v>903</v>
      </c>
      <c r="C298" s="21" t="s">
        <v>340</v>
      </c>
      <c r="D298" s="21" t="s">
        <v>159</v>
      </c>
      <c r="E298" s="21" t="s">
        <v>350</v>
      </c>
      <c r="F298" s="21" t="s">
        <v>316</v>
      </c>
      <c r="G298" s="27">
        <v>0</v>
      </c>
      <c r="H298" s="202"/>
    </row>
    <row r="299" spans="1:8" ht="47.25" customHeight="1" hidden="1">
      <c r="A299" s="26" t="s">
        <v>351</v>
      </c>
      <c r="B299" s="17">
        <v>903</v>
      </c>
      <c r="C299" s="21" t="s">
        <v>340</v>
      </c>
      <c r="D299" s="21" t="s">
        <v>159</v>
      </c>
      <c r="E299" s="21" t="s">
        <v>352</v>
      </c>
      <c r="F299" s="21"/>
      <c r="G299" s="27">
        <f>G300+G302+G304</f>
        <v>0</v>
      </c>
      <c r="H299" s="202"/>
    </row>
    <row r="300" spans="1:8" ht="94.5" hidden="1">
      <c r="A300" s="26" t="s">
        <v>168</v>
      </c>
      <c r="B300" s="17">
        <v>903</v>
      </c>
      <c r="C300" s="21" t="s">
        <v>340</v>
      </c>
      <c r="D300" s="21" t="s">
        <v>159</v>
      </c>
      <c r="E300" s="21" t="s">
        <v>352</v>
      </c>
      <c r="F300" s="21" t="s">
        <v>169</v>
      </c>
      <c r="G300" s="27">
        <f>G301</f>
        <v>0</v>
      </c>
      <c r="H300" s="202"/>
    </row>
    <row r="301" spans="1:8" ht="31.5" hidden="1">
      <c r="A301" s="26" t="s">
        <v>249</v>
      </c>
      <c r="B301" s="17">
        <v>903</v>
      </c>
      <c r="C301" s="21" t="s">
        <v>340</v>
      </c>
      <c r="D301" s="21" t="s">
        <v>159</v>
      </c>
      <c r="E301" s="21" t="s">
        <v>352</v>
      </c>
      <c r="F301" s="21" t="s">
        <v>250</v>
      </c>
      <c r="G301" s="28">
        <v>0</v>
      </c>
      <c r="H301" s="202"/>
    </row>
    <row r="302" spans="1:8" ht="31.5" hidden="1">
      <c r="A302" s="26" t="s">
        <v>172</v>
      </c>
      <c r="B302" s="17">
        <v>903</v>
      </c>
      <c r="C302" s="21" t="s">
        <v>340</v>
      </c>
      <c r="D302" s="21" t="s">
        <v>159</v>
      </c>
      <c r="E302" s="21" t="s">
        <v>352</v>
      </c>
      <c r="F302" s="21" t="s">
        <v>173</v>
      </c>
      <c r="G302" s="27">
        <f>G303</f>
        <v>0</v>
      </c>
      <c r="H302" s="202"/>
    </row>
    <row r="303" spans="1:8" ht="47.25" hidden="1">
      <c r="A303" s="26" t="s">
        <v>174</v>
      </c>
      <c r="B303" s="17">
        <v>903</v>
      </c>
      <c r="C303" s="21" t="s">
        <v>340</v>
      </c>
      <c r="D303" s="21" t="s">
        <v>159</v>
      </c>
      <c r="E303" s="21" t="s">
        <v>352</v>
      </c>
      <c r="F303" s="21" t="s">
        <v>175</v>
      </c>
      <c r="G303" s="28">
        <v>0</v>
      </c>
      <c r="H303" s="202"/>
    </row>
    <row r="304" spans="1:8" ht="15.75" hidden="1">
      <c r="A304" s="26" t="s">
        <v>176</v>
      </c>
      <c r="B304" s="17">
        <v>903</v>
      </c>
      <c r="C304" s="21" t="s">
        <v>340</v>
      </c>
      <c r="D304" s="21" t="s">
        <v>159</v>
      </c>
      <c r="E304" s="21" t="s">
        <v>352</v>
      </c>
      <c r="F304" s="21" t="s">
        <v>186</v>
      </c>
      <c r="G304" s="27">
        <f>G305</f>
        <v>0</v>
      </c>
      <c r="H304" s="202"/>
    </row>
    <row r="305" spans="1:8" ht="15.75" hidden="1">
      <c r="A305" s="26" t="s">
        <v>178</v>
      </c>
      <c r="B305" s="17">
        <v>903</v>
      </c>
      <c r="C305" s="21" t="s">
        <v>340</v>
      </c>
      <c r="D305" s="21" t="s">
        <v>159</v>
      </c>
      <c r="E305" s="21" t="s">
        <v>352</v>
      </c>
      <c r="F305" s="21" t="s">
        <v>179</v>
      </c>
      <c r="G305" s="27">
        <v>0</v>
      </c>
      <c r="H305" s="202"/>
    </row>
    <row r="306" spans="1:8" ht="47.25">
      <c r="A306" s="26" t="s">
        <v>353</v>
      </c>
      <c r="B306" s="17">
        <v>903</v>
      </c>
      <c r="C306" s="21" t="s">
        <v>340</v>
      </c>
      <c r="D306" s="21" t="s">
        <v>159</v>
      </c>
      <c r="E306" s="21" t="s">
        <v>354</v>
      </c>
      <c r="F306" s="21"/>
      <c r="G306" s="27">
        <f>G307+G330+G318+G321+G324+G327+G310+G315</f>
        <v>16660.600000000002</v>
      </c>
      <c r="H306" s="202"/>
    </row>
    <row r="307" spans="1:8" ht="51" customHeight="1">
      <c r="A307" s="26" t="s">
        <v>344</v>
      </c>
      <c r="B307" s="17">
        <v>903</v>
      </c>
      <c r="C307" s="21" t="s">
        <v>340</v>
      </c>
      <c r="D307" s="21" t="s">
        <v>159</v>
      </c>
      <c r="E307" s="21" t="s">
        <v>355</v>
      </c>
      <c r="F307" s="21"/>
      <c r="G307" s="27">
        <f>G308</f>
        <v>16655.2</v>
      </c>
      <c r="H307" s="202"/>
    </row>
    <row r="308" spans="1:8" ht="47.25">
      <c r="A308" s="26" t="s">
        <v>313</v>
      </c>
      <c r="B308" s="17">
        <v>903</v>
      </c>
      <c r="C308" s="21" t="s">
        <v>340</v>
      </c>
      <c r="D308" s="21" t="s">
        <v>159</v>
      </c>
      <c r="E308" s="21" t="s">
        <v>355</v>
      </c>
      <c r="F308" s="21" t="s">
        <v>314</v>
      </c>
      <c r="G308" s="27">
        <f>G309</f>
        <v>16655.2</v>
      </c>
      <c r="H308" s="202"/>
    </row>
    <row r="309" spans="1:9" ht="15.75">
      <c r="A309" s="26" t="s">
        <v>315</v>
      </c>
      <c r="B309" s="17">
        <v>903</v>
      </c>
      <c r="C309" s="21" t="s">
        <v>340</v>
      </c>
      <c r="D309" s="21" t="s">
        <v>159</v>
      </c>
      <c r="E309" s="21" t="s">
        <v>355</v>
      </c>
      <c r="F309" s="21" t="s">
        <v>316</v>
      </c>
      <c r="G309" s="28">
        <f>18073+419.6-1705.8+78.4-210</f>
        <v>16655.2</v>
      </c>
      <c r="H309" s="127"/>
      <c r="I309" s="148"/>
    </row>
    <row r="310" spans="1:8" ht="38.25" customHeight="1">
      <c r="A310" s="26" t="s">
        <v>356</v>
      </c>
      <c r="B310" s="17">
        <v>903</v>
      </c>
      <c r="C310" s="21" t="s">
        <v>340</v>
      </c>
      <c r="D310" s="21" t="s">
        <v>159</v>
      </c>
      <c r="E310" s="21" t="s">
        <v>357</v>
      </c>
      <c r="F310" s="21"/>
      <c r="G310" s="28">
        <f>G311+G313</f>
        <v>5</v>
      </c>
      <c r="H310" s="202"/>
    </row>
    <row r="311" spans="1:8" ht="31.5" hidden="1">
      <c r="A311" s="26" t="s">
        <v>172</v>
      </c>
      <c r="B311" s="17">
        <v>903</v>
      </c>
      <c r="C311" s="21" t="s">
        <v>340</v>
      </c>
      <c r="D311" s="21" t="s">
        <v>159</v>
      </c>
      <c r="E311" s="21" t="s">
        <v>357</v>
      </c>
      <c r="F311" s="21" t="s">
        <v>173</v>
      </c>
      <c r="G311" s="28">
        <f>G312</f>
        <v>0</v>
      </c>
      <c r="H311" s="202"/>
    </row>
    <row r="312" spans="1:8" ht="47.25" hidden="1">
      <c r="A312" s="26" t="s">
        <v>174</v>
      </c>
      <c r="B312" s="17">
        <v>903</v>
      </c>
      <c r="C312" s="21" t="s">
        <v>340</v>
      </c>
      <c r="D312" s="21" t="s">
        <v>159</v>
      </c>
      <c r="E312" s="21" t="s">
        <v>357</v>
      </c>
      <c r="F312" s="21" t="s">
        <v>175</v>
      </c>
      <c r="G312" s="28">
        <v>0</v>
      </c>
      <c r="H312" s="202"/>
    </row>
    <row r="313" spans="1:8" ht="47.25">
      <c r="A313" s="26" t="s">
        <v>313</v>
      </c>
      <c r="B313" s="17">
        <v>903</v>
      </c>
      <c r="C313" s="21" t="s">
        <v>340</v>
      </c>
      <c r="D313" s="21" t="s">
        <v>159</v>
      </c>
      <c r="E313" s="21" t="s">
        <v>357</v>
      </c>
      <c r="F313" s="21" t="s">
        <v>314</v>
      </c>
      <c r="G313" s="28">
        <f>G314</f>
        <v>5</v>
      </c>
      <c r="H313" s="202"/>
    </row>
    <row r="314" spans="1:8" ht="15.75">
      <c r="A314" s="26" t="s">
        <v>315</v>
      </c>
      <c r="B314" s="17">
        <v>903</v>
      </c>
      <c r="C314" s="21" t="s">
        <v>340</v>
      </c>
      <c r="D314" s="21" t="s">
        <v>159</v>
      </c>
      <c r="E314" s="21" t="s">
        <v>357</v>
      </c>
      <c r="F314" s="21" t="s">
        <v>316</v>
      </c>
      <c r="G314" s="28">
        <v>5</v>
      </c>
      <c r="H314" s="202"/>
    </row>
    <row r="315" spans="1:8" ht="15.75">
      <c r="A315" s="26" t="s">
        <v>748</v>
      </c>
      <c r="B315" s="17">
        <v>903</v>
      </c>
      <c r="C315" s="21" t="s">
        <v>340</v>
      </c>
      <c r="D315" s="21" t="s">
        <v>159</v>
      </c>
      <c r="E315" s="21" t="s">
        <v>749</v>
      </c>
      <c r="F315" s="21"/>
      <c r="G315" s="28">
        <f>G316</f>
        <v>0.4</v>
      </c>
      <c r="H315" s="202"/>
    </row>
    <row r="316" spans="1:8" ht="47.25">
      <c r="A316" s="26" t="s">
        <v>313</v>
      </c>
      <c r="B316" s="17">
        <v>903</v>
      </c>
      <c r="C316" s="21" t="s">
        <v>340</v>
      </c>
      <c r="D316" s="21" t="s">
        <v>159</v>
      </c>
      <c r="E316" s="21" t="s">
        <v>749</v>
      </c>
      <c r="F316" s="21" t="s">
        <v>314</v>
      </c>
      <c r="G316" s="28">
        <f>G317</f>
        <v>0.4</v>
      </c>
      <c r="H316" s="202"/>
    </row>
    <row r="317" spans="1:8" ht="15.75">
      <c r="A317" s="26" t="s">
        <v>315</v>
      </c>
      <c r="B317" s="17">
        <v>903</v>
      </c>
      <c r="C317" s="21" t="s">
        <v>340</v>
      </c>
      <c r="D317" s="21" t="s">
        <v>159</v>
      </c>
      <c r="E317" s="21" t="s">
        <v>749</v>
      </c>
      <c r="F317" s="21" t="s">
        <v>316</v>
      </c>
      <c r="G317" s="28">
        <v>0.4</v>
      </c>
      <c r="H317" s="127"/>
    </row>
    <row r="318" spans="1:8" ht="47.25" hidden="1">
      <c r="A318" s="26" t="s">
        <v>317</v>
      </c>
      <c r="B318" s="17">
        <v>903</v>
      </c>
      <c r="C318" s="21" t="s">
        <v>340</v>
      </c>
      <c r="D318" s="21" t="s">
        <v>159</v>
      </c>
      <c r="E318" s="21" t="s">
        <v>358</v>
      </c>
      <c r="F318" s="21"/>
      <c r="G318" s="27">
        <f>G319</f>
        <v>0</v>
      </c>
      <c r="H318" s="202"/>
    </row>
    <row r="319" spans="1:8" ht="47.25" hidden="1">
      <c r="A319" s="26" t="s">
        <v>313</v>
      </c>
      <c r="B319" s="17">
        <v>903</v>
      </c>
      <c r="C319" s="21" t="s">
        <v>340</v>
      </c>
      <c r="D319" s="21" t="s">
        <v>159</v>
      </c>
      <c r="E319" s="21" t="s">
        <v>358</v>
      </c>
      <c r="F319" s="21" t="s">
        <v>314</v>
      </c>
      <c r="G319" s="27">
        <f>G320</f>
        <v>0</v>
      </c>
      <c r="H319" s="202"/>
    </row>
    <row r="320" spans="1:8" ht="15.75" hidden="1">
      <c r="A320" s="26" t="s">
        <v>315</v>
      </c>
      <c r="B320" s="17">
        <v>903</v>
      </c>
      <c r="C320" s="21" t="s">
        <v>340</v>
      </c>
      <c r="D320" s="21" t="s">
        <v>159</v>
      </c>
      <c r="E320" s="21" t="s">
        <v>358</v>
      </c>
      <c r="F320" s="21" t="s">
        <v>316</v>
      </c>
      <c r="G320" s="27">
        <v>0</v>
      </c>
      <c r="H320" s="202"/>
    </row>
    <row r="321" spans="1:8" ht="47.25" hidden="1">
      <c r="A321" s="26" t="s">
        <v>319</v>
      </c>
      <c r="B321" s="17">
        <v>903</v>
      </c>
      <c r="C321" s="21" t="s">
        <v>340</v>
      </c>
      <c r="D321" s="21" t="s">
        <v>159</v>
      </c>
      <c r="E321" s="21" t="s">
        <v>359</v>
      </c>
      <c r="F321" s="21"/>
      <c r="G321" s="27">
        <f>G322</f>
        <v>0</v>
      </c>
      <c r="H321" s="202"/>
    </row>
    <row r="322" spans="1:8" ht="47.25" hidden="1">
      <c r="A322" s="26" t="s">
        <v>313</v>
      </c>
      <c r="B322" s="17">
        <v>903</v>
      </c>
      <c r="C322" s="21" t="s">
        <v>340</v>
      </c>
      <c r="D322" s="21" t="s">
        <v>159</v>
      </c>
      <c r="E322" s="21" t="s">
        <v>359</v>
      </c>
      <c r="F322" s="21" t="s">
        <v>314</v>
      </c>
      <c r="G322" s="27">
        <f>G323</f>
        <v>0</v>
      </c>
      <c r="H322" s="202"/>
    </row>
    <row r="323" spans="1:8" ht="15.75" hidden="1">
      <c r="A323" s="26" t="s">
        <v>315</v>
      </c>
      <c r="B323" s="17">
        <v>903</v>
      </c>
      <c r="C323" s="21" t="s">
        <v>340</v>
      </c>
      <c r="D323" s="21" t="s">
        <v>159</v>
      </c>
      <c r="E323" s="21" t="s">
        <v>359</v>
      </c>
      <c r="F323" s="21" t="s">
        <v>316</v>
      </c>
      <c r="G323" s="27">
        <v>0</v>
      </c>
      <c r="H323" s="202"/>
    </row>
    <row r="324" spans="1:8" ht="31.5" hidden="1">
      <c r="A324" s="26" t="s">
        <v>321</v>
      </c>
      <c r="B324" s="17">
        <v>903</v>
      </c>
      <c r="C324" s="21" t="s">
        <v>340</v>
      </c>
      <c r="D324" s="21" t="s">
        <v>159</v>
      </c>
      <c r="E324" s="21" t="s">
        <v>360</v>
      </c>
      <c r="F324" s="21"/>
      <c r="G324" s="27">
        <f>G325</f>
        <v>0</v>
      </c>
      <c r="H324" s="202"/>
    </row>
    <row r="325" spans="1:8" ht="47.25" hidden="1">
      <c r="A325" s="26" t="s">
        <v>313</v>
      </c>
      <c r="B325" s="17">
        <v>903</v>
      </c>
      <c r="C325" s="21" t="s">
        <v>340</v>
      </c>
      <c r="D325" s="21" t="s">
        <v>159</v>
      </c>
      <c r="E325" s="21" t="s">
        <v>360</v>
      </c>
      <c r="F325" s="21" t="s">
        <v>314</v>
      </c>
      <c r="G325" s="27">
        <f>G326</f>
        <v>0</v>
      </c>
      <c r="H325" s="202"/>
    </row>
    <row r="326" spans="1:8" ht="15.75" hidden="1">
      <c r="A326" s="26" t="s">
        <v>315</v>
      </c>
      <c r="B326" s="17">
        <v>903</v>
      </c>
      <c r="C326" s="21" t="s">
        <v>340</v>
      </c>
      <c r="D326" s="21" t="s">
        <v>159</v>
      </c>
      <c r="E326" s="21" t="s">
        <v>360</v>
      </c>
      <c r="F326" s="21" t="s">
        <v>316</v>
      </c>
      <c r="G326" s="27">
        <v>0</v>
      </c>
      <c r="H326" s="202"/>
    </row>
    <row r="327" spans="1:8" ht="31.5" hidden="1">
      <c r="A327" s="26" t="s">
        <v>325</v>
      </c>
      <c r="B327" s="17">
        <v>903</v>
      </c>
      <c r="C327" s="21" t="s">
        <v>340</v>
      </c>
      <c r="D327" s="21" t="s">
        <v>159</v>
      </c>
      <c r="E327" s="21" t="s">
        <v>361</v>
      </c>
      <c r="F327" s="21"/>
      <c r="G327" s="27">
        <f>G328</f>
        <v>0</v>
      </c>
      <c r="H327" s="202"/>
    </row>
    <row r="328" spans="1:8" ht="47.25" hidden="1">
      <c r="A328" s="26" t="s">
        <v>313</v>
      </c>
      <c r="B328" s="17">
        <v>903</v>
      </c>
      <c r="C328" s="21" t="s">
        <v>340</v>
      </c>
      <c r="D328" s="21" t="s">
        <v>159</v>
      </c>
      <c r="E328" s="21" t="s">
        <v>361</v>
      </c>
      <c r="F328" s="21" t="s">
        <v>314</v>
      </c>
      <c r="G328" s="27">
        <f>G329</f>
        <v>0</v>
      </c>
      <c r="H328" s="202"/>
    </row>
    <row r="329" spans="1:8" ht="15.75" hidden="1">
      <c r="A329" s="26" t="s">
        <v>315</v>
      </c>
      <c r="B329" s="17">
        <v>903</v>
      </c>
      <c r="C329" s="21" t="s">
        <v>340</v>
      </c>
      <c r="D329" s="21" t="s">
        <v>159</v>
      </c>
      <c r="E329" s="21" t="s">
        <v>361</v>
      </c>
      <c r="F329" s="21" t="s">
        <v>316</v>
      </c>
      <c r="G329" s="27">
        <v>0</v>
      </c>
      <c r="H329" s="202"/>
    </row>
    <row r="330" spans="1:8" ht="47.25" hidden="1">
      <c r="A330" s="37" t="s">
        <v>362</v>
      </c>
      <c r="B330" s="17">
        <v>903</v>
      </c>
      <c r="C330" s="21" t="s">
        <v>340</v>
      </c>
      <c r="D330" s="21" t="s">
        <v>159</v>
      </c>
      <c r="E330" s="21" t="s">
        <v>363</v>
      </c>
      <c r="F330" s="21"/>
      <c r="G330" s="27">
        <f>G331</f>
        <v>0</v>
      </c>
      <c r="H330" s="202"/>
    </row>
    <row r="331" spans="1:8" ht="47.25" hidden="1">
      <c r="A331" s="26" t="s">
        <v>313</v>
      </c>
      <c r="B331" s="17">
        <v>903</v>
      </c>
      <c r="C331" s="21" t="s">
        <v>340</v>
      </c>
      <c r="D331" s="21" t="s">
        <v>159</v>
      </c>
      <c r="E331" s="21" t="s">
        <v>363</v>
      </c>
      <c r="F331" s="21" t="s">
        <v>314</v>
      </c>
      <c r="G331" s="27">
        <f>G332</f>
        <v>0</v>
      </c>
      <c r="H331" s="202"/>
    </row>
    <row r="332" spans="1:8" ht="15.75" hidden="1">
      <c r="A332" s="26" t="s">
        <v>315</v>
      </c>
      <c r="B332" s="17">
        <v>903</v>
      </c>
      <c r="C332" s="21" t="s">
        <v>340</v>
      </c>
      <c r="D332" s="21" t="s">
        <v>159</v>
      </c>
      <c r="E332" s="21" t="s">
        <v>363</v>
      </c>
      <c r="F332" s="21" t="s">
        <v>316</v>
      </c>
      <c r="G332" s="27">
        <v>0</v>
      </c>
      <c r="H332" s="202"/>
    </row>
    <row r="333" spans="1:8" ht="78.75">
      <c r="A333" s="31" t="s">
        <v>364</v>
      </c>
      <c r="B333" s="17">
        <v>903</v>
      </c>
      <c r="C333" s="21" t="s">
        <v>340</v>
      </c>
      <c r="D333" s="21" t="s">
        <v>159</v>
      </c>
      <c r="E333" s="42" t="s">
        <v>365</v>
      </c>
      <c r="F333" s="21"/>
      <c r="G333" s="27">
        <f>G334</f>
        <v>200</v>
      </c>
      <c r="H333" s="202"/>
    </row>
    <row r="334" spans="1:8" ht="47.25">
      <c r="A334" s="26" t="s">
        <v>366</v>
      </c>
      <c r="B334" s="17">
        <v>903</v>
      </c>
      <c r="C334" s="21" t="s">
        <v>340</v>
      </c>
      <c r="D334" s="21" t="s">
        <v>159</v>
      </c>
      <c r="E334" s="42" t="s">
        <v>367</v>
      </c>
      <c r="F334" s="21"/>
      <c r="G334" s="27">
        <f>G335</f>
        <v>200</v>
      </c>
      <c r="H334" s="202"/>
    </row>
    <row r="335" spans="1:8" ht="47.25">
      <c r="A335" s="26" t="s">
        <v>313</v>
      </c>
      <c r="B335" s="17">
        <v>903</v>
      </c>
      <c r="C335" s="21" t="s">
        <v>340</v>
      </c>
      <c r="D335" s="21" t="s">
        <v>159</v>
      </c>
      <c r="E335" s="42" t="s">
        <v>367</v>
      </c>
      <c r="F335" s="21" t="s">
        <v>314</v>
      </c>
      <c r="G335" s="27">
        <f>G336</f>
        <v>200</v>
      </c>
      <c r="H335" s="202"/>
    </row>
    <row r="336" spans="1:8" ht="15.75">
      <c r="A336" s="26" t="s">
        <v>315</v>
      </c>
      <c r="B336" s="17">
        <v>903</v>
      </c>
      <c r="C336" s="21" t="s">
        <v>340</v>
      </c>
      <c r="D336" s="21" t="s">
        <v>159</v>
      </c>
      <c r="E336" s="42" t="s">
        <v>367</v>
      </c>
      <c r="F336" s="21" t="s">
        <v>316</v>
      </c>
      <c r="G336" s="27">
        <v>200</v>
      </c>
      <c r="H336" s="202"/>
    </row>
    <row r="337" spans="1:8" ht="15.75">
      <c r="A337" s="26" t="s">
        <v>162</v>
      </c>
      <c r="B337" s="17">
        <v>903</v>
      </c>
      <c r="C337" s="21" t="s">
        <v>340</v>
      </c>
      <c r="D337" s="21" t="s">
        <v>159</v>
      </c>
      <c r="E337" s="21" t="s">
        <v>163</v>
      </c>
      <c r="F337" s="21"/>
      <c r="G337" s="27">
        <f>G338</f>
        <v>2137.9</v>
      </c>
      <c r="H337" s="202"/>
    </row>
    <row r="338" spans="1:8" ht="31.5">
      <c r="A338" s="26" t="s">
        <v>226</v>
      </c>
      <c r="B338" s="17">
        <v>903</v>
      </c>
      <c r="C338" s="21" t="s">
        <v>340</v>
      </c>
      <c r="D338" s="21" t="s">
        <v>159</v>
      </c>
      <c r="E338" s="21" t="s">
        <v>227</v>
      </c>
      <c r="F338" s="21"/>
      <c r="G338" s="27">
        <f>G339+G344+G349+G352+G355</f>
        <v>2137.9</v>
      </c>
      <c r="H338" s="202"/>
    </row>
    <row r="339" spans="1:8" ht="31.5" hidden="1">
      <c r="A339" s="38" t="s">
        <v>368</v>
      </c>
      <c r="B339" s="39">
        <v>903</v>
      </c>
      <c r="C339" s="21" t="s">
        <v>340</v>
      </c>
      <c r="D339" s="21" t="s">
        <v>159</v>
      </c>
      <c r="E339" s="21" t="s">
        <v>369</v>
      </c>
      <c r="F339" s="21"/>
      <c r="G339" s="27">
        <f>G340+G342</f>
        <v>0</v>
      </c>
      <c r="H339" s="202"/>
    </row>
    <row r="340" spans="1:8" ht="31.5" hidden="1">
      <c r="A340" s="26" t="s">
        <v>172</v>
      </c>
      <c r="B340" s="39">
        <v>903</v>
      </c>
      <c r="C340" s="21" t="s">
        <v>340</v>
      </c>
      <c r="D340" s="21" t="s">
        <v>159</v>
      </c>
      <c r="E340" s="21" t="s">
        <v>369</v>
      </c>
      <c r="F340" s="21" t="s">
        <v>173</v>
      </c>
      <c r="G340" s="27">
        <f>G341</f>
        <v>0</v>
      </c>
      <c r="H340" s="202"/>
    </row>
    <row r="341" spans="1:9" ht="47.25" hidden="1">
      <c r="A341" s="26" t="s">
        <v>174</v>
      </c>
      <c r="B341" s="17">
        <v>903</v>
      </c>
      <c r="C341" s="21" t="s">
        <v>340</v>
      </c>
      <c r="D341" s="21" t="s">
        <v>159</v>
      </c>
      <c r="E341" s="21" t="s">
        <v>369</v>
      </c>
      <c r="F341" s="21" t="s">
        <v>175</v>
      </c>
      <c r="G341" s="27">
        <f>1.4-1.4</f>
        <v>0</v>
      </c>
      <c r="H341" s="202"/>
      <c r="I341" s="136"/>
    </row>
    <row r="342" spans="1:8" ht="47.25" hidden="1">
      <c r="A342" s="26" t="s">
        <v>313</v>
      </c>
      <c r="B342" s="17">
        <v>903</v>
      </c>
      <c r="C342" s="21" t="s">
        <v>340</v>
      </c>
      <c r="D342" s="21" t="s">
        <v>159</v>
      </c>
      <c r="E342" s="21" t="s">
        <v>369</v>
      </c>
      <c r="F342" s="21" t="s">
        <v>314</v>
      </c>
      <c r="G342" s="27">
        <f>G343</f>
        <v>0</v>
      </c>
      <c r="H342" s="202"/>
    </row>
    <row r="343" spans="1:9" ht="15.75" hidden="1">
      <c r="A343" s="26" t="s">
        <v>315</v>
      </c>
      <c r="B343" s="17">
        <v>903</v>
      </c>
      <c r="C343" s="21" t="s">
        <v>340</v>
      </c>
      <c r="D343" s="21" t="s">
        <v>159</v>
      </c>
      <c r="E343" s="21" t="s">
        <v>369</v>
      </c>
      <c r="F343" s="21" t="s">
        <v>316</v>
      </c>
      <c r="G343" s="27">
        <f>2.9-2.9</f>
        <v>0</v>
      </c>
      <c r="H343" s="202"/>
      <c r="I343" s="136"/>
    </row>
    <row r="344" spans="1:8" ht="31.5">
      <c r="A344" s="26" t="s">
        <v>370</v>
      </c>
      <c r="B344" s="17">
        <v>903</v>
      </c>
      <c r="C344" s="21" t="s">
        <v>340</v>
      </c>
      <c r="D344" s="21" t="s">
        <v>159</v>
      </c>
      <c r="E344" s="21" t="s">
        <v>371</v>
      </c>
      <c r="F344" s="21"/>
      <c r="G344" s="27">
        <f>G345+G347</f>
        <v>177.3</v>
      </c>
      <c r="H344" s="202"/>
    </row>
    <row r="345" spans="1:8" ht="31.5" hidden="1">
      <c r="A345" s="26" t="s">
        <v>172</v>
      </c>
      <c r="B345" s="17">
        <v>903</v>
      </c>
      <c r="C345" s="21" t="s">
        <v>340</v>
      </c>
      <c r="D345" s="21" t="s">
        <v>159</v>
      </c>
      <c r="E345" s="21" t="s">
        <v>371</v>
      </c>
      <c r="F345" s="21" t="s">
        <v>173</v>
      </c>
      <c r="G345" s="27">
        <f>G346</f>
        <v>0</v>
      </c>
      <c r="H345" s="202"/>
    </row>
    <row r="346" spans="1:8" ht="47.25" hidden="1">
      <c r="A346" s="26" t="s">
        <v>174</v>
      </c>
      <c r="B346" s="17">
        <v>903</v>
      </c>
      <c r="C346" s="21" t="s">
        <v>340</v>
      </c>
      <c r="D346" s="21" t="s">
        <v>159</v>
      </c>
      <c r="E346" s="21" t="s">
        <v>371</v>
      </c>
      <c r="F346" s="40">
        <v>240</v>
      </c>
      <c r="G346" s="27">
        <v>0</v>
      </c>
      <c r="H346" s="202"/>
    </row>
    <row r="347" spans="1:8" ht="47.25">
      <c r="A347" s="26" t="s">
        <v>313</v>
      </c>
      <c r="B347" s="17">
        <v>903</v>
      </c>
      <c r="C347" s="21" t="s">
        <v>340</v>
      </c>
      <c r="D347" s="21" t="s">
        <v>159</v>
      </c>
      <c r="E347" s="21" t="s">
        <v>371</v>
      </c>
      <c r="F347" s="21" t="s">
        <v>314</v>
      </c>
      <c r="G347" s="27">
        <f>G348</f>
        <v>177.3</v>
      </c>
      <c r="H347" s="202"/>
    </row>
    <row r="348" spans="1:9" ht="15.75">
      <c r="A348" s="26" t="s">
        <v>315</v>
      </c>
      <c r="B348" s="17">
        <v>903</v>
      </c>
      <c r="C348" s="21" t="s">
        <v>340</v>
      </c>
      <c r="D348" s="21" t="s">
        <v>159</v>
      </c>
      <c r="E348" s="21" t="s">
        <v>371</v>
      </c>
      <c r="F348" s="21" t="s">
        <v>316</v>
      </c>
      <c r="G348" s="27">
        <f>274.5-97.2</f>
        <v>177.3</v>
      </c>
      <c r="H348" s="202"/>
      <c r="I348" s="136"/>
    </row>
    <row r="349" spans="1:8" ht="78.75">
      <c r="A349" s="26" t="s">
        <v>372</v>
      </c>
      <c r="B349" s="17">
        <v>903</v>
      </c>
      <c r="C349" s="21" t="s">
        <v>340</v>
      </c>
      <c r="D349" s="21" t="s">
        <v>159</v>
      </c>
      <c r="E349" s="21" t="s">
        <v>373</v>
      </c>
      <c r="F349" s="21"/>
      <c r="G349" s="27">
        <f>G350</f>
        <v>263.3</v>
      </c>
      <c r="H349" s="202"/>
    </row>
    <row r="350" spans="1:8" ht="47.25">
      <c r="A350" s="26" t="s">
        <v>313</v>
      </c>
      <c r="B350" s="17">
        <v>903</v>
      </c>
      <c r="C350" s="21" t="s">
        <v>340</v>
      </c>
      <c r="D350" s="21" t="s">
        <v>159</v>
      </c>
      <c r="E350" s="21" t="s">
        <v>373</v>
      </c>
      <c r="F350" s="21" t="s">
        <v>314</v>
      </c>
      <c r="G350" s="27">
        <f>G351</f>
        <v>263.3</v>
      </c>
      <c r="H350" s="202"/>
    </row>
    <row r="351" spans="1:9" ht="15.75">
      <c r="A351" s="26" t="s">
        <v>315</v>
      </c>
      <c r="B351" s="17">
        <v>903</v>
      </c>
      <c r="C351" s="21" t="s">
        <v>340</v>
      </c>
      <c r="D351" s="21" t="s">
        <v>159</v>
      </c>
      <c r="E351" s="21" t="s">
        <v>373</v>
      </c>
      <c r="F351" s="21" t="s">
        <v>316</v>
      </c>
      <c r="G351" s="27">
        <f>247.6+15.7</f>
        <v>263.3</v>
      </c>
      <c r="H351" s="202"/>
      <c r="I351" s="136"/>
    </row>
    <row r="352" spans="1:8" ht="110.25">
      <c r="A352" s="33" t="s">
        <v>334</v>
      </c>
      <c r="B352" s="17">
        <v>903</v>
      </c>
      <c r="C352" s="21" t="s">
        <v>340</v>
      </c>
      <c r="D352" s="21" t="s">
        <v>159</v>
      </c>
      <c r="E352" s="21" t="s">
        <v>335</v>
      </c>
      <c r="F352" s="21"/>
      <c r="G352" s="27">
        <f>G353</f>
        <v>1693.3000000000002</v>
      </c>
      <c r="H352" s="202"/>
    </row>
    <row r="353" spans="1:8" ht="47.25">
      <c r="A353" s="26" t="s">
        <v>313</v>
      </c>
      <c r="B353" s="17">
        <v>903</v>
      </c>
      <c r="C353" s="21" t="s">
        <v>340</v>
      </c>
      <c r="D353" s="21" t="s">
        <v>159</v>
      </c>
      <c r="E353" s="21" t="s">
        <v>335</v>
      </c>
      <c r="F353" s="21" t="s">
        <v>314</v>
      </c>
      <c r="G353" s="27">
        <f>G354</f>
        <v>1693.3000000000002</v>
      </c>
      <c r="H353" s="202"/>
    </row>
    <row r="354" spans="1:8" ht="15.75">
      <c r="A354" s="26" t="s">
        <v>315</v>
      </c>
      <c r="B354" s="17">
        <v>903</v>
      </c>
      <c r="C354" s="21" t="s">
        <v>340</v>
      </c>
      <c r="D354" s="21" t="s">
        <v>159</v>
      </c>
      <c r="E354" s="21" t="s">
        <v>335</v>
      </c>
      <c r="F354" s="21" t="s">
        <v>316</v>
      </c>
      <c r="G354" s="27">
        <f>1929.4-236.1</f>
        <v>1693.3000000000002</v>
      </c>
      <c r="H354" s="202"/>
    </row>
    <row r="355" spans="1:8" ht="15.75">
      <c r="A355" s="33" t="s">
        <v>750</v>
      </c>
      <c r="B355" s="17">
        <v>903</v>
      </c>
      <c r="C355" s="21" t="s">
        <v>340</v>
      </c>
      <c r="D355" s="21" t="s">
        <v>159</v>
      </c>
      <c r="E355" s="21" t="s">
        <v>751</v>
      </c>
      <c r="F355" s="21"/>
      <c r="G355" s="27">
        <f>G356</f>
        <v>4</v>
      </c>
      <c r="H355" s="202"/>
    </row>
    <row r="356" spans="1:8" ht="47.25">
      <c r="A356" s="26" t="s">
        <v>313</v>
      </c>
      <c r="B356" s="17">
        <v>903</v>
      </c>
      <c r="C356" s="21" t="s">
        <v>340</v>
      </c>
      <c r="D356" s="21" t="s">
        <v>159</v>
      </c>
      <c r="E356" s="21" t="s">
        <v>751</v>
      </c>
      <c r="F356" s="21" t="s">
        <v>314</v>
      </c>
      <c r="G356" s="27">
        <f>G357</f>
        <v>4</v>
      </c>
      <c r="H356" s="202"/>
    </row>
    <row r="357" spans="1:8" ht="15.75">
      <c r="A357" s="26" t="s">
        <v>315</v>
      </c>
      <c r="B357" s="17">
        <v>903</v>
      </c>
      <c r="C357" s="21" t="s">
        <v>340</v>
      </c>
      <c r="D357" s="21" t="s">
        <v>159</v>
      </c>
      <c r="E357" s="21" t="s">
        <v>751</v>
      </c>
      <c r="F357" s="21" t="s">
        <v>316</v>
      </c>
      <c r="G357" s="27">
        <v>4</v>
      </c>
      <c r="H357" s="127"/>
    </row>
    <row r="358" spans="1:8" ht="31.5">
      <c r="A358" s="24" t="s">
        <v>374</v>
      </c>
      <c r="B358" s="20">
        <v>903</v>
      </c>
      <c r="C358" s="25" t="s">
        <v>340</v>
      </c>
      <c r="D358" s="25" t="s">
        <v>191</v>
      </c>
      <c r="E358" s="25"/>
      <c r="F358" s="25"/>
      <c r="G358" s="22">
        <f>G359+G373+G369</f>
        <v>17278.8</v>
      </c>
      <c r="H358" s="202"/>
    </row>
    <row r="359" spans="1:9" ht="47.25">
      <c r="A359" s="26" t="s">
        <v>375</v>
      </c>
      <c r="B359" s="17">
        <v>903</v>
      </c>
      <c r="C359" s="21" t="s">
        <v>340</v>
      </c>
      <c r="D359" s="21" t="s">
        <v>191</v>
      </c>
      <c r="E359" s="21" t="s">
        <v>376</v>
      </c>
      <c r="F359" s="21"/>
      <c r="G359" s="27">
        <f>G360+G363+G366</f>
        <v>125</v>
      </c>
      <c r="H359" s="202"/>
      <c r="I359" s="136"/>
    </row>
    <row r="360" spans="1:8" ht="31.5" hidden="1">
      <c r="A360" s="26" t="s">
        <v>377</v>
      </c>
      <c r="B360" s="17">
        <v>903</v>
      </c>
      <c r="C360" s="21" t="s">
        <v>340</v>
      </c>
      <c r="D360" s="21" t="s">
        <v>191</v>
      </c>
      <c r="E360" s="21" t="s">
        <v>378</v>
      </c>
      <c r="F360" s="21"/>
      <c r="G360" s="27">
        <f>G361</f>
        <v>0</v>
      </c>
      <c r="H360" s="202"/>
    </row>
    <row r="361" spans="1:8" ht="31.5" hidden="1">
      <c r="A361" s="26" t="s">
        <v>172</v>
      </c>
      <c r="B361" s="17">
        <v>903</v>
      </c>
      <c r="C361" s="21" t="s">
        <v>340</v>
      </c>
      <c r="D361" s="21" t="s">
        <v>191</v>
      </c>
      <c r="E361" s="21" t="s">
        <v>378</v>
      </c>
      <c r="F361" s="21" t="s">
        <v>173</v>
      </c>
      <c r="G361" s="27">
        <f>G362</f>
        <v>0</v>
      </c>
      <c r="H361" s="202"/>
    </row>
    <row r="362" spans="1:8" ht="47.25" hidden="1">
      <c r="A362" s="26" t="s">
        <v>174</v>
      </c>
      <c r="B362" s="17">
        <v>903</v>
      </c>
      <c r="C362" s="21" t="s">
        <v>340</v>
      </c>
      <c r="D362" s="21" t="s">
        <v>191</v>
      </c>
      <c r="E362" s="21" t="s">
        <v>378</v>
      </c>
      <c r="F362" s="21" t="s">
        <v>175</v>
      </c>
      <c r="G362" s="27">
        <v>0</v>
      </c>
      <c r="H362" s="202"/>
    </row>
    <row r="363" spans="1:8" ht="31.5">
      <c r="A363" s="26" t="s">
        <v>379</v>
      </c>
      <c r="B363" s="17">
        <v>903</v>
      </c>
      <c r="C363" s="21" t="s">
        <v>340</v>
      </c>
      <c r="D363" s="21" t="s">
        <v>191</v>
      </c>
      <c r="E363" s="21" t="s">
        <v>380</v>
      </c>
      <c r="F363" s="21"/>
      <c r="G363" s="27">
        <f>G364</f>
        <v>20</v>
      </c>
      <c r="H363" s="202"/>
    </row>
    <row r="364" spans="1:8" ht="31.5">
      <c r="A364" s="26" t="s">
        <v>172</v>
      </c>
      <c r="B364" s="17">
        <v>903</v>
      </c>
      <c r="C364" s="21" t="s">
        <v>340</v>
      </c>
      <c r="D364" s="21" t="s">
        <v>191</v>
      </c>
      <c r="E364" s="21" t="s">
        <v>380</v>
      </c>
      <c r="F364" s="21" t="s">
        <v>173</v>
      </c>
      <c r="G364" s="27">
        <f>G365</f>
        <v>20</v>
      </c>
      <c r="H364" s="202"/>
    </row>
    <row r="365" spans="1:8" ht="47.25">
      <c r="A365" s="26" t="s">
        <v>174</v>
      </c>
      <c r="B365" s="17">
        <v>903</v>
      </c>
      <c r="C365" s="21" t="s">
        <v>340</v>
      </c>
      <c r="D365" s="21" t="s">
        <v>191</v>
      </c>
      <c r="E365" s="21" t="s">
        <v>380</v>
      </c>
      <c r="F365" s="21" t="s">
        <v>175</v>
      </c>
      <c r="G365" s="27">
        <v>20</v>
      </c>
      <c r="H365" s="202"/>
    </row>
    <row r="366" spans="1:8" ht="63">
      <c r="A366" s="26" t="s">
        <v>783</v>
      </c>
      <c r="B366" s="17">
        <v>903</v>
      </c>
      <c r="C366" s="21" t="s">
        <v>340</v>
      </c>
      <c r="D366" s="21" t="s">
        <v>191</v>
      </c>
      <c r="E366" s="21" t="s">
        <v>745</v>
      </c>
      <c r="F366" s="21"/>
      <c r="G366" s="27">
        <f>G367</f>
        <v>105</v>
      </c>
      <c r="H366" s="202"/>
    </row>
    <row r="367" spans="1:8" ht="39.75" customHeight="1">
      <c r="A367" s="26" t="s">
        <v>172</v>
      </c>
      <c r="B367" s="17">
        <v>903</v>
      </c>
      <c r="C367" s="21" t="s">
        <v>340</v>
      </c>
      <c r="D367" s="21" t="s">
        <v>191</v>
      </c>
      <c r="E367" s="21" t="s">
        <v>745</v>
      </c>
      <c r="F367" s="21" t="s">
        <v>173</v>
      </c>
      <c r="G367" s="27">
        <f>G368</f>
        <v>105</v>
      </c>
      <c r="H367" s="202"/>
    </row>
    <row r="368" spans="1:9" ht="47.25">
      <c r="A368" s="26" t="s">
        <v>174</v>
      </c>
      <c r="B368" s="17">
        <v>903</v>
      </c>
      <c r="C368" s="21" t="s">
        <v>340</v>
      </c>
      <c r="D368" s="21" t="s">
        <v>191</v>
      </c>
      <c r="E368" s="21" t="s">
        <v>745</v>
      </c>
      <c r="F368" s="21" t="s">
        <v>175</v>
      </c>
      <c r="G368" s="27">
        <f>55+50</f>
        <v>105</v>
      </c>
      <c r="H368" s="127"/>
      <c r="I368" s="147"/>
    </row>
    <row r="369" spans="1:8" ht="63">
      <c r="A369" s="31" t="s">
        <v>782</v>
      </c>
      <c r="B369" s="17">
        <v>903</v>
      </c>
      <c r="C369" s="21" t="s">
        <v>340</v>
      </c>
      <c r="D369" s="21" t="s">
        <v>191</v>
      </c>
      <c r="E369" s="21" t="s">
        <v>780</v>
      </c>
      <c r="F369" s="21"/>
      <c r="G369" s="27">
        <f>G370</f>
        <v>5</v>
      </c>
      <c r="H369" s="202"/>
    </row>
    <row r="370" spans="1:8" ht="31.5">
      <c r="A370" s="26" t="s">
        <v>410</v>
      </c>
      <c r="B370" s="17">
        <v>903</v>
      </c>
      <c r="C370" s="21" t="s">
        <v>340</v>
      </c>
      <c r="D370" s="21" t="s">
        <v>191</v>
      </c>
      <c r="E370" s="21" t="s">
        <v>788</v>
      </c>
      <c r="F370" s="21"/>
      <c r="G370" s="27">
        <f>G371</f>
        <v>5</v>
      </c>
      <c r="H370" s="202"/>
    </row>
    <row r="371" spans="1:8" ht="31.5">
      <c r="A371" s="26" t="s">
        <v>172</v>
      </c>
      <c r="B371" s="17">
        <v>903</v>
      </c>
      <c r="C371" s="21" t="s">
        <v>340</v>
      </c>
      <c r="D371" s="21" t="s">
        <v>191</v>
      </c>
      <c r="E371" s="21" t="s">
        <v>788</v>
      </c>
      <c r="F371" s="21" t="s">
        <v>173</v>
      </c>
      <c r="G371" s="27">
        <f>G372</f>
        <v>5</v>
      </c>
      <c r="H371" s="202"/>
    </row>
    <row r="372" spans="1:9" ht="47.25">
      <c r="A372" s="26" t="s">
        <v>174</v>
      </c>
      <c r="B372" s="17">
        <v>903</v>
      </c>
      <c r="C372" s="21" t="s">
        <v>340</v>
      </c>
      <c r="D372" s="21" t="s">
        <v>191</v>
      </c>
      <c r="E372" s="21" t="s">
        <v>788</v>
      </c>
      <c r="F372" s="21" t="s">
        <v>175</v>
      </c>
      <c r="G372" s="27">
        <v>5</v>
      </c>
      <c r="H372" s="127"/>
      <c r="I372" s="147"/>
    </row>
    <row r="373" spans="1:8" ht="15.75">
      <c r="A373" s="26" t="s">
        <v>162</v>
      </c>
      <c r="B373" s="17">
        <v>903</v>
      </c>
      <c r="C373" s="21" t="s">
        <v>340</v>
      </c>
      <c r="D373" s="21" t="s">
        <v>191</v>
      </c>
      <c r="E373" s="21" t="s">
        <v>163</v>
      </c>
      <c r="F373" s="21"/>
      <c r="G373" s="27">
        <f>G374+G380</f>
        <v>17148.8</v>
      </c>
      <c r="H373" s="202"/>
    </row>
    <row r="374" spans="1:8" ht="31.5">
      <c r="A374" s="26" t="s">
        <v>164</v>
      </c>
      <c r="B374" s="17">
        <v>903</v>
      </c>
      <c r="C374" s="21" t="s">
        <v>340</v>
      </c>
      <c r="D374" s="21" t="s">
        <v>191</v>
      </c>
      <c r="E374" s="21" t="s">
        <v>165</v>
      </c>
      <c r="F374" s="21"/>
      <c r="G374" s="27">
        <f>G375</f>
        <v>6754.9</v>
      </c>
      <c r="H374" s="202"/>
    </row>
    <row r="375" spans="1:8" ht="47.25">
      <c r="A375" s="26" t="s">
        <v>166</v>
      </c>
      <c r="B375" s="17">
        <v>903</v>
      </c>
      <c r="C375" s="21" t="s">
        <v>340</v>
      </c>
      <c r="D375" s="21" t="s">
        <v>191</v>
      </c>
      <c r="E375" s="21" t="s">
        <v>167</v>
      </c>
      <c r="F375" s="21"/>
      <c r="G375" s="27">
        <f>G376+G378</f>
        <v>6754.9</v>
      </c>
      <c r="H375" s="202"/>
    </row>
    <row r="376" spans="1:8" ht="94.5">
      <c r="A376" s="26" t="s">
        <v>168</v>
      </c>
      <c r="B376" s="17">
        <v>903</v>
      </c>
      <c r="C376" s="21" t="s">
        <v>340</v>
      </c>
      <c r="D376" s="21" t="s">
        <v>191</v>
      </c>
      <c r="E376" s="21" t="s">
        <v>167</v>
      </c>
      <c r="F376" s="21" t="s">
        <v>169</v>
      </c>
      <c r="G376" s="27">
        <f>G377</f>
        <v>6754.9</v>
      </c>
      <c r="H376" s="202"/>
    </row>
    <row r="377" spans="1:8" ht="31.5">
      <c r="A377" s="26" t="s">
        <v>170</v>
      </c>
      <c r="B377" s="17">
        <v>903</v>
      </c>
      <c r="C377" s="21" t="s">
        <v>340</v>
      </c>
      <c r="D377" s="21" t="s">
        <v>191</v>
      </c>
      <c r="E377" s="21" t="s">
        <v>167</v>
      </c>
      <c r="F377" s="21" t="s">
        <v>171</v>
      </c>
      <c r="G377" s="28">
        <v>6754.9</v>
      </c>
      <c r="H377" s="202"/>
    </row>
    <row r="378" spans="1:8" ht="31.5" hidden="1">
      <c r="A378" s="26" t="s">
        <v>172</v>
      </c>
      <c r="B378" s="17">
        <v>903</v>
      </c>
      <c r="C378" s="21" t="s">
        <v>340</v>
      </c>
      <c r="D378" s="21" t="s">
        <v>191</v>
      </c>
      <c r="E378" s="21" t="s">
        <v>167</v>
      </c>
      <c r="F378" s="21" t="s">
        <v>173</v>
      </c>
      <c r="G378" s="27">
        <f>G379</f>
        <v>0</v>
      </c>
      <c r="H378" s="202"/>
    </row>
    <row r="379" spans="1:8" ht="47.25" hidden="1">
      <c r="A379" s="26" t="s">
        <v>174</v>
      </c>
      <c r="B379" s="17">
        <v>903</v>
      </c>
      <c r="C379" s="21" t="s">
        <v>340</v>
      </c>
      <c r="D379" s="21" t="s">
        <v>191</v>
      </c>
      <c r="E379" s="21" t="s">
        <v>167</v>
      </c>
      <c r="F379" s="21" t="s">
        <v>175</v>
      </c>
      <c r="G379" s="27"/>
      <c r="H379" s="202"/>
    </row>
    <row r="380" spans="1:8" ht="15.75">
      <c r="A380" s="26" t="s">
        <v>182</v>
      </c>
      <c r="B380" s="17">
        <v>903</v>
      </c>
      <c r="C380" s="21" t="s">
        <v>340</v>
      </c>
      <c r="D380" s="21" t="s">
        <v>191</v>
      </c>
      <c r="E380" s="21" t="s">
        <v>183</v>
      </c>
      <c r="F380" s="21"/>
      <c r="G380" s="27">
        <f>G381</f>
        <v>10393.9</v>
      </c>
      <c r="H380" s="202"/>
    </row>
    <row r="381" spans="1:11" ht="31.5">
      <c r="A381" s="26" t="s">
        <v>381</v>
      </c>
      <c r="B381" s="17">
        <v>903</v>
      </c>
      <c r="C381" s="21" t="s">
        <v>340</v>
      </c>
      <c r="D381" s="21" t="s">
        <v>191</v>
      </c>
      <c r="E381" s="21" t="s">
        <v>382</v>
      </c>
      <c r="F381" s="21"/>
      <c r="G381" s="27">
        <f>G382+G384+G386</f>
        <v>10393.9</v>
      </c>
      <c r="H381" s="202"/>
      <c r="J381" s="419"/>
      <c r="K381" s="419"/>
    </row>
    <row r="382" spans="1:11" ht="94.5">
      <c r="A382" s="26" t="s">
        <v>168</v>
      </c>
      <c r="B382" s="17">
        <v>903</v>
      </c>
      <c r="C382" s="21" t="s">
        <v>340</v>
      </c>
      <c r="D382" s="21" t="s">
        <v>191</v>
      </c>
      <c r="E382" s="21" t="s">
        <v>382</v>
      </c>
      <c r="F382" s="21" t="s">
        <v>169</v>
      </c>
      <c r="G382" s="27">
        <f>G383</f>
        <v>8721.4</v>
      </c>
      <c r="H382" s="202"/>
      <c r="J382" s="419"/>
      <c r="K382" s="419"/>
    </row>
    <row r="383" spans="1:11" ht="31.5">
      <c r="A383" s="26" t="s">
        <v>383</v>
      </c>
      <c r="B383" s="17">
        <v>903</v>
      </c>
      <c r="C383" s="21" t="s">
        <v>340</v>
      </c>
      <c r="D383" s="21" t="s">
        <v>191</v>
      </c>
      <c r="E383" s="21" t="s">
        <v>382</v>
      </c>
      <c r="F383" s="21" t="s">
        <v>250</v>
      </c>
      <c r="G383" s="28">
        <f>8596.3-84.9+210</f>
        <v>8721.4</v>
      </c>
      <c r="H383" s="127"/>
      <c r="I383" s="147"/>
      <c r="J383" s="419"/>
      <c r="K383" s="419"/>
    </row>
    <row r="384" spans="1:11" ht="31.5">
      <c r="A384" s="26" t="s">
        <v>172</v>
      </c>
      <c r="B384" s="17">
        <v>903</v>
      </c>
      <c r="C384" s="21" t="s">
        <v>340</v>
      </c>
      <c r="D384" s="21" t="s">
        <v>191</v>
      </c>
      <c r="E384" s="21" t="s">
        <v>382</v>
      </c>
      <c r="F384" s="21" t="s">
        <v>173</v>
      </c>
      <c r="G384" s="27">
        <f>G385</f>
        <v>1652.5</v>
      </c>
      <c r="H384" s="202"/>
      <c r="J384" s="419"/>
      <c r="K384" s="419"/>
    </row>
    <row r="385" spans="1:11" ht="47.25">
      <c r="A385" s="26" t="s">
        <v>174</v>
      </c>
      <c r="B385" s="17">
        <v>903</v>
      </c>
      <c r="C385" s="21" t="s">
        <v>340</v>
      </c>
      <c r="D385" s="21" t="s">
        <v>191</v>
      </c>
      <c r="E385" s="21" t="s">
        <v>382</v>
      </c>
      <c r="F385" s="21" t="s">
        <v>175</v>
      </c>
      <c r="G385" s="28">
        <f>1663.9+135.6-147</f>
        <v>1652.5</v>
      </c>
      <c r="H385" s="127"/>
      <c r="I385" s="148"/>
      <c r="J385" s="419"/>
      <c r="K385" s="419"/>
    </row>
    <row r="386" spans="1:11" ht="15.75">
      <c r="A386" s="26" t="s">
        <v>176</v>
      </c>
      <c r="B386" s="17">
        <v>903</v>
      </c>
      <c r="C386" s="21" t="s">
        <v>340</v>
      </c>
      <c r="D386" s="21" t="s">
        <v>191</v>
      </c>
      <c r="E386" s="21" t="s">
        <v>382</v>
      </c>
      <c r="F386" s="21" t="s">
        <v>186</v>
      </c>
      <c r="G386" s="27">
        <f>G387</f>
        <v>20</v>
      </c>
      <c r="H386" s="202"/>
      <c r="J386" s="419"/>
      <c r="K386" s="419"/>
    </row>
    <row r="387" spans="1:11" ht="15.75">
      <c r="A387" s="26" t="s">
        <v>610</v>
      </c>
      <c r="B387" s="17">
        <v>903</v>
      </c>
      <c r="C387" s="21" t="s">
        <v>340</v>
      </c>
      <c r="D387" s="21" t="s">
        <v>191</v>
      </c>
      <c r="E387" s="21" t="s">
        <v>382</v>
      </c>
      <c r="F387" s="21" t="s">
        <v>179</v>
      </c>
      <c r="G387" s="27">
        <v>20</v>
      </c>
      <c r="H387" s="202"/>
      <c r="J387" s="419"/>
      <c r="K387" s="419"/>
    </row>
    <row r="388" spans="1:8" ht="15.75">
      <c r="A388" s="24" t="s">
        <v>284</v>
      </c>
      <c r="B388" s="20">
        <v>903</v>
      </c>
      <c r="C388" s="25" t="s">
        <v>285</v>
      </c>
      <c r="D388" s="25"/>
      <c r="E388" s="25"/>
      <c r="F388" s="25"/>
      <c r="G388" s="22">
        <f>G389</f>
        <v>4625</v>
      </c>
      <c r="H388" s="202"/>
    </row>
    <row r="389" spans="1:8" ht="15.75">
      <c r="A389" s="24" t="s">
        <v>293</v>
      </c>
      <c r="B389" s="20">
        <v>903</v>
      </c>
      <c r="C389" s="25" t="s">
        <v>285</v>
      </c>
      <c r="D389" s="25" t="s">
        <v>256</v>
      </c>
      <c r="E389" s="25"/>
      <c r="F389" s="25"/>
      <c r="G389" s="22">
        <f>G390+G443</f>
        <v>4625</v>
      </c>
      <c r="H389" s="202"/>
    </row>
    <row r="390" spans="1:8" ht="47.25">
      <c r="A390" s="26" t="s">
        <v>384</v>
      </c>
      <c r="B390" s="17">
        <v>903</v>
      </c>
      <c r="C390" s="21" t="s">
        <v>285</v>
      </c>
      <c r="D390" s="21" t="s">
        <v>256</v>
      </c>
      <c r="E390" s="21" t="s">
        <v>385</v>
      </c>
      <c r="F390" s="21"/>
      <c r="G390" s="27">
        <f>G391+G399+G403+G407+G413+G417+G421+G439</f>
        <v>3693</v>
      </c>
      <c r="H390" s="202"/>
    </row>
    <row r="391" spans="1:8" ht="31.5">
      <c r="A391" s="26" t="s">
        <v>386</v>
      </c>
      <c r="B391" s="17">
        <v>903</v>
      </c>
      <c r="C391" s="21" t="s">
        <v>285</v>
      </c>
      <c r="D391" s="21" t="s">
        <v>256</v>
      </c>
      <c r="E391" s="21" t="s">
        <v>387</v>
      </c>
      <c r="F391" s="21"/>
      <c r="G391" s="27">
        <f>G392+G396</f>
        <v>935</v>
      </c>
      <c r="H391" s="202"/>
    </row>
    <row r="392" spans="1:8" ht="31.5">
      <c r="A392" s="26" t="s">
        <v>172</v>
      </c>
      <c r="B392" s="17">
        <v>903</v>
      </c>
      <c r="C392" s="21" t="s">
        <v>285</v>
      </c>
      <c r="D392" s="21" t="s">
        <v>256</v>
      </c>
      <c r="E392" s="21" t="s">
        <v>388</v>
      </c>
      <c r="F392" s="21" t="s">
        <v>173</v>
      </c>
      <c r="G392" s="27">
        <f>G393</f>
        <v>666.4</v>
      </c>
      <c r="H392" s="202"/>
    </row>
    <row r="393" spans="1:8" ht="47.25">
      <c r="A393" s="26" t="s">
        <v>174</v>
      </c>
      <c r="B393" s="17">
        <v>903</v>
      </c>
      <c r="C393" s="21" t="s">
        <v>285</v>
      </c>
      <c r="D393" s="21" t="s">
        <v>256</v>
      </c>
      <c r="E393" s="21" t="s">
        <v>388</v>
      </c>
      <c r="F393" s="21" t="s">
        <v>175</v>
      </c>
      <c r="G393" s="27">
        <f>669.4-3</f>
        <v>666.4</v>
      </c>
      <c r="H393" s="202"/>
    </row>
    <row r="394" spans="1:8" ht="31.5" hidden="1">
      <c r="A394" s="26" t="s">
        <v>289</v>
      </c>
      <c r="B394" s="17">
        <v>903</v>
      </c>
      <c r="C394" s="21" t="s">
        <v>285</v>
      </c>
      <c r="D394" s="21" t="s">
        <v>256</v>
      </c>
      <c r="E394" s="21" t="s">
        <v>388</v>
      </c>
      <c r="F394" s="21" t="s">
        <v>290</v>
      </c>
      <c r="G394" s="27">
        <f>G395</f>
        <v>0</v>
      </c>
      <c r="H394" s="202"/>
    </row>
    <row r="395" spans="1:8" ht="31.5" hidden="1">
      <c r="A395" s="26" t="s">
        <v>389</v>
      </c>
      <c r="B395" s="17">
        <v>903</v>
      </c>
      <c r="C395" s="21" t="s">
        <v>285</v>
      </c>
      <c r="D395" s="21" t="s">
        <v>256</v>
      </c>
      <c r="E395" s="21" t="s">
        <v>388</v>
      </c>
      <c r="F395" s="21" t="s">
        <v>390</v>
      </c>
      <c r="G395" s="27">
        <v>0</v>
      </c>
      <c r="H395" s="202"/>
    </row>
    <row r="396" spans="1:8" ht="31.5">
      <c r="A396" s="26" t="s">
        <v>391</v>
      </c>
      <c r="B396" s="17">
        <v>903</v>
      </c>
      <c r="C396" s="21" t="s">
        <v>285</v>
      </c>
      <c r="D396" s="21" t="s">
        <v>256</v>
      </c>
      <c r="E396" s="21" t="s">
        <v>392</v>
      </c>
      <c r="F396" s="21"/>
      <c r="G396" s="27">
        <f>G397</f>
        <v>268.6</v>
      </c>
      <c r="H396" s="202"/>
    </row>
    <row r="397" spans="1:8" ht="47.25">
      <c r="A397" s="26" t="s">
        <v>313</v>
      </c>
      <c r="B397" s="17">
        <v>903</v>
      </c>
      <c r="C397" s="21" t="s">
        <v>285</v>
      </c>
      <c r="D397" s="21" t="s">
        <v>256</v>
      </c>
      <c r="E397" s="21" t="s">
        <v>392</v>
      </c>
      <c r="F397" s="21" t="s">
        <v>314</v>
      </c>
      <c r="G397" s="27">
        <f>G398</f>
        <v>268.6</v>
      </c>
      <c r="H397" s="202"/>
    </row>
    <row r="398" spans="1:8" ht="15.75">
      <c r="A398" s="26" t="s">
        <v>315</v>
      </c>
      <c r="B398" s="17">
        <v>903</v>
      </c>
      <c r="C398" s="21" t="s">
        <v>285</v>
      </c>
      <c r="D398" s="21" t="s">
        <v>256</v>
      </c>
      <c r="E398" s="21" t="s">
        <v>392</v>
      </c>
      <c r="F398" s="21" t="s">
        <v>316</v>
      </c>
      <c r="G398" s="27">
        <f>160.5+108.1</f>
        <v>268.6</v>
      </c>
      <c r="H398" s="127"/>
    </row>
    <row r="399" spans="1:8" ht="31.5">
      <c r="A399" s="26" t="s">
        <v>393</v>
      </c>
      <c r="B399" s="17">
        <v>903</v>
      </c>
      <c r="C399" s="21" t="s">
        <v>285</v>
      </c>
      <c r="D399" s="21" t="s">
        <v>256</v>
      </c>
      <c r="E399" s="21" t="s">
        <v>394</v>
      </c>
      <c r="F399" s="21"/>
      <c r="G399" s="27">
        <f>G400</f>
        <v>63</v>
      </c>
      <c r="H399" s="202"/>
    </row>
    <row r="400" spans="1:8" ht="31.5">
      <c r="A400" s="26" t="s">
        <v>198</v>
      </c>
      <c r="B400" s="17">
        <v>903</v>
      </c>
      <c r="C400" s="21" t="s">
        <v>285</v>
      </c>
      <c r="D400" s="21" t="s">
        <v>256</v>
      </c>
      <c r="E400" s="21" t="s">
        <v>395</v>
      </c>
      <c r="F400" s="21"/>
      <c r="G400" s="27">
        <f>G401</f>
        <v>63</v>
      </c>
      <c r="H400" s="202"/>
    </row>
    <row r="401" spans="1:8" ht="31.5">
      <c r="A401" s="26" t="s">
        <v>289</v>
      </c>
      <c r="B401" s="17">
        <v>903</v>
      </c>
      <c r="C401" s="21" t="s">
        <v>285</v>
      </c>
      <c r="D401" s="21" t="s">
        <v>256</v>
      </c>
      <c r="E401" s="21" t="s">
        <v>395</v>
      </c>
      <c r="F401" s="21" t="s">
        <v>290</v>
      </c>
      <c r="G401" s="27">
        <f>G402</f>
        <v>63</v>
      </c>
      <c r="H401" s="202"/>
    </row>
    <row r="402" spans="1:8" ht="31.5">
      <c r="A402" s="26" t="s">
        <v>291</v>
      </c>
      <c r="B402" s="17">
        <v>903</v>
      </c>
      <c r="C402" s="21" t="s">
        <v>285</v>
      </c>
      <c r="D402" s="21" t="s">
        <v>256</v>
      </c>
      <c r="E402" s="21" t="s">
        <v>395</v>
      </c>
      <c r="F402" s="21" t="s">
        <v>292</v>
      </c>
      <c r="G402" s="27">
        <f>60+3</f>
        <v>63</v>
      </c>
      <c r="H402" s="202"/>
    </row>
    <row r="403" spans="1:8" ht="31.5">
      <c r="A403" s="26" t="s">
        <v>396</v>
      </c>
      <c r="B403" s="17">
        <v>903</v>
      </c>
      <c r="C403" s="17">
        <v>10</v>
      </c>
      <c r="D403" s="21" t="s">
        <v>256</v>
      </c>
      <c r="E403" s="21" t="s">
        <v>397</v>
      </c>
      <c r="F403" s="21"/>
      <c r="G403" s="27">
        <f>G404</f>
        <v>420</v>
      </c>
      <c r="H403" s="202"/>
    </row>
    <row r="404" spans="1:8" ht="31.5">
      <c r="A404" s="26" t="s">
        <v>198</v>
      </c>
      <c r="B404" s="17">
        <v>903</v>
      </c>
      <c r="C404" s="21" t="s">
        <v>285</v>
      </c>
      <c r="D404" s="21" t="s">
        <v>256</v>
      </c>
      <c r="E404" s="21" t="s">
        <v>398</v>
      </c>
      <c r="F404" s="21"/>
      <c r="G404" s="27">
        <f>G405</f>
        <v>420</v>
      </c>
      <c r="H404" s="202"/>
    </row>
    <row r="405" spans="1:8" ht="31.5">
      <c r="A405" s="26" t="s">
        <v>289</v>
      </c>
      <c r="B405" s="17">
        <v>903</v>
      </c>
      <c r="C405" s="21" t="s">
        <v>285</v>
      </c>
      <c r="D405" s="21" t="s">
        <v>256</v>
      </c>
      <c r="E405" s="21" t="s">
        <v>398</v>
      </c>
      <c r="F405" s="21" t="s">
        <v>290</v>
      </c>
      <c r="G405" s="27">
        <f>G406</f>
        <v>420</v>
      </c>
      <c r="H405" s="202"/>
    </row>
    <row r="406" spans="1:8" ht="31.5">
      <c r="A406" s="26" t="s">
        <v>389</v>
      </c>
      <c r="B406" s="17">
        <v>903</v>
      </c>
      <c r="C406" s="21" t="s">
        <v>285</v>
      </c>
      <c r="D406" s="21" t="s">
        <v>256</v>
      </c>
      <c r="E406" s="21" t="s">
        <v>398</v>
      </c>
      <c r="F406" s="21" t="s">
        <v>390</v>
      </c>
      <c r="G406" s="27">
        <v>420</v>
      </c>
      <c r="H406" s="202"/>
    </row>
    <row r="407" spans="1:8" ht="15.75">
      <c r="A407" s="26" t="s">
        <v>399</v>
      </c>
      <c r="B407" s="17">
        <v>903</v>
      </c>
      <c r="C407" s="17">
        <v>10</v>
      </c>
      <c r="D407" s="21" t="s">
        <v>256</v>
      </c>
      <c r="E407" s="21" t="s">
        <v>400</v>
      </c>
      <c r="F407" s="21"/>
      <c r="G407" s="27">
        <f>G408</f>
        <v>1595</v>
      </c>
      <c r="H407" s="202"/>
    </row>
    <row r="408" spans="1:8" ht="31.5">
      <c r="A408" s="26" t="s">
        <v>198</v>
      </c>
      <c r="B408" s="17">
        <v>903</v>
      </c>
      <c r="C408" s="21" t="s">
        <v>285</v>
      </c>
      <c r="D408" s="21" t="s">
        <v>256</v>
      </c>
      <c r="E408" s="21" t="s">
        <v>401</v>
      </c>
      <c r="F408" s="21"/>
      <c r="G408" s="27">
        <f>G409+G411</f>
        <v>1595</v>
      </c>
      <c r="H408" s="202"/>
    </row>
    <row r="409" spans="1:8" ht="31.5">
      <c r="A409" s="26" t="s">
        <v>172</v>
      </c>
      <c r="B409" s="17">
        <v>903</v>
      </c>
      <c r="C409" s="21" t="s">
        <v>285</v>
      </c>
      <c r="D409" s="21" t="s">
        <v>256</v>
      </c>
      <c r="E409" s="21" t="s">
        <v>401</v>
      </c>
      <c r="F409" s="21" t="s">
        <v>173</v>
      </c>
      <c r="G409" s="27">
        <f>G410</f>
        <v>547</v>
      </c>
      <c r="H409" s="202"/>
    </row>
    <row r="410" spans="1:8" ht="47.25">
      <c r="A410" s="26" t="s">
        <v>174</v>
      </c>
      <c r="B410" s="17">
        <v>903</v>
      </c>
      <c r="C410" s="21" t="s">
        <v>285</v>
      </c>
      <c r="D410" s="21" t="s">
        <v>256</v>
      </c>
      <c r="E410" s="21" t="s">
        <v>401</v>
      </c>
      <c r="F410" s="21" t="s">
        <v>175</v>
      </c>
      <c r="G410" s="187">
        <f>552-50+45</f>
        <v>547</v>
      </c>
      <c r="H410" s="182" t="s">
        <v>823</v>
      </c>
    </row>
    <row r="411" spans="1:8" ht="31.5">
      <c r="A411" s="26" t="s">
        <v>289</v>
      </c>
      <c r="B411" s="17">
        <v>903</v>
      </c>
      <c r="C411" s="21" t="s">
        <v>285</v>
      </c>
      <c r="D411" s="21" t="s">
        <v>256</v>
      </c>
      <c r="E411" s="21" t="s">
        <v>401</v>
      </c>
      <c r="F411" s="21" t="s">
        <v>290</v>
      </c>
      <c r="G411" s="27">
        <f>G412</f>
        <v>1048</v>
      </c>
      <c r="H411" s="202"/>
    </row>
    <row r="412" spans="1:8" ht="31.5">
      <c r="A412" s="26" t="s">
        <v>389</v>
      </c>
      <c r="B412" s="17">
        <v>903</v>
      </c>
      <c r="C412" s="21" t="s">
        <v>285</v>
      </c>
      <c r="D412" s="21" t="s">
        <v>256</v>
      </c>
      <c r="E412" s="21" t="s">
        <v>401</v>
      </c>
      <c r="F412" s="21" t="s">
        <v>390</v>
      </c>
      <c r="G412" s="27">
        <v>1048</v>
      </c>
      <c r="H412" s="202"/>
    </row>
    <row r="413" spans="1:8" ht="47.25">
      <c r="A413" s="26" t="s">
        <v>402</v>
      </c>
      <c r="B413" s="17">
        <v>903</v>
      </c>
      <c r="C413" s="21" t="s">
        <v>285</v>
      </c>
      <c r="D413" s="21" t="s">
        <v>256</v>
      </c>
      <c r="E413" s="21" t="s">
        <v>403</v>
      </c>
      <c r="F413" s="21"/>
      <c r="G413" s="27">
        <f>G414</f>
        <v>335</v>
      </c>
      <c r="H413" s="202"/>
    </row>
    <row r="414" spans="1:8" ht="31.5">
      <c r="A414" s="26" t="s">
        <v>198</v>
      </c>
      <c r="B414" s="17">
        <v>903</v>
      </c>
      <c r="C414" s="21" t="s">
        <v>285</v>
      </c>
      <c r="D414" s="21" t="s">
        <v>256</v>
      </c>
      <c r="E414" s="21" t="s">
        <v>404</v>
      </c>
      <c r="F414" s="21"/>
      <c r="G414" s="27">
        <f>G415</f>
        <v>335</v>
      </c>
      <c r="H414" s="202"/>
    </row>
    <row r="415" spans="1:8" ht="31.5">
      <c r="A415" s="26" t="s">
        <v>289</v>
      </c>
      <c r="B415" s="17">
        <v>903</v>
      </c>
      <c r="C415" s="21" t="s">
        <v>285</v>
      </c>
      <c r="D415" s="21" t="s">
        <v>256</v>
      </c>
      <c r="E415" s="21" t="s">
        <v>404</v>
      </c>
      <c r="F415" s="21" t="s">
        <v>290</v>
      </c>
      <c r="G415" s="27">
        <f>G416</f>
        <v>335</v>
      </c>
      <c r="H415" s="202"/>
    </row>
    <row r="416" spans="1:8" ht="31.5">
      <c r="A416" s="26" t="s">
        <v>389</v>
      </c>
      <c r="B416" s="17">
        <v>903</v>
      </c>
      <c r="C416" s="21" t="s">
        <v>285</v>
      </c>
      <c r="D416" s="21" t="s">
        <v>256</v>
      </c>
      <c r="E416" s="21" t="s">
        <v>404</v>
      </c>
      <c r="F416" s="21" t="s">
        <v>390</v>
      </c>
      <c r="G416" s="27">
        <f>400-65</f>
        <v>335</v>
      </c>
      <c r="H416" s="202"/>
    </row>
    <row r="417" spans="1:8" ht="63">
      <c r="A417" s="26" t="s">
        <v>405</v>
      </c>
      <c r="B417" s="17">
        <v>903</v>
      </c>
      <c r="C417" s="21" t="s">
        <v>285</v>
      </c>
      <c r="D417" s="21" t="s">
        <v>256</v>
      </c>
      <c r="E417" s="21" t="s">
        <v>406</v>
      </c>
      <c r="F417" s="21"/>
      <c r="G417" s="27">
        <f>G418</f>
        <v>210</v>
      </c>
      <c r="H417" s="202"/>
    </row>
    <row r="418" spans="1:8" ht="31.5">
      <c r="A418" s="26" t="s">
        <v>198</v>
      </c>
      <c r="B418" s="17">
        <v>903</v>
      </c>
      <c r="C418" s="21" t="s">
        <v>285</v>
      </c>
      <c r="D418" s="21" t="s">
        <v>256</v>
      </c>
      <c r="E418" s="21" t="s">
        <v>407</v>
      </c>
      <c r="F418" s="21"/>
      <c r="G418" s="27">
        <f>G419</f>
        <v>210</v>
      </c>
      <c r="H418" s="202"/>
    </row>
    <row r="419" spans="1:8" ht="31.5">
      <c r="A419" s="26" t="s">
        <v>172</v>
      </c>
      <c r="B419" s="17">
        <v>903</v>
      </c>
      <c r="C419" s="21" t="s">
        <v>285</v>
      </c>
      <c r="D419" s="21" t="s">
        <v>256</v>
      </c>
      <c r="E419" s="21" t="s">
        <v>407</v>
      </c>
      <c r="F419" s="21" t="s">
        <v>173</v>
      </c>
      <c r="G419" s="27">
        <f>G420</f>
        <v>210</v>
      </c>
      <c r="H419" s="202"/>
    </row>
    <row r="420" spans="1:8" ht="47.25">
      <c r="A420" s="26" t="s">
        <v>174</v>
      </c>
      <c r="B420" s="17">
        <v>903</v>
      </c>
      <c r="C420" s="21" t="s">
        <v>285</v>
      </c>
      <c r="D420" s="21" t="s">
        <v>256</v>
      </c>
      <c r="E420" s="21" t="s">
        <v>407</v>
      </c>
      <c r="F420" s="21" t="s">
        <v>175</v>
      </c>
      <c r="G420" s="27">
        <f>150+60</f>
        <v>210</v>
      </c>
      <c r="H420" s="202"/>
    </row>
    <row r="421" spans="1:8" ht="63">
      <c r="A421" s="26" t="s">
        <v>408</v>
      </c>
      <c r="B421" s="17">
        <v>903</v>
      </c>
      <c r="C421" s="21" t="s">
        <v>285</v>
      </c>
      <c r="D421" s="21" t="s">
        <v>256</v>
      </c>
      <c r="E421" s="21" t="s">
        <v>409</v>
      </c>
      <c r="F421" s="21"/>
      <c r="G421" s="27">
        <f>G422+G434+G428+G431</f>
        <v>30</v>
      </c>
      <c r="H421" s="202"/>
    </row>
    <row r="422" spans="1:8" ht="47.25" customHeight="1">
      <c r="A422" s="26" t="s">
        <v>410</v>
      </c>
      <c r="B422" s="17">
        <v>903</v>
      </c>
      <c r="C422" s="21" t="s">
        <v>285</v>
      </c>
      <c r="D422" s="21" t="s">
        <v>256</v>
      </c>
      <c r="E422" s="21" t="s">
        <v>411</v>
      </c>
      <c r="F422" s="21"/>
      <c r="G422" s="27">
        <f>G423</f>
        <v>20</v>
      </c>
      <c r="H422" s="202"/>
    </row>
    <row r="423" spans="1:8" ht="47.25">
      <c r="A423" s="26" t="s">
        <v>313</v>
      </c>
      <c r="B423" s="17">
        <v>903</v>
      </c>
      <c r="C423" s="21" t="s">
        <v>285</v>
      </c>
      <c r="D423" s="21" t="s">
        <v>256</v>
      </c>
      <c r="E423" s="21" t="s">
        <v>411</v>
      </c>
      <c r="F423" s="21" t="s">
        <v>314</v>
      </c>
      <c r="G423" s="27">
        <f>G424</f>
        <v>20</v>
      </c>
      <c r="H423" s="202"/>
    </row>
    <row r="424" spans="1:8" ht="63">
      <c r="A424" s="41" t="s">
        <v>412</v>
      </c>
      <c r="B424" s="17">
        <v>903</v>
      </c>
      <c r="C424" s="21" t="s">
        <v>285</v>
      </c>
      <c r="D424" s="21" t="s">
        <v>256</v>
      </c>
      <c r="E424" s="21" t="s">
        <v>411</v>
      </c>
      <c r="F424" s="21" t="s">
        <v>413</v>
      </c>
      <c r="G424" s="27">
        <f>30-10</f>
        <v>20</v>
      </c>
      <c r="H424" s="127"/>
    </row>
    <row r="425" spans="1:8" ht="15.75" hidden="1">
      <c r="A425" s="41"/>
      <c r="B425" s="17"/>
      <c r="C425" s="21"/>
      <c r="D425" s="21"/>
      <c r="E425" s="21"/>
      <c r="F425" s="21"/>
      <c r="G425" s="27"/>
      <c r="H425" s="129"/>
    </row>
    <row r="426" spans="1:8" ht="15.75" hidden="1">
      <c r="A426" s="41"/>
      <c r="B426" s="17"/>
      <c r="C426" s="21"/>
      <c r="D426" s="21"/>
      <c r="E426" s="21"/>
      <c r="F426" s="21"/>
      <c r="G426" s="27"/>
      <c r="H426" s="129"/>
    </row>
    <row r="427" spans="1:8" ht="15.75" hidden="1">
      <c r="A427" s="41"/>
      <c r="B427" s="17"/>
      <c r="C427" s="21"/>
      <c r="D427" s="21"/>
      <c r="E427" s="21"/>
      <c r="F427" s="21"/>
      <c r="G427" s="27"/>
      <c r="H427" s="129"/>
    </row>
    <row r="428" spans="1:8" ht="126" hidden="1">
      <c r="A428" s="26" t="s">
        <v>414</v>
      </c>
      <c r="B428" s="17">
        <v>903</v>
      </c>
      <c r="C428" s="21" t="s">
        <v>285</v>
      </c>
      <c r="D428" s="21" t="s">
        <v>256</v>
      </c>
      <c r="E428" s="21" t="s">
        <v>415</v>
      </c>
      <c r="F428" s="21"/>
      <c r="G428" s="27">
        <f>G429</f>
        <v>0</v>
      </c>
      <c r="H428" s="202"/>
    </row>
    <row r="429" spans="1:8" ht="15.75" hidden="1">
      <c r="A429" s="26" t="s">
        <v>176</v>
      </c>
      <c r="B429" s="17">
        <v>903</v>
      </c>
      <c r="C429" s="21" t="s">
        <v>285</v>
      </c>
      <c r="D429" s="21" t="s">
        <v>256</v>
      </c>
      <c r="E429" s="21" t="s">
        <v>415</v>
      </c>
      <c r="F429" s="21" t="s">
        <v>186</v>
      </c>
      <c r="G429" s="27">
        <f>G430</f>
        <v>0</v>
      </c>
      <c r="H429" s="202"/>
    </row>
    <row r="430" spans="1:8" ht="63" hidden="1">
      <c r="A430" s="26" t="s">
        <v>225</v>
      </c>
      <c r="B430" s="17">
        <v>903</v>
      </c>
      <c r="C430" s="21" t="s">
        <v>285</v>
      </c>
      <c r="D430" s="21" t="s">
        <v>256</v>
      </c>
      <c r="E430" s="21" t="s">
        <v>415</v>
      </c>
      <c r="F430" s="21" t="s">
        <v>201</v>
      </c>
      <c r="G430" s="27">
        <v>0</v>
      </c>
      <c r="H430" s="202"/>
    </row>
    <row r="431" spans="1:8" ht="63">
      <c r="A431" s="26" t="s">
        <v>416</v>
      </c>
      <c r="B431" s="17">
        <v>903</v>
      </c>
      <c r="C431" s="21" t="s">
        <v>285</v>
      </c>
      <c r="D431" s="21" t="s">
        <v>256</v>
      </c>
      <c r="E431" s="21" t="s">
        <v>417</v>
      </c>
      <c r="F431" s="21"/>
      <c r="G431" s="27">
        <f>G432</f>
        <v>10</v>
      </c>
      <c r="H431" s="202"/>
    </row>
    <row r="432" spans="1:8" ht="31.5">
      <c r="A432" s="26" t="s">
        <v>289</v>
      </c>
      <c r="B432" s="17">
        <v>903</v>
      </c>
      <c r="C432" s="21" t="s">
        <v>285</v>
      </c>
      <c r="D432" s="21" t="s">
        <v>256</v>
      </c>
      <c r="E432" s="21" t="s">
        <v>417</v>
      </c>
      <c r="F432" s="21" t="s">
        <v>290</v>
      </c>
      <c r="G432" s="27">
        <f>G433</f>
        <v>10</v>
      </c>
      <c r="H432" s="202"/>
    </row>
    <row r="433" spans="1:8" ht="31.5">
      <c r="A433" s="26" t="s">
        <v>291</v>
      </c>
      <c r="B433" s="17">
        <v>903</v>
      </c>
      <c r="C433" s="21" t="s">
        <v>285</v>
      </c>
      <c r="D433" s="21" t="s">
        <v>256</v>
      </c>
      <c r="E433" s="21" t="s">
        <v>417</v>
      </c>
      <c r="F433" s="21" t="s">
        <v>292</v>
      </c>
      <c r="G433" s="27">
        <v>10</v>
      </c>
      <c r="H433" s="127"/>
    </row>
    <row r="434" spans="1:8" ht="31.5" hidden="1">
      <c r="A434" s="26" t="s">
        <v>418</v>
      </c>
      <c r="B434" s="17">
        <v>903</v>
      </c>
      <c r="C434" s="21" t="s">
        <v>285</v>
      </c>
      <c r="D434" s="21" t="s">
        <v>256</v>
      </c>
      <c r="E434" s="21" t="s">
        <v>419</v>
      </c>
      <c r="F434" s="21"/>
      <c r="G434" s="27">
        <f>G435+G437</f>
        <v>0</v>
      </c>
      <c r="H434" s="202"/>
    </row>
    <row r="435" spans="1:8" ht="31.5" hidden="1">
      <c r="A435" s="26" t="s">
        <v>172</v>
      </c>
      <c r="B435" s="17">
        <v>903</v>
      </c>
      <c r="C435" s="21" t="s">
        <v>285</v>
      </c>
      <c r="D435" s="21" t="s">
        <v>256</v>
      </c>
      <c r="E435" s="21" t="s">
        <v>419</v>
      </c>
      <c r="F435" s="21" t="s">
        <v>173</v>
      </c>
      <c r="G435" s="27">
        <f>G436</f>
        <v>0</v>
      </c>
      <c r="H435" s="202"/>
    </row>
    <row r="436" spans="1:8" ht="47.25" hidden="1">
      <c r="A436" s="26" t="s">
        <v>174</v>
      </c>
      <c r="B436" s="17">
        <v>903</v>
      </c>
      <c r="C436" s="21" t="s">
        <v>285</v>
      </c>
      <c r="D436" s="21" t="s">
        <v>256</v>
      </c>
      <c r="E436" s="21" t="s">
        <v>419</v>
      </c>
      <c r="F436" s="21" t="s">
        <v>175</v>
      </c>
      <c r="G436" s="27">
        <v>0</v>
      </c>
      <c r="H436" s="202"/>
    </row>
    <row r="437" spans="1:8" ht="15.75" hidden="1">
      <c r="A437" s="26" t="s">
        <v>176</v>
      </c>
      <c r="B437" s="17">
        <v>903</v>
      </c>
      <c r="C437" s="21" t="s">
        <v>285</v>
      </c>
      <c r="D437" s="21" t="s">
        <v>256</v>
      </c>
      <c r="E437" s="21" t="s">
        <v>420</v>
      </c>
      <c r="F437" s="21" t="s">
        <v>186</v>
      </c>
      <c r="G437" s="27">
        <f>G438</f>
        <v>0</v>
      </c>
      <c r="H437" s="202"/>
    </row>
    <row r="438" spans="1:8" ht="63" hidden="1">
      <c r="A438" s="26" t="s">
        <v>225</v>
      </c>
      <c r="B438" s="17">
        <v>903</v>
      </c>
      <c r="C438" s="21" t="s">
        <v>285</v>
      </c>
      <c r="D438" s="21" t="s">
        <v>256</v>
      </c>
      <c r="E438" s="21" t="s">
        <v>420</v>
      </c>
      <c r="F438" s="21" t="s">
        <v>201</v>
      </c>
      <c r="G438" s="27">
        <v>0</v>
      </c>
      <c r="H438" s="202"/>
    </row>
    <row r="439" spans="1:8" ht="94.5">
      <c r="A439" s="31" t="s">
        <v>421</v>
      </c>
      <c r="B439" s="17">
        <v>903</v>
      </c>
      <c r="C439" s="42" t="s">
        <v>285</v>
      </c>
      <c r="D439" s="42" t="s">
        <v>256</v>
      </c>
      <c r="E439" s="42" t="s">
        <v>422</v>
      </c>
      <c r="F439" s="42"/>
      <c r="G439" s="27">
        <f>G440</f>
        <v>105</v>
      </c>
      <c r="H439" s="202"/>
    </row>
    <row r="440" spans="1:8" ht="31.5">
      <c r="A440" s="31" t="s">
        <v>198</v>
      </c>
      <c r="B440" s="17">
        <v>903</v>
      </c>
      <c r="C440" s="42" t="s">
        <v>285</v>
      </c>
      <c r="D440" s="42" t="s">
        <v>256</v>
      </c>
      <c r="E440" s="42" t="s">
        <v>423</v>
      </c>
      <c r="F440" s="42"/>
      <c r="G440" s="27">
        <f>G441</f>
        <v>105</v>
      </c>
      <c r="H440" s="202"/>
    </row>
    <row r="441" spans="1:8" ht="31.5">
      <c r="A441" s="31" t="s">
        <v>172</v>
      </c>
      <c r="B441" s="17">
        <v>903</v>
      </c>
      <c r="C441" s="42" t="s">
        <v>285</v>
      </c>
      <c r="D441" s="42" t="s">
        <v>256</v>
      </c>
      <c r="E441" s="42" t="s">
        <v>423</v>
      </c>
      <c r="F441" s="42" t="s">
        <v>173</v>
      </c>
      <c r="G441" s="27">
        <f>G442</f>
        <v>105</v>
      </c>
      <c r="H441" s="202"/>
    </row>
    <row r="442" spans="1:8" ht="47.25">
      <c r="A442" s="31" t="s">
        <v>174</v>
      </c>
      <c r="B442" s="17">
        <v>903</v>
      </c>
      <c r="C442" s="42" t="s">
        <v>285</v>
      </c>
      <c r="D442" s="42" t="s">
        <v>256</v>
      </c>
      <c r="E442" s="42" t="s">
        <v>423</v>
      </c>
      <c r="F442" s="42" t="s">
        <v>175</v>
      </c>
      <c r="G442" s="27">
        <f>50+55</f>
        <v>105</v>
      </c>
      <c r="H442" s="202"/>
    </row>
    <row r="443" spans="1:8" ht="15.75">
      <c r="A443" s="26" t="s">
        <v>162</v>
      </c>
      <c r="B443" s="17">
        <v>903</v>
      </c>
      <c r="C443" s="21" t="s">
        <v>285</v>
      </c>
      <c r="D443" s="21" t="s">
        <v>256</v>
      </c>
      <c r="E443" s="21" t="s">
        <v>163</v>
      </c>
      <c r="F443" s="21"/>
      <c r="G443" s="27">
        <f>G444+G455</f>
        <v>932</v>
      </c>
      <c r="H443" s="202"/>
    </row>
    <row r="444" spans="1:8" ht="31.5">
      <c r="A444" s="26" t="s">
        <v>226</v>
      </c>
      <c r="B444" s="17">
        <v>903</v>
      </c>
      <c r="C444" s="21" t="s">
        <v>285</v>
      </c>
      <c r="D444" s="21" t="s">
        <v>256</v>
      </c>
      <c r="E444" s="21" t="s">
        <v>227</v>
      </c>
      <c r="F444" s="21"/>
      <c r="G444" s="27">
        <f>G451+G445+G448</f>
        <v>932</v>
      </c>
      <c r="H444" s="202"/>
    </row>
    <row r="445" spans="1:8" ht="15.75">
      <c r="A445" s="26" t="s">
        <v>424</v>
      </c>
      <c r="B445" s="17">
        <v>903</v>
      </c>
      <c r="C445" s="21" t="s">
        <v>285</v>
      </c>
      <c r="D445" s="21" t="s">
        <v>256</v>
      </c>
      <c r="E445" s="21" t="s">
        <v>425</v>
      </c>
      <c r="F445" s="21"/>
      <c r="G445" s="27">
        <f>G446</f>
        <v>372.6</v>
      </c>
      <c r="H445" s="202"/>
    </row>
    <row r="446" spans="1:8" ht="31.5">
      <c r="A446" s="26" t="s">
        <v>289</v>
      </c>
      <c r="B446" s="17">
        <v>903</v>
      </c>
      <c r="C446" s="21" t="s">
        <v>285</v>
      </c>
      <c r="D446" s="21" t="s">
        <v>256</v>
      </c>
      <c r="E446" s="21" t="s">
        <v>425</v>
      </c>
      <c r="F446" s="21" t="s">
        <v>290</v>
      </c>
      <c r="G446" s="27">
        <f>G447</f>
        <v>372.6</v>
      </c>
      <c r="H446" s="202"/>
    </row>
    <row r="447" spans="1:9" ht="31.5">
      <c r="A447" s="26" t="s">
        <v>291</v>
      </c>
      <c r="B447" s="17">
        <v>903</v>
      </c>
      <c r="C447" s="21" t="s">
        <v>285</v>
      </c>
      <c r="D447" s="21" t="s">
        <v>256</v>
      </c>
      <c r="E447" s="21" t="s">
        <v>425</v>
      </c>
      <c r="F447" s="21" t="s">
        <v>292</v>
      </c>
      <c r="G447" s="27">
        <v>372.6</v>
      </c>
      <c r="H447" s="127"/>
      <c r="I447" s="147"/>
    </row>
    <row r="448" spans="1:10" ht="63">
      <c r="A448" s="26" t="s">
        <v>416</v>
      </c>
      <c r="B448" s="17">
        <v>903</v>
      </c>
      <c r="C448" s="21" t="s">
        <v>285</v>
      </c>
      <c r="D448" s="21" t="s">
        <v>256</v>
      </c>
      <c r="E448" s="21" t="s">
        <v>426</v>
      </c>
      <c r="F448" s="21"/>
      <c r="G448" s="27">
        <f>G449</f>
        <v>500</v>
      </c>
      <c r="H448" s="202"/>
      <c r="J448" s="130"/>
    </row>
    <row r="449" spans="1:10" ht="31.5">
      <c r="A449" s="26" t="s">
        <v>289</v>
      </c>
      <c r="B449" s="17">
        <v>903</v>
      </c>
      <c r="C449" s="21" t="s">
        <v>285</v>
      </c>
      <c r="D449" s="21" t="s">
        <v>256</v>
      </c>
      <c r="E449" s="21" t="s">
        <v>426</v>
      </c>
      <c r="F449" s="21" t="s">
        <v>290</v>
      </c>
      <c r="G449" s="27">
        <f>G450</f>
        <v>500</v>
      </c>
      <c r="H449" s="202"/>
      <c r="J449" s="130"/>
    </row>
    <row r="450" spans="1:10" ht="31.5">
      <c r="A450" s="26" t="s">
        <v>291</v>
      </c>
      <c r="B450" s="17">
        <v>903</v>
      </c>
      <c r="C450" s="21" t="s">
        <v>285</v>
      </c>
      <c r="D450" s="21" t="s">
        <v>256</v>
      </c>
      <c r="E450" s="21" t="s">
        <v>426</v>
      </c>
      <c r="F450" s="21" t="s">
        <v>292</v>
      </c>
      <c r="G450" s="27">
        <v>500</v>
      </c>
      <c r="H450" s="127"/>
      <c r="J450" s="130"/>
    </row>
    <row r="451" spans="1:10" ht="54" customHeight="1">
      <c r="A451" s="189" t="s">
        <v>811</v>
      </c>
      <c r="B451" s="17">
        <v>903</v>
      </c>
      <c r="C451" s="21" t="s">
        <v>285</v>
      </c>
      <c r="D451" s="21" t="s">
        <v>256</v>
      </c>
      <c r="E451" s="21" t="s">
        <v>428</v>
      </c>
      <c r="F451" s="21"/>
      <c r="G451" s="27">
        <f>G452</f>
        <v>59.4</v>
      </c>
      <c r="H451" s="202"/>
      <c r="J451" s="130"/>
    </row>
    <row r="452" spans="1:10" ht="31.5">
      <c r="A452" s="26" t="s">
        <v>289</v>
      </c>
      <c r="B452" s="17">
        <v>903</v>
      </c>
      <c r="C452" s="21" t="s">
        <v>285</v>
      </c>
      <c r="D452" s="21" t="s">
        <v>256</v>
      </c>
      <c r="E452" s="21" t="s">
        <v>428</v>
      </c>
      <c r="F452" s="21" t="s">
        <v>290</v>
      </c>
      <c r="G452" s="27">
        <f>G453+G454</f>
        <v>59.4</v>
      </c>
      <c r="H452" s="202"/>
      <c r="J452" s="130"/>
    </row>
    <row r="453" spans="1:10" ht="31.5">
      <c r="A453" s="26" t="s">
        <v>389</v>
      </c>
      <c r="B453" s="17">
        <v>903</v>
      </c>
      <c r="C453" s="21" t="s">
        <v>285</v>
      </c>
      <c r="D453" s="21" t="s">
        <v>256</v>
      </c>
      <c r="E453" s="21" t="s">
        <v>428</v>
      </c>
      <c r="F453" s="21" t="s">
        <v>390</v>
      </c>
      <c r="G453" s="187">
        <v>59.4</v>
      </c>
      <c r="H453" s="182" t="s">
        <v>801</v>
      </c>
      <c r="J453" s="130"/>
    </row>
    <row r="454" spans="1:8" ht="31.5">
      <c r="A454" s="26" t="s">
        <v>291</v>
      </c>
      <c r="B454" s="17">
        <v>903</v>
      </c>
      <c r="C454" s="21" t="s">
        <v>285</v>
      </c>
      <c r="D454" s="21" t="s">
        <v>256</v>
      </c>
      <c r="E454" s="21" t="s">
        <v>428</v>
      </c>
      <c r="F454" s="21" t="s">
        <v>292</v>
      </c>
      <c r="G454" s="27"/>
      <c r="H454" s="202"/>
    </row>
    <row r="455" spans="1:8" ht="15.75">
      <c r="A455" s="26" t="s">
        <v>182</v>
      </c>
      <c r="B455" s="17">
        <v>903</v>
      </c>
      <c r="C455" s="21" t="s">
        <v>285</v>
      </c>
      <c r="D455" s="21" t="s">
        <v>256</v>
      </c>
      <c r="E455" s="21" t="s">
        <v>183</v>
      </c>
      <c r="F455" s="21"/>
      <c r="G455" s="27">
        <f>G456</f>
        <v>0</v>
      </c>
      <c r="H455" s="202"/>
    </row>
    <row r="456" spans="1:8" ht="15.75">
      <c r="A456" s="26" t="s">
        <v>242</v>
      </c>
      <c r="B456" s="17">
        <v>903</v>
      </c>
      <c r="C456" s="21" t="s">
        <v>285</v>
      </c>
      <c r="D456" s="21" t="s">
        <v>256</v>
      </c>
      <c r="E456" s="21" t="s">
        <v>243</v>
      </c>
      <c r="F456" s="21"/>
      <c r="G456" s="27">
        <f>G457</f>
        <v>0</v>
      </c>
      <c r="H456" s="202"/>
    </row>
    <row r="457" spans="1:8" ht="31.5">
      <c r="A457" s="26" t="s">
        <v>289</v>
      </c>
      <c r="B457" s="17">
        <v>903</v>
      </c>
      <c r="C457" s="21" t="s">
        <v>285</v>
      </c>
      <c r="D457" s="21" t="s">
        <v>256</v>
      </c>
      <c r="E457" s="21" t="s">
        <v>243</v>
      </c>
      <c r="F457" s="21" t="s">
        <v>290</v>
      </c>
      <c r="G457" s="27">
        <f>G458</f>
        <v>0</v>
      </c>
      <c r="H457" s="202"/>
    </row>
    <row r="458" spans="1:8" ht="31.5">
      <c r="A458" s="26" t="s">
        <v>389</v>
      </c>
      <c r="B458" s="17">
        <v>903</v>
      </c>
      <c r="C458" s="21" t="s">
        <v>285</v>
      </c>
      <c r="D458" s="21" t="s">
        <v>256</v>
      </c>
      <c r="E458" s="21" t="s">
        <v>243</v>
      </c>
      <c r="F458" s="21" t="s">
        <v>390</v>
      </c>
      <c r="G458" s="27">
        <v>0</v>
      </c>
      <c r="H458" s="202"/>
    </row>
    <row r="459" spans="1:8" ht="47.25">
      <c r="A459" s="20" t="s">
        <v>429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2"/>
    </row>
    <row r="460" spans="1:8" ht="15.75">
      <c r="A460" s="24" t="s">
        <v>158</v>
      </c>
      <c r="B460" s="20">
        <v>905</v>
      </c>
      <c r="C460" s="25" t="s">
        <v>159</v>
      </c>
      <c r="D460" s="21"/>
      <c r="E460" s="21"/>
      <c r="F460" s="21"/>
      <c r="G460" s="22">
        <f>G461+G471</f>
        <v>14701.94</v>
      </c>
      <c r="H460" s="202"/>
    </row>
    <row r="461" spans="1:8" ht="78.75">
      <c r="A461" s="24" t="s">
        <v>190</v>
      </c>
      <c r="B461" s="20">
        <v>905</v>
      </c>
      <c r="C461" s="25" t="s">
        <v>159</v>
      </c>
      <c r="D461" s="25" t="s">
        <v>191</v>
      </c>
      <c r="E461" s="25"/>
      <c r="F461" s="25"/>
      <c r="G461" s="22">
        <f>G462</f>
        <v>11089</v>
      </c>
      <c r="H461" s="202"/>
    </row>
    <row r="462" spans="1:8" ht="15.75">
      <c r="A462" s="26" t="s">
        <v>162</v>
      </c>
      <c r="B462" s="17">
        <v>905</v>
      </c>
      <c r="C462" s="21" t="s">
        <v>159</v>
      </c>
      <c r="D462" s="21" t="s">
        <v>191</v>
      </c>
      <c r="E462" s="21" t="s">
        <v>163</v>
      </c>
      <c r="F462" s="21"/>
      <c r="G462" s="27">
        <f>G463</f>
        <v>11089</v>
      </c>
      <c r="H462" s="202"/>
    </row>
    <row r="463" spans="1:8" ht="31.5">
      <c r="A463" s="26" t="s">
        <v>164</v>
      </c>
      <c r="B463" s="17">
        <v>905</v>
      </c>
      <c r="C463" s="21" t="s">
        <v>159</v>
      </c>
      <c r="D463" s="21" t="s">
        <v>191</v>
      </c>
      <c r="E463" s="21" t="s">
        <v>165</v>
      </c>
      <c r="F463" s="21"/>
      <c r="G463" s="27">
        <f>G464</f>
        <v>11089</v>
      </c>
      <c r="H463" s="202"/>
    </row>
    <row r="464" spans="1:8" ht="47.25">
      <c r="A464" s="26" t="s">
        <v>166</v>
      </c>
      <c r="B464" s="17">
        <v>905</v>
      </c>
      <c r="C464" s="21" t="s">
        <v>159</v>
      </c>
      <c r="D464" s="21" t="s">
        <v>191</v>
      </c>
      <c r="E464" s="21" t="s">
        <v>167</v>
      </c>
      <c r="F464" s="21"/>
      <c r="G464" s="27">
        <f>G465+G467+G469</f>
        <v>11089</v>
      </c>
      <c r="H464" s="202"/>
    </row>
    <row r="465" spans="1:8" ht="94.5">
      <c r="A465" s="26" t="s">
        <v>168</v>
      </c>
      <c r="B465" s="17">
        <v>905</v>
      </c>
      <c r="C465" s="21" t="s">
        <v>159</v>
      </c>
      <c r="D465" s="21" t="s">
        <v>191</v>
      </c>
      <c r="E465" s="21" t="s">
        <v>167</v>
      </c>
      <c r="F465" s="21" t="s">
        <v>169</v>
      </c>
      <c r="G465" s="27">
        <f>G466</f>
        <v>10200.7</v>
      </c>
      <c r="H465" s="202"/>
    </row>
    <row r="466" spans="1:8" ht="31.5">
      <c r="A466" s="26" t="s">
        <v>170</v>
      </c>
      <c r="B466" s="17">
        <v>905</v>
      </c>
      <c r="C466" s="21" t="s">
        <v>159</v>
      </c>
      <c r="D466" s="21" t="s">
        <v>191</v>
      </c>
      <c r="E466" s="21" t="s">
        <v>167</v>
      </c>
      <c r="F466" s="21" t="s">
        <v>171</v>
      </c>
      <c r="G466" s="28">
        <v>10200.7</v>
      </c>
      <c r="H466" s="202"/>
    </row>
    <row r="467" spans="1:8" ht="31.5">
      <c r="A467" s="26" t="s">
        <v>172</v>
      </c>
      <c r="B467" s="17">
        <v>905</v>
      </c>
      <c r="C467" s="21" t="s">
        <v>159</v>
      </c>
      <c r="D467" s="21" t="s">
        <v>191</v>
      </c>
      <c r="E467" s="21" t="s">
        <v>167</v>
      </c>
      <c r="F467" s="21" t="s">
        <v>173</v>
      </c>
      <c r="G467" s="27">
        <f>G468</f>
        <v>811.8</v>
      </c>
      <c r="H467" s="202"/>
    </row>
    <row r="468" spans="1:8" ht="47.25">
      <c r="A468" s="26" t="s">
        <v>174</v>
      </c>
      <c r="B468" s="17">
        <v>905</v>
      </c>
      <c r="C468" s="21" t="s">
        <v>159</v>
      </c>
      <c r="D468" s="21" t="s">
        <v>191</v>
      </c>
      <c r="E468" s="21" t="s">
        <v>167</v>
      </c>
      <c r="F468" s="21" t="s">
        <v>175</v>
      </c>
      <c r="G468" s="181">
        <f>885.8-74</f>
        <v>811.8</v>
      </c>
      <c r="H468" s="182" t="s">
        <v>796</v>
      </c>
    </row>
    <row r="469" spans="1:8" ht="15.75">
      <c r="A469" s="26" t="s">
        <v>176</v>
      </c>
      <c r="B469" s="17">
        <v>905</v>
      </c>
      <c r="C469" s="21" t="s">
        <v>159</v>
      </c>
      <c r="D469" s="21" t="s">
        <v>191</v>
      </c>
      <c r="E469" s="21" t="s">
        <v>167</v>
      </c>
      <c r="F469" s="21" t="s">
        <v>186</v>
      </c>
      <c r="G469" s="27">
        <f>G470</f>
        <v>76.5</v>
      </c>
      <c r="H469" s="202"/>
    </row>
    <row r="470" spans="1:8" ht="15.75">
      <c r="A470" s="26" t="s">
        <v>610</v>
      </c>
      <c r="B470" s="17">
        <v>905</v>
      </c>
      <c r="C470" s="21" t="s">
        <v>159</v>
      </c>
      <c r="D470" s="21" t="s">
        <v>191</v>
      </c>
      <c r="E470" s="21" t="s">
        <v>167</v>
      </c>
      <c r="F470" s="21" t="s">
        <v>179</v>
      </c>
      <c r="G470" s="183">
        <f>2.5+74</f>
        <v>76.5</v>
      </c>
      <c r="H470" s="182" t="s">
        <v>797</v>
      </c>
    </row>
    <row r="471" spans="1:8" ht="15.75">
      <c r="A471" s="24" t="s">
        <v>180</v>
      </c>
      <c r="B471" s="20">
        <v>905</v>
      </c>
      <c r="C471" s="25" t="s">
        <v>159</v>
      </c>
      <c r="D471" s="25" t="s">
        <v>181</v>
      </c>
      <c r="E471" s="25"/>
      <c r="F471" s="25"/>
      <c r="G471" s="22">
        <f>G472</f>
        <v>3612.94</v>
      </c>
      <c r="H471" s="202"/>
    </row>
    <row r="472" spans="1:8" ht="15.75">
      <c r="A472" s="26" t="s">
        <v>162</v>
      </c>
      <c r="B472" s="17">
        <v>905</v>
      </c>
      <c r="C472" s="21" t="s">
        <v>159</v>
      </c>
      <c r="D472" s="21" t="s">
        <v>181</v>
      </c>
      <c r="E472" s="21" t="s">
        <v>163</v>
      </c>
      <c r="F472" s="21"/>
      <c r="G472" s="27">
        <f>G473</f>
        <v>3612.94</v>
      </c>
      <c r="H472" s="202"/>
    </row>
    <row r="473" spans="1:8" ht="15.75">
      <c r="A473" s="26" t="s">
        <v>182</v>
      </c>
      <c r="B473" s="17">
        <v>905</v>
      </c>
      <c r="C473" s="21" t="s">
        <v>159</v>
      </c>
      <c r="D473" s="21" t="s">
        <v>181</v>
      </c>
      <c r="E473" s="21" t="s">
        <v>183</v>
      </c>
      <c r="F473" s="21"/>
      <c r="G473" s="27">
        <f>G474</f>
        <v>3612.94</v>
      </c>
      <c r="H473" s="202"/>
    </row>
    <row r="474" spans="1:8" ht="47.25">
      <c r="A474" s="26" t="s">
        <v>430</v>
      </c>
      <c r="B474" s="17">
        <v>905</v>
      </c>
      <c r="C474" s="21" t="s">
        <v>159</v>
      </c>
      <c r="D474" s="21" t="s">
        <v>181</v>
      </c>
      <c r="E474" s="21" t="s">
        <v>431</v>
      </c>
      <c r="F474" s="21"/>
      <c r="G474" s="27">
        <f>G475</f>
        <v>3612.94</v>
      </c>
      <c r="H474" s="202"/>
    </row>
    <row r="475" spans="1:8" ht="31.5">
      <c r="A475" s="26" t="s">
        <v>172</v>
      </c>
      <c r="B475" s="17">
        <v>905</v>
      </c>
      <c r="C475" s="21" t="s">
        <v>159</v>
      </c>
      <c r="D475" s="21" t="s">
        <v>181</v>
      </c>
      <c r="E475" s="21" t="s">
        <v>431</v>
      </c>
      <c r="F475" s="21" t="s">
        <v>173</v>
      </c>
      <c r="G475" s="27">
        <f>G476</f>
        <v>3612.94</v>
      </c>
      <c r="H475" s="202"/>
    </row>
    <row r="476" spans="1:9" ht="47.25">
      <c r="A476" s="26" t="s">
        <v>174</v>
      </c>
      <c r="B476" s="17">
        <v>905</v>
      </c>
      <c r="C476" s="21" t="s">
        <v>159</v>
      </c>
      <c r="D476" s="21" t="s">
        <v>181</v>
      </c>
      <c r="E476" s="21" t="s">
        <v>431</v>
      </c>
      <c r="F476" s="21" t="s">
        <v>175</v>
      </c>
      <c r="G476" s="187">
        <f>1961.14+1251.8+400</f>
        <v>3612.94</v>
      </c>
      <c r="H476" s="127" t="s">
        <v>814</v>
      </c>
      <c r="I476" s="147"/>
    </row>
    <row r="477" spans="1:8" ht="15.75">
      <c r="A477" s="43" t="s">
        <v>432</v>
      </c>
      <c r="B477" s="20">
        <v>905</v>
      </c>
      <c r="C477" s="25" t="s">
        <v>275</v>
      </c>
      <c r="D477" s="25"/>
      <c r="E477" s="25"/>
      <c r="F477" s="25"/>
      <c r="G477" s="22">
        <f>G478</f>
        <v>1099.8</v>
      </c>
      <c r="H477" s="202"/>
    </row>
    <row r="478" spans="1:8" ht="15.75">
      <c r="A478" s="43" t="s">
        <v>433</v>
      </c>
      <c r="B478" s="20">
        <v>905</v>
      </c>
      <c r="C478" s="25" t="s">
        <v>275</v>
      </c>
      <c r="D478" s="25" t="s">
        <v>159</v>
      </c>
      <c r="E478" s="25"/>
      <c r="F478" s="25"/>
      <c r="G478" s="27">
        <f>G479</f>
        <v>1099.8</v>
      </c>
      <c r="H478" s="202"/>
    </row>
    <row r="479" spans="1:8" ht="15.75">
      <c r="A479" s="31" t="s">
        <v>162</v>
      </c>
      <c r="B479" s="17">
        <v>905</v>
      </c>
      <c r="C479" s="21" t="s">
        <v>275</v>
      </c>
      <c r="D479" s="21" t="s">
        <v>159</v>
      </c>
      <c r="E479" s="21" t="s">
        <v>163</v>
      </c>
      <c r="F479" s="21"/>
      <c r="G479" s="27">
        <f>G485+G480</f>
        <v>1099.8</v>
      </c>
      <c r="H479" s="202"/>
    </row>
    <row r="480" spans="1:8" ht="31.5" hidden="1">
      <c r="A480" s="26" t="s">
        <v>226</v>
      </c>
      <c r="B480" s="39">
        <v>905</v>
      </c>
      <c r="C480" s="21" t="s">
        <v>275</v>
      </c>
      <c r="D480" s="21" t="s">
        <v>159</v>
      </c>
      <c r="E480" s="21" t="s">
        <v>227</v>
      </c>
      <c r="F480" s="21"/>
      <c r="G480" s="27">
        <f>G481</f>
        <v>0</v>
      </c>
      <c r="H480" s="202"/>
    </row>
    <row r="481" spans="1:8" ht="47.25" hidden="1">
      <c r="A481" s="38" t="s">
        <v>434</v>
      </c>
      <c r="B481" s="39">
        <v>905</v>
      </c>
      <c r="C481" s="21" t="s">
        <v>275</v>
      </c>
      <c r="D481" s="21" t="s">
        <v>159</v>
      </c>
      <c r="E481" s="21" t="s">
        <v>435</v>
      </c>
      <c r="F481" s="21"/>
      <c r="G481" s="27">
        <f>G482</f>
        <v>0</v>
      </c>
      <c r="H481" s="202"/>
    </row>
    <row r="482" spans="1:8" ht="31.5" hidden="1">
      <c r="A482" s="44" t="s">
        <v>436</v>
      </c>
      <c r="B482" s="39">
        <v>905</v>
      </c>
      <c r="C482" s="21" t="s">
        <v>275</v>
      </c>
      <c r="D482" s="21" t="s">
        <v>159</v>
      </c>
      <c r="E482" s="21" t="s">
        <v>437</v>
      </c>
      <c r="F482" s="21"/>
      <c r="G482" s="27">
        <f>G483</f>
        <v>0</v>
      </c>
      <c r="H482" s="202"/>
    </row>
    <row r="483" spans="1:8" ht="31.5" hidden="1">
      <c r="A483" s="26" t="s">
        <v>172</v>
      </c>
      <c r="B483" s="17">
        <v>905</v>
      </c>
      <c r="C483" s="21" t="s">
        <v>275</v>
      </c>
      <c r="D483" s="21" t="s">
        <v>159</v>
      </c>
      <c r="E483" s="21" t="s">
        <v>437</v>
      </c>
      <c r="F483" s="21" t="s">
        <v>173</v>
      </c>
      <c r="G483" s="27">
        <f>G484</f>
        <v>0</v>
      </c>
      <c r="H483" s="202"/>
    </row>
    <row r="484" spans="1:8" ht="47.25" hidden="1">
      <c r="A484" s="26" t="s">
        <v>174</v>
      </c>
      <c r="B484" s="17">
        <v>905</v>
      </c>
      <c r="C484" s="21" t="s">
        <v>275</v>
      </c>
      <c r="D484" s="21" t="s">
        <v>159</v>
      </c>
      <c r="E484" s="21" t="s">
        <v>437</v>
      </c>
      <c r="F484" s="21" t="s">
        <v>175</v>
      </c>
      <c r="G484" s="27"/>
      <c r="H484" s="202"/>
    </row>
    <row r="485" spans="1:8" ht="15.75">
      <c r="A485" s="31" t="s">
        <v>182</v>
      </c>
      <c r="B485" s="17">
        <v>905</v>
      </c>
      <c r="C485" s="21" t="s">
        <v>275</v>
      </c>
      <c r="D485" s="21" t="s">
        <v>159</v>
      </c>
      <c r="E485" s="21" t="s">
        <v>183</v>
      </c>
      <c r="F485" s="21"/>
      <c r="G485" s="27">
        <f>G486+G489</f>
        <v>1099.8</v>
      </c>
      <c r="H485" s="202"/>
    </row>
    <row r="486" spans="1:8" ht="31.5">
      <c r="A486" s="31" t="s">
        <v>440</v>
      </c>
      <c r="B486" s="17">
        <v>905</v>
      </c>
      <c r="C486" s="21" t="s">
        <v>275</v>
      </c>
      <c r="D486" s="21" t="s">
        <v>159</v>
      </c>
      <c r="E486" s="21" t="s">
        <v>441</v>
      </c>
      <c r="F486" s="21"/>
      <c r="G486" s="27">
        <f>G487</f>
        <v>260.8</v>
      </c>
      <c r="H486" s="202"/>
    </row>
    <row r="487" spans="1:8" ht="31.5">
      <c r="A487" s="26" t="s">
        <v>172</v>
      </c>
      <c r="B487" s="17">
        <v>905</v>
      </c>
      <c r="C487" s="21" t="s">
        <v>275</v>
      </c>
      <c r="D487" s="21" t="s">
        <v>159</v>
      </c>
      <c r="E487" s="21" t="s">
        <v>441</v>
      </c>
      <c r="F487" s="21" t="s">
        <v>173</v>
      </c>
      <c r="G487" s="27">
        <f>G488</f>
        <v>260.8</v>
      </c>
      <c r="H487" s="202"/>
    </row>
    <row r="488" spans="1:8" ht="47.25">
      <c r="A488" s="26" t="s">
        <v>174</v>
      </c>
      <c r="B488" s="17">
        <v>905</v>
      </c>
      <c r="C488" s="21" t="s">
        <v>275</v>
      </c>
      <c r="D488" s="21" t="s">
        <v>159</v>
      </c>
      <c r="E488" s="21" t="s">
        <v>441</v>
      </c>
      <c r="F488" s="21" t="s">
        <v>175</v>
      </c>
      <c r="G488" s="27">
        <v>260.8</v>
      </c>
      <c r="H488" s="202"/>
    </row>
    <row r="489" spans="1:8" ht="15.75">
      <c r="A489" s="31" t="s">
        <v>438</v>
      </c>
      <c r="B489" s="17">
        <v>905</v>
      </c>
      <c r="C489" s="21" t="s">
        <v>275</v>
      </c>
      <c r="D489" s="21" t="s">
        <v>159</v>
      </c>
      <c r="E489" s="21" t="s">
        <v>439</v>
      </c>
      <c r="F489" s="21"/>
      <c r="G489" s="27">
        <f>G490</f>
        <v>839</v>
      </c>
      <c r="H489" s="202"/>
    </row>
    <row r="490" spans="1:8" ht="31.5">
      <c r="A490" s="26" t="s">
        <v>172</v>
      </c>
      <c r="B490" s="17">
        <v>905</v>
      </c>
      <c r="C490" s="21" t="s">
        <v>275</v>
      </c>
      <c r="D490" s="21" t="s">
        <v>159</v>
      </c>
      <c r="E490" s="21" t="s">
        <v>439</v>
      </c>
      <c r="F490" s="21" t="s">
        <v>173</v>
      </c>
      <c r="G490" s="27">
        <f>G491</f>
        <v>839</v>
      </c>
      <c r="H490" s="202"/>
    </row>
    <row r="491" spans="1:9" ht="47.25">
      <c r="A491" s="26" t="s">
        <v>174</v>
      </c>
      <c r="B491" s="17">
        <v>905</v>
      </c>
      <c r="C491" s="21" t="s">
        <v>275</v>
      </c>
      <c r="D491" s="21" t="s">
        <v>159</v>
      </c>
      <c r="E491" s="21" t="s">
        <v>439</v>
      </c>
      <c r="F491" s="21" t="s">
        <v>175</v>
      </c>
      <c r="G491" s="27">
        <v>839</v>
      </c>
      <c r="H491" s="202"/>
      <c r="I491" s="136"/>
    </row>
    <row r="492" spans="1:8" ht="15.75" hidden="1">
      <c r="A492" s="45" t="s">
        <v>284</v>
      </c>
      <c r="B492" s="20">
        <v>905</v>
      </c>
      <c r="C492" s="25" t="s">
        <v>285</v>
      </c>
      <c r="D492" s="25"/>
      <c r="E492" s="25"/>
      <c r="F492" s="25"/>
      <c r="G492" s="22">
        <f>G493</f>
        <v>0</v>
      </c>
      <c r="H492" s="202"/>
    </row>
    <row r="493" spans="1:8" ht="15.75" hidden="1">
      <c r="A493" s="24" t="s">
        <v>442</v>
      </c>
      <c r="B493" s="20">
        <v>905</v>
      </c>
      <c r="C493" s="25" t="s">
        <v>285</v>
      </c>
      <c r="D493" s="25" t="s">
        <v>191</v>
      </c>
      <c r="E493" s="25"/>
      <c r="F493" s="25"/>
      <c r="G493" s="22">
        <f>G494</f>
        <v>0</v>
      </c>
      <c r="H493" s="202"/>
    </row>
    <row r="494" spans="1:8" ht="31.5" hidden="1">
      <c r="A494" s="26" t="s">
        <v>226</v>
      </c>
      <c r="B494" s="17">
        <v>905</v>
      </c>
      <c r="C494" s="21" t="s">
        <v>285</v>
      </c>
      <c r="D494" s="21" t="s">
        <v>191</v>
      </c>
      <c r="E494" s="21" t="s">
        <v>227</v>
      </c>
      <c r="F494" s="21"/>
      <c r="G494" s="27">
        <f>G495</f>
        <v>0</v>
      </c>
      <c r="H494" s="202"/>
    </row>
    <row r="495" spans="1:8" ht="47.25" hidden="1">
      <c r="A495" s="33" t="s">
        <v>443</v>
      </c>
      <c r="B495" s="17">
        <v>905</v>
      </c>
      <c r="C495" s="21" t="s">
        <v>285</v>
      </c>
      <c r="D495" s="21" t="s">
        <v>191</v>
      </c>
      <c r="E495" s="21" t="s">
        <v>444</v>
      </c>
      <c r="F495" s="21"/>
      <c r="G495" s="27">
        <f>G496</f>
        <v>0</v>
      </c>
      <c r="H495" s="202"/>
    </row>
    <row r="496" spans="1:8" ht="31.5" hidden="1">
      <c r="A496" s="26" t="s">
        <v>172</v>
      </c>
      <c r="B496" s="17">
        <v>905</v>
      </c>
      <c r="C496" s="21" t="s">
        <v>285</v>
      </c>
      <c r="D496" s="21" t="s">
        <v>191</v>
      </c>
      <c r="E496" s="21" t="s">
        <v>444</v>
      </c>
      <c r="F496" s="21" t="s">
        <v>173</v>
      </c>
      <c r="G496" s="27">
        <f>G497</f>
        <v>0</v>
      </c>
      <c r="H496" s="202"/>
    </row>
    <row r="497" spans="1:9" ht="47.25" hidden="1">
      <c r="A497" s="26" t="s">
        <v>174</v>
      </c>
      <c r="B497" s="17">
        <v>905</v>
      </c>
      <c r="C497" s="21" t="s">
        <v>285</v>
      </c>
      <c r="D497" s="21" t="s">
        <v>191</v>
      </c>
      <c r="E497" s="21" t="s">
        <v>444</v>
      </c>
      <c r="F497" s="21" t="s">
        <v>175</v>
      </c>
      <c r="G497" s="27">
        <f>1330-1330</f>
        <v>0</v>
      </c>
      <c r="H497" s="202"/>
      <c r="I497" s="136"/>
    </row>
    <row r="498" spans="1:12" ht="31.5">
      <c r="A498" s="20" t="s">
        <v>445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2"/>
      <c r="L498" s="137"/>
    </row>
    <row r="499" spans="1:8" ht="15.75">
      <c r="A499" s="24" t="s">
        <v>158</v>
      </c>
      <c r="B499" s="20">
        <v>906</v>
      </c>
      <c r="C499" s="25" t="s">
        <v>159</v>
      </c>
      <c r="D499" s="25"/>
      <c r="E499" s="25"/>
      <c r="F499" s="25"/>
      <c r="G499" s="22">
        <f aca="true" t="shared" si="2" ref="G499:G504">G500</f>
        <v>5</v>
      </c>
      <c r="H499" s="202"/>
    </row>
    <row r="500" spans="1:8" ht="15.75">
      <c r="A500" s="36" t="s">
        <v>180</v>
      </c>
      <c r="B500" s="20">
        <v>906</v>
      </c>
      <c r="C500" s="25" t="s">
        <v>159</v>
      </c>
      <c r="D500" s="25" t="s">
        <v>181</v>
      </c>
      <c r="E500" s="25"/>
      <c r="F500" s="25"/>
      <c r="G500" s="22">
        <f t="shared" si="2"/>
        <v>5</v>
      </c>
      <c r="H500" s="202"/>
    </row>
    <row r="501" spans="1:8" ht="18" customHeight="1">
      <c r="A501" s="33" t="s">
        <v>162</v>
      </c>
      <c r="B501" s="17">
        <v>906</v>
      </c>
      <c r="C501" s="21" t="s">
        <v>159</v>
      </c>
      <c r="D501" s="21" t="s">
        <v>181</v>
      </c>
      <c r="E501" s="21" t="s">
        <v>163</v>
      </c>
      <c r="F501" s="21"/>
      <c r="G501" s="27">
        <f t="shared" si="2"/>
        <v>5</v>
      </c>
      <c r="H501" s="202"/>
    </row>
    <row r="502" spans="1:8" ht="15.75">
      <c r="A502" s="33" t="s">
        <v>182</v>
      </c>
      <c r="B502" s="17">
        <v>906</v>
      </c>
      <c r="C502" s="21" t="s">
        <v>159</v>
      </c>
      <c r="D502" s="21" t="s">
        <v>181</v>
      </c>
      <c r="E502" s="21" t="s">
        <v>183</v>
      </c>
      <c r="F502" s="21"/>
      <c r="G502" s="27">
        <f t="shared" si="2"/>
        <v>5</v>
      </c>
      <c r="H502" s="202"/>
    </row>
    <row r="503" spans="1:8" ht="15.75">
      <c r="A503" s="26" t="s">
        <v>220</v>
      </c>
      <c r="B503" s="17">
        <v>906</v>
      </c>
      <c r="C503" s="21" t="s">
        <v>159</v>
      </c>
      <c r="D503" s="21" t="s">
        <v>181</v>
      </c>
      <c r="E503" s="21" t="s">
        <v>246</v>
      </c>
      <c r="F503" s="21"/>
      <c r="G503" s="27">
        <f t="shared" si="2"/>
        <v>5</v>
      </c>
      <c r="H503" s="202"/>
    </row>
    <row r="504" spans="1:8" ht="31.5">
      <c r="A504" s="26" t="s">
        <v>172</v>
      </c>
      <c r="B504" s="17">
        <v>906</v>
      </c>
      <c r="C504" s="21" t="s">
        <v>159</v>
      </c>
      <c r="D504" s="21" t="s">
        <v>181</v>
      </c>
      <c r="E504" s="21" t="s">
        <v>246</v>
      </c>
      <c r="F504" s="21" t="s">
        <v>173</v>
      </c>
      <c r="G504" s="27">
        <f t="shared" si="2"/>
        <v>5</v>
      </c>
      <c r="H504" s="202"/>
    </row>
    <row r="505" spans="1:8" ht="47.25">
      <c r="A505" s="26" t="s">
        <v>174</v>
      </c>
      <c r="B505" s="17">
        <v>906</v>
      </c>
      <c r="C505" s="21" t="s">
        <v>159</v>
      </c>
      <c r="D505" s="21" t="s">
        <v>181</v>
      </c>
      <c r="E505" s="21" t="s">
        <v>246</v>
      </c>
      <c r="F505" s="21" t="s">
        <v>175</v>
      </c>
      <c r="G505" s="27">
        <v>5</v>
      </c>
      <c r="H505" s="202"/>
    </row>
    <row r="506" spans="1:8" ht="15.75">
      <c r="A506" s="24" t="s">
        <v>304</v>
      </c>
      <c r="B506" s="20">
        <v>906</v>
      </c>
      <c r="C506" s="25" t="s">
        <v>305</v>
      </c>
      <c r="D506" s="25"/>
      <c r="E506" s="25"/>
      <c r="F506" s="25"/>
      <c r="G506" s="22">
        <f>G507+G546+G633+G645+G612</f>
        <v>261516.80000000002</v>
      </c>
      <c r="H506" s="202"/>
    </row>
    <row r="507" spans="1:8" ht="15.75">
      <c r="A507" s="24" t="s">
        <v>446</v>
      </c>
      <c r="B507" s="20">
        <v>906</v>
      </c>
      <c r="C507" s="25" t="s">
        <v>305</v>
      </c>
      <c r="D507" s="25" t="s">
        <v>159</v>
      </c>
      <c r="E507" s="25"/>
      <c r="F507" s="25"/>
      <c r="G507" s="22">
        <f>G508+G526</f>
        <v>84659.4</v>
      </c>
      <c r="H507" s="202"/>
    </row>
    <row r="508" spans="1:8" ht="47.25">
      <c r="A508" s="26" t="s">
        <v>447</v>
      </c>
      <c r="B508" s="17">
        <v>906</v>
      </c>
      <c r="C508" s="21" t="s">
        <v>305</v>
      </c>
      <c r="D508" s="21" t="s">
        <v>159</v>
      </c>
      <c r="E508" s="21" t="s">
        <v>448</v>
      </c>
      <c r="F508" s="21"/>
      <c r="G508" s="27">
        <f>G509+G513</f>
        <v>23453.4</v>
      </c>
      <c r="H508" s="202"/>
    </row>
    <row r="509" spans="1:8" ht="47.25">
      <c r="A509" s="26" t="s">
        <v>449</v>
      </c>
      <c r="B509" s="17">
        <v>906</v>
      </c>
      <c r="C509" s="21" t="s">
        <v>305</v>
      </c>
      <c r="D509" s="21" t="s">
        <v>159</v>
      </c>
      <c r="E509" s="21" t="s">
        <v>450</v>
      </c>
      <c r="F509" s="21"/>
      <c r="G509" s="27">
        <f>G510</f>
        <v>15578.400000000001</v>
      </c>
      <c r="H509" s="202"/>
    </row>
    <row r="510" spans="1:8" ht="47.25">
      <c r="A510" s="26" t="s">
        <v>451</v>
      </c>
      <c r="B510" s="17">
        <v>906</v>
      </c>
      <c r="C510" s="21" t="s">
        <v>305</v>
      </c>
      <c r="D510" s="21" t="s">
        <v>159</v>
      </c>
      <c r="E510" s="21" t="s">
        <v>452</v>
      </c>
      <c r="F510" s="21"/>
      <c r="G510" s="27">
        <f>G511</f>
        <v>15578.400000000001</v>
      </c>
      <c r="H510" s="202"/>
    </row>
    <row r="511" spans="1:8" ht="47.25">
      <c r="A511" s="26" t="s">
        <v>313</v>
      </c>
      <c r="B511" s="17">
        <v>906</v>
      </c>
      <c r="C511" s="21" t="s">
        <v>305</v>
      </c>
      <c r="D511" s="21" t="s">
        <v>159</v>
      </c>
      <c r="E511" s="21" t="s">
        <v>452</v>
      </c>
      <c r="F511" s="21" t="s">
        <v>314</v>
      </c>
      <c r="G511" s="27">
        <f>G512</f>
        <v>15578.400000000001</v>
      </c>
      <c r="H511" s="202"/>
    </row>
    <row r="512" spans="1:9" ht="15.75">
      <c r="A512" s="26" t="s">
        <v>315</v>
      </c>
      <c r="B512" s="17">
        <v>906</v>
      </c>
      <c r="C512" s="21" t="s">
        <v>305</v>
      </c>
      <c r="D512" s="21" t="s">
        <v>159</v>
      </c>
      <c r="E512" s="21" t="s">
        <v>452</v>
      </c>
      <c r="F512" s="21" t="s">
        <v>316</v>
      </c>
      <c r="G512" s="28">
        <f>17368.2+6858.7-6314-1360.2-974.3</f>
        <v>15578.400000000001</v>
      </c>
      <c r="H512" s="204"/>
      <c r="I512" s="148"/>
    </row>
    <row r="513" spans="1:8" ht="47.25">
      <c r="A513" s="26" t="s">
        <v>453</v>
      </c>
      <c r="B513" s="17">
        <v>906</v>
      </c>
      <c r="C513" s="21" t="s">
        <v>305</v>
      </c>
      <c r="D513" s="21" t="s">
        <v>159</v>
      </c>
      <c r="E513" s="21" t="s">
        <v>454</v>
      </c>
      <c r="F513" s="21"/>
      <c r="G513" s="27">
        <f>G514+G517+G520+G523</f>
        <v>7875</v>
      </c>
      <c r="H513" s="202"/>
    </row>
    <row r="514" spans="1:8" ht="47.25" hidden="1">
      <c r="A514" s="26" t="s">
        <v>319</v>
      </c>
      <c r="B514" s="17">
        <v>906</v>
      </c>
      <c r="C514" s="21" t="s">
        <v>305</v>
      </c>
      <c r="D514" s="21" t="s">
        <v>159</v>
      </c>
      <c r="E514" s="21" t="s">
        <v>455</v>
      </c>
      <c r="F514" s="21"/>
      <c r="G514" s="27">
        <f>G515</f>
        <v>0</v>
      </c>
      <c r="H514" s="202"/>
    </row>
    <row r="515" spans="1:8" ht="47.25" hidden="1">
      <c r="A515" s="26" t="s">
        <v>313</v>
      </c>
      <c r="B515" s="17">
        <v>906</v>
      </c>
      <c r="C515" s="21" t="s">
        <v>305</v>
      </c>
      <c r="D515" s="21" t="s">
        <v>159</v>
      </c>
      <c r="E515" s="21" t="s">
        <v>455</v>
      </c>
      <c r="F515" s="21" t="s">
        <v>314</v>
      </c>
      <c r="G515" s="27">
        <f>G516</f>
        <v>0</v>
      </c>
      <c r="H515" s="202"/>
    </row>
    <row r="516" spans="1:8" ht="15.75" hidden="1">
      <c r="A516" s="26" t="s">
        <v>315</v>
      </c>
      <c r="B516" s="17">
        <v>906</v>
      </c>
      <c r="C516" s="21" t="s">
        <v>305</v>
      </c>
      <c r="D516" s="21" t="s">
        <v>159</v>
      </c>
      <c r="E516" s="21" t="s">
        <v>455</v>
      </c>
      <c r="F516" s="21" t="s">
        <v>316</v>
      </c>
      <c r="G516" s="27">
        <v>0</v>
      </c>
      <c r="H516" s="202"/>
    </row>
    <row r="517" spans="1:8" ht="31.5">
      <c r="A517" s="26" t="s">
        <v>321</v>
      </c>
      <c r="B517" s="17">
        <v>906</v>
      </c>
      <c r="C517" s="21" t="s">
        <v>305</v>
      </c>
      <c r="D517" s="21" t="s">
        <v>159</v>
      </c>
      <c r="E517" s="21" t="s">
        <v>456</v>
      </c>
      <c r="F517" s="21"/>
      <c r="G517" s="27">
        <f>G518</f>
        <v>1145</v>
      </c>
      <c r="H517" s="202"/>
    </row>
    <row r="518" spans="1:8" ht="47.25">
      <c r="A518" s="26" t="s">
        <v>313</v>
      </c>
      <c r="B518" s="17">
        <v>906</v>
      </c>
      <c r="C518" s="21" t="s">
        <v>305</v>
      </c>
      <c r="D518" s="21" t="s">
        <v>159</v>
      </c>
      <c r="E518" s="21" t="s">
        <v>456</v>
      </c>
      <c r="F518" s="21" t="s">
        <v>314</v>
      </c>
      <c r="G518" s="27">
        <f>G519</f>
        <v>1145</v>
      </c>
      <c r="H518" s="202"/>
    </row>
    <row r="519" spans="1:8" ht="15.75">
      <c r="A519" s="26" t="s">
        <v>315</v>
      </c>
      <c r="B519" s="17">
        <v>906</v>
      </c>
      <c r="C519" s="21" t="s">
        <v>305</v>
      </c>
      <c r="D519" s="21" t="s">
        <v>159</v>
      </c>
      <c r="E519" s="21" t="s">
        <v>456</v>
      </c>
      <c r="F519" s="21" t="s">
        <v>316</v>
      </c>
      <c r="G519" s="183">
        <f>800+300+45</f>
        <v>1145</v>
      </c>
      <c r="H519" s="190" t="s">
        <v>816</v>
      </c>
    </row>
    <row r="520" spans="1:8" ht="47.25">
      <c r="A520" s="26" t="s">
        <v>457</v>
      </c>
      <c r="B520" s="17">
        <v>906</v>
      </c>
      <c r="C520" s="21" t="s">
        <v>305</v>
      </c>
      <c r="D520" s="21" t="s">
        <v>159</v>
      </c>
      <c r="E520" s="21" t="s">
        <v>458</v>
      </c>
      <c r="F520" s="21"/>
      <c r="G520" s="27">
        <f>G521</f>
        <v>6730</v>
      </c>
      <c r="H520" s="202"/>
    </row>
    <row r="521" spans="1:8" ht="47.25">
      <c r="A521" s="26" t="s">
        <v>313</v>
      </c>
      <c r="B521" s="17">
        <v>906</v>
      </c>
      <c r="C521" s="21" t="s">
        <v>305</v>
      </c>
      <c r="D521" s="21" t="s">
        <v>159</v>
      </c>
      <c r="E521" s="21" t="s">
        <v>458</v>
      </c>
      <c r="F521" s="21" t="s">
        <v>314</v>
      </c>
      <c r="G521" s="27">
        <f>G522</f>
        <v>6730</v>
      </c>
      <c r="H521" s="202"/>
    </row>
    <row r="522" spans="1:8" ht="15.75">
      <c r="A522" s="26" t="s">
        <v>315</v>
      </c>
      <c r="B522" s="17">
        <v>906</v>
      </c>
      <c r="C522" s="21" t="s">
        <v>305</v>
      </c>
      <c r="D522" s="21" t="s">
        <v>159</v>
      </c>
      <c r="E522" s="21" t="s">
        <v>458</v>
      </c>
      <c r="F522" s="21" t="s">
        <v>316</v>
      </c>
      <c r="G522" s="28">
        <v>6730</v>
      </c>
      <c r="H522" s="202"/>
    </row>
    <row r="523" spans="1:8" ht="31.5" hidden="1">
      <c r="A523" s="26" t="s">
        <v>325</v>
      </c>
      <c r="B523" s="17">
        <v>906</v>
      </c>
      <c r="C523" s="21" t="s">
        <v>305</v>
      </c>
      <c r="D523" s="21" t="s">
        <v>159</v>
      </c>
      <c r="E523" s="21" t="s">
        <v>459</v>
      </c>
      <c r="F523" s="21"/>
      <c r="G523" s="27">
        <f>G524</f>
        <v>0</v>
      </c>
      <c r="H523" s="202"/>
    </row>
    <row r="524" spans="1:8" ht="47.25" hidden="1">
      <c r="A524" s="26" t="s">
        <v>313</v>
      </c>
      <c r="B524" s="17">
        <v>906</v>
      </c>
      <c r="C524" s="21" t="s">
        <v>305</v>
      </c>
      <c r="D524" s="21" t="s">
        <v>159</v>
      </c>
      <c r="E524" s="21" t="s">
        <v>459</v>
      </c>
      <c r="F524" s="21" t="s">
        <v>314</v>
      </c>
      <c r="G524" s="27">
        <f>G525</f>
        <v>0</v>
      </c>
      <c r="H524" s="202"/>
    </row>
    <row r="525" spans="1:8" ht="15.75" hidden="1">
      <c r="A525" s="26" t="s">
        <v>315</v>
      </c>
      <c r="B525" s="17">
        <v>906</v>
      </c>
      <c r="C525" s="21" t="s">
        <v>305</v>
      </c>
      <c r="D525" s="21" t="s">
        <v>159</v>
      </c>
      <c r="E525" s="21" t="s">
        <v>459</v>
      </c>
      <c r="F525" s="21" t="s">
        <v>316</v>
      </c>
      <c r="G525" s="27">
        <v>0</v>
      </c>
      <c r="H525" s="202"/>
    </row>
    <row r="526" spans="1:8" ht="15.75">
      <c r="A526" s="26" t="s">
        <v>162</v>
      </c>
      <c r="B526" s="17">
        <v>906</v>
      </c>
      <c r="C526" s="21" t="s">
        <v>305</v>
      </c>
      <c r="D526" s="21" t="s">
        <v>159</v>
      </c>
      <c r="E526" s="21" t="s">
        <v>163</v>
      </c>
      <c r="F526" s="21"/>
      <c r="G526" s="27">
        <f>G527</f>
        <v>61206</v>
      </c>
      <c r="H526" s="202"/>
    </row>
    <row r="527" spans="1:8" ht="31.5">
      <c r="A527" s="26" t="s">
        <v>226</v>
      </c>
      <c r="B527" s="17">
        <v>906</v>
      </c>
      <c r="C527" s="21" t="s">
        <v>305</v>
      </c>
      <c r="D527" s="21" t="s">
        <v>159</v>
      </c>
      <c r="E527" s="21" t="s">
        <v>227</v>
      </c>
      <c r="F527" s="21"/>
      <c r="G527" s="27">
        <f>G528+G531+G534+G537+G540+G543</f>
        <v>61206</v>
      </c>
      <c r="H527" s="202"/>
    </row>
    <row r="528" spans="1:8" ht="31.5" hidden="1">
      <c r="A528" s="26" t="s">
        <v>460</v>
      </c>
      <c r="B528" s="17">
        <v>906</v>
      </c>
      <c r="C528" s="21" t="s">
        <v>305</v>
      </c>
      <c r="D528" s="21" t="s">
        <v>159</v>
      </c>
      <c r="E528" s="21" t="s">
        <v>461</v>
      </c>
      <c r="F528" s="21"/>
      <c r="G528" s="27">
        <f>G529</f>
        <v>0</v>
      </c>
      <c r="H528" s="202"/>
    </row>
    <row r="529" spans="1:8" ht="47.25" hidden="1">
      <c r="A529" s="26" t="s">
        <v>313</v>
      </c>
      <c r="B529" s="17">
        <v>906</v>
      </c>
      <c r="C529" s="21" t="s">
        <v>305</v>
      </c>
      <c r="D529" s="21" t="s">
        <v>159</v>
      </c>
      <c r="E529" s="21" t="s">
        <v>461</v>
      </c>
      <c r="F529" s="21" t="s">
        <v>314</v>
      </c>
      <c r="G529" s="27">
        <f>G530</f>
        <v>0</v>
      </c>
      <c r="H529" s="202"/>
    </row>
    <row r="530" spans="1:8" ht="15.75" hidden="1">
      <c r="A530" s="26" t="s">
        <v>315</v>
      </c>
      <c r="B530" s="17">
        <v>906</v>
      </c>
      <c r="C530" s="21" t="s">
        <v>305</v>
      </c>
      <c r="D530" s="21" t="s">
        <v>159</v>
      </c>
      <c r="E530" s="21" t="s">
        <v>461</v>
      </c>
      <c r="F530" s="21" t="s">
        <v>316</v>
      </c>
      <c r="G530" s="27"/>
      <c r="H530" s="202"/>
    </row>
    <row r="531" spans="1:8" ht="63">
      <c r="A531" s="33" t="s">
        <v>330</v>
      </c>
      <c r="B531" s="17">
        <v>906</v>
      </c>
      <c r="C531" s="21" t="s">
        <v>305</v>
      </c>
      <c r="D531" s="21" t="s">
        <v>159</v>
      </c>
      <c r="E531" s="21" t="s">
        <v>331</v>
      </c>
      <c r="F531" s="21"/>
      <c r="G531" s="27">
        <f>G532</f>
        <v>310.2</v>
      </c>
      <c r="H531" s="202"/>
    </row>
    <row r="532" spans="1:8" ht="47.25">
      <c r="A532" s="26" t="s">
        <v>313</v>
      </c>
      <c r="B532" s="17">
        <v>906</v>
      </c>
      <c r="C532" s="21" t="s">
        <v>305</v>
      </c>
      <c r="D532" s="21" t="s">
        <v>159</v>
      </c>
      <c r="E532" s="21" t="s">
        <v>331</v>
      </c>
      <c r="F532" s="21" t="s">
        <v>314</v>
      </c>
      <c r="G532" s="27">
        <f>G533</f>
        <v>310.2</v>
      </c>
      <c r="H532" s="202"/>
    </row>
    <row r="533" spans="1:9" ht="15.75">
      <c r="A533" s="26" t="s">
        <v>315</v>
      </c>
      <c r="B533" s="17">
        <v>906</v>
      </c>
      <c r="C533" s="21" t="s">
        <v>305</v>
      </c>
      <c r="D533" s="21" t="s">
        <v>159</v>
      </c>
      <c r="E533" s="21" t="s">
        <v>331</v>
      </c>
      <c r="F533" s="21" t="s">
        <v>316</v>
      </c>
      <c r="G533" s="27">
        <f>416.2-106</f>
        <v>310.2</v>
      </c>
      <c r="H533" s="202"/>
      <c r="I533" s="136"/>
    </row>
    <row r="534" spans="1:8" ht="78.75">
      <c r="A534" s="33" t="s">
        <v>462</v>
      </c>
      <c r="B534" s="17">
        <v>906</v>
      </c>
      <c r="C534" s="21" t="s">
        <v>305</v>
      </c>
      <c r="D534" s="21" t="s">
        <v>159</v>
      </c>
      <c r="E534" s="21" t="s">
        <v>333</v>
      </c>
      <c r="F534" s="21"/>
      <c r="G534" s="27">
        <f>G535</f>
        <v>1696.8</v>
      </c>
      <c r="H534" s="202"/>
    </row>
    <row r="535" spans="1:8" ht="47.25">
      <c r="A535" s="26" t="s">
        <v>313</v>
      </c>
      <c r="B535" s="17">
        <v>906</v>
      </c>
      <c r="C535" s="21" t="s">
        <v>305</v>
      </c>
      <c r="D535" s="21" t="s">
        <v>159</v>
      </c>
      <c r="E535" s="21" t="s">
        <v>333</v>
      </c>
      <c r="F535" s="21" t="s">
        <v>314</v>
      </c>
      <c r="G535" s="27">
        <f>G536</f>
        <v>1696.8</v>
      </c>
      <c r="H535" s="202"/>
    </row>
    <row r="536" spans="1:9" ht="15.75">
      <c r="A536" s="26" t="s">
        <v>315</v>
      </c>
      <c r="B536" s="17">
        <v>906</v>
      </c>
      <c r="C536" s="21" t="s">
        <v>305</v>
      </c>
      <c r="D536" s="21" t="s">
        <v>159</v>
      </c>
      <c r="E536" s="21" t="s">
        <v>333</v>
      </c>
      <c r="F536" s="21" t="s">
        <v>316</v>
      </c>
      <c r="G536" s="27">
        <f>1900-203.2</f>
        <v>1696.8</v>
      </c>
      <c r="H536" s="202"/>
      <c r="I536" s="136"/>
    </row>
    <row r="537" spans="1:8" ht="94.5">
      <c r="A537" s="33" t="s">
        <v>463</v>
      </c>
      <c r="B537" s="17">
        <v>906</v>
      </c>
      <c r="C537" s="21" t="s">
        <v>305</v>
      </c>
      <c r="D537" s="21" t="s">
        <v>159</v>
      </c>
      <c r="E537" s="21" t="s">
        <v>464</v>
      </c>
      <c r="F537" s="21"/>
      <c r="G537" s="27">
        <f>G538</f>
        <v>56320</v>
      </c>
      <c r="H537" s="202"/>
    </row>
    <row r="538" spans="1:8" ht="47.25">
      <c r="A538" s="26" t="s">
        <v>313</v>
      </c>
      <c r="B538" s="17">
        <v>906</v>
      </c>
      <c r="C538" s="21" t="s">
        <v>305</v>
      </c>
      <c r="D538" s="21" t="s">
        <v>159</v>
      </c>
      <c r="E538" s="21" t="s">
        <v>464</v>
      </c>
      <c r="F538" s="21" t="s">
        <v>314</v>
      </c>
      <c r="G538" s="27">
        <f>G539</f>
        <v>56320</v>
      </c>
      <c r="H538" s="202"/>
    </row>
    <row r="539" spans="1:9" ht="15.75">
      <c r="A539" s="26" t="s">
        <v>315</v>
      </c>
      <c r="B539" s="17">
        <v>906</v>
      </c>
      <c r="C539" s="21" t="s">
        <v>305</v>
      </c>
      <c r="D539" s="21" t="s">
        <v>159</v>
      </c>
      <c r="E539" s="21" t="s">
        <v>464</v>
      </c>
      <c r="F539" s="21" t="s">
        <v>316</v>
      </c>
      <c r="G539" s="28">
        <f>66162.2-7643.6-2198.6</f>
        <v>56320</v>
      </c>
      <c r="H539" s="127"/>
      <c r="I539" s="136"/>
    </row>
    <row r="540" spans="1:8" ht="110.25">
      <c r="A540" s="33" t="s">
        <v>334</v>
      </c>
      <c r="B540" s="17">
        <v>906</v>
      </c>
      <c r="C540" s="21" t="s">
        <v>305</v>
      </c>
      <c r="D540" s="21" t="s">
        <v>159</v>
      </c>
      <c r="E540" s="21" t="s">
        <v>335</v>
      </c>
      <c r="F540" s="21"/>
      <c r="G540" s="27">
        <f>G541</f>
        <v>2879</v>
      </c>
      <c r="H540" s="202"/>
    </row>
    <row r="541" spans="1:8" ht="47.25">
      <c r="A541" s="26" t="s">
        <v>313</v>
      </c>
      <c r="B541" s="17">
        <v>906</v>
      </c>
      <c r="C541" s="21" t="s">
        <v>305</v>
      </c>
      <c r="D541" s="21" t="s">
        <v>159</v>
      </c>
      <c r="E541" s="21" t="s">
        <v>335</v>
      </c>
      <c r="F541" s="21" t="s">
        <v>314</v>
      </c>
      <c r="G541" s="27">
        <f>G542</f>
        <v>2879</v>
      </c>
      <c r="H541" s="202"/>
    </row>
    <row r="542" spans="1:9" ht="15.75">
      <c r="A542" s="26" t="s">
        <v>315</v>
      </c>
      <c r="B542" s="17">
        <v>906</v>
      </c>
      <c r="C542" s="21" t="s">
        <v>305</v>
      </c>
      <c r="D542" s="21" t="s">
        <v>159</v>
      </c>
      <c r="E542" s="21" t="s">
        <v>335</v>
      </c>
      <c r="F542" s="21" t="s">
        <v>316</v>
      </c>
      <c r="G542" s="28">
        <f>2937.2-58.2</f>
        <v>2879</v>
      </c>
      <c r="H542" s="202"/>
      <c r="I542" s="136"/>
    </row>
    <row r="543" spans="1:8" ht="157.5" hidden="1">
      <c r="A543" s="26" t="s">
        <v>465</v>
      </c>
      <c r="B543" s="17">
        <v>906</v>
      </c>
      <c r="C543" s="21" t="s">
        <v>305</v>
      </c>
      <c r="D543" s="21" t="s">
        <v>159</v>
      </c>
      <c r="E543" s="21" t="s">
        <v>466</v>
      </c>
      <c r="F543" s="21"/>
      <c r="G543" s="28">
        <f>G544</f>
        <v>0</v>
      </c>
      <c r="H543" s="202"/>
    </row>
    <row r="544" spans="1:8" ht="47.25" hidden="1">
      <c r="A544" s="26" t="s">
        <v>313</v>
      </c>
      <c r="B544" s="17">
        <v>906</v>
      </c>
      <c r="C544" s="21" t="s">
        <v>305</v>
      </c>
      <c r="D544" s="21" t="s">
        <v>159</v>
      </c>
      <c r="E544" s="21" t="s">
        <v>466</v>
      </c>
      <c r="F544" s="21" t="s">
        <v>314</v>
      </c>
      <c r="G544" s="28">
        <f>G545</f>
        <v>0</v>
      </c>
      <c r="H544" s="202"/>
    </row>
    <row r="545" spans="1:9" ht="15.75" hidden="1">
      <c r="A545" s="26" t="s">
        <v>315</v>
      </c>
      <c r="B545" s="17">
        <v>906</v>
      </c>
      <c r="C545" s="21" t="s">
        <v>305</v>
      </c>
      <c r="D545" s="21" t="s">
        <v>159</v>
      </c>
      <c r="E545" s="21" t="s">
        <v>466</v>
      </c>
      <c r="F545" s="21" t="s">
        <v>316</v>
      </c>
      <c r="G545" s="28">
        <f>276.5-276.5</f>
        <v>0</v>
      </c>
      <c r="H545" s="202"/>
      <c r="I545" s="136"/>
    </row>
    <row r="546" spans="1:8" ht="15.75">
      <c r="A546" s="24" t="s">
        <v>467</v>
      </c>
      <c r="B546" s="20">
        <v>906</v>
      </c>
      <c r="C546" s="25" t="s">
        <v>305</v>
      </c>
      <c r="D546" s="25" t="s">
        <v>254</v>
      </c>
      <c r="E546" s="25"/>
      <c r="F546" s="25"/>
      <c r="G546" s="22">
        <f>G547+G580</f>
        <v>130684.4</v>
      </c>
      <c r="H546" s="202"/>
    </row>
    <row r="547" spans="1:8" ht="47.25">
      <c r="A547" s="26" t="s">
        <v>468</v>
      </c>
      <c r="B547" s="17">
        <v>906</v>
      </c>
      <c r="C547" s="21" t="s">
        <v>305</v>
      </c>
      <c r="D547" s="21" t="s">
        <v>254</v>
      </c>
      <c r="E547" s="21" t="s">
        <v>448</v>
      </c>
      <c r="F547" s="21"/>
      <c r="G547" s="27">
        <f>G548+G552</f>
        <v>40826.6</v>
      </c>
      <c r="H547" s="202"/>
    </row>
    <row r="548" spans="1:8" ht="47.25">
      <c r="A548" s="26" t="s">
        <v>449</v>
      </c>
      <c r="B548" s="17">
        <v>906</v>
      </c>
      <c r="C548" s="21" t="s">
        <v>305</v>
      </c>
      <c r="D548" s="21" t="s">
        <v>254</v>
      </c>
      <c r="E548" s="21" t="s">
        <v>450</v>
      </c>
      <c r="F548" s="21"/>
      <c r="G548" s="27">
        <f>G549</f>
        <v>34151.2</v>
      </c>
      <c r="H548" s="202"/>
    </row>
    <row r="549" spans="1:8" ht="47.25">
      <c r="A549" s="26" t="s">
        <v>469</v>
      </c>
      <c r="B549" s="17">
        <v>906</v>
      </c>
      <c r="C549" s="21" t="s">
        <v>305</v>
      </c>
      <c r="D549" s="21" t="s">
        <v>254</v>
      </c>
      <c r="E549" s="21" t="s">
        <v>470</v>
      </c>
      <c r="F549" s="21"/>
      <c r="G549" s="27">
        <f>G550</f>
        <v>34151.2</v>
      </c>
      <c r="H549" s="202"/>
    </row>
    <row r="550" spans="1:8" ht="47.25">
      <c r="A550" s="26" t="s">
        <v>313</v>
      </c>
      <c r="B550" s="17">
        <v>906</v>
      </c>
      <c r="C550" s="21" t="s">
        <v>305</v>
      </c>
      <c r="D550" s="21" t="s">
        <v>254</v>
      </c>
      <c r="E550" s="21" t="s">
        <v>470</v>
      </c>
      <c r="F550" s="21" t="s">
        <v>314</v>
      </c>
      <c r="G550" s="27">
        <f>G551</f>
        <v>34151.2</v>
      </c>
      <c r="H550" s="202"/>
    </row>
    <row r="551" spans="1:9" ht="15.75">
      <c r="A551" s="26" t="s">
        <v>315</v>
      </c>
      <c r="B551" s="17">
        <v>906</v>
      </c>
      <c r="C551" s="21" t="s">
        <v>305</v>
      </c>
      <c r="D551" s="21" t="s">
        <v>254</v>
      </c>
      <c r="E551" s="21" t="s">
        <v>470</v>
      </c>
      <c r="F551" s="21" t="s">
        <v>316</v>
      </c>
      <c r="G551" s="28">
        <f>21817.5+13206.2-481.7+562.6-953.4</f>
        <v>34151.2</v>
      </c>
      <c r="H551" s="204"/>
      <c r="I551" s="148"/>
    </row>
    <row r="552" spans="1:8" ht="31.5">
      <c r="A552" s="26" t="s">
        <v>472</v>
      </c>
      <c r="B552" s="17">
        <v>906</v>
      </c>
      <c r="C552" s="21" t="s">
        <v>305</v>
      </c>
      <c r="D552" s="21" t="s">
        <v>254</v>
      </c>
      <c r="E552" s="21" t="s">
        <v>473</v>
      </c>
      <c r="F552" s="21"/>
      <c r="G552" s="27">
        <f>G558+G574+G571+G577+G568+G553+G559+G562+G565</f>
        <v>6675.4</v>
      </c>
      <c r="H552" s="202"/>
    </row>
    <row r="553" spans="1:8" ht="63" hidden="1">
      <c r="A553" s="26" t="s">
        <v>474</v>
      </c>
      <c r="B553" s="17">
        <v>906</v>
      </c>
      <c r="C553" s="21" t="s">
        <v>305</v>
      </c>
      <c r="D553" s="21" t="s">
        <v>254</v>
      </c>
      <c r="E553" s="21" t="s">
        <v>475</v>
      </c>
      <c r="F553" s="21"/>
      <c r="G553" s="27">
        <f>G554</f>
        <v>0</v>
      </c>
      <c r="H553" s="202"/>
    </row>
    <row r="554" spans="1:8" ht="47.25" hidden="1">
      <c r="A554" s="26" t="s">
        <v>313</v>
      </c>
      <c r="B554" s="17">
        <v>906</v>
      </c>
      <c r="C554" s="21" t="s">
        <v>305</v>
      </c>
      <c r="D554" s="21" t="s">
        <v>254</v>
      </c>
      <c r="E554" s="21" t="s">
        <v>475</v>
      </c>
      <c r="F554" s="21" t="s">
        <v>314</v>
      </c>
      <c r="G554" s="27">
        <f>G555</f>
        <v>0</v>
      </c>
      <c r="H554" s="202"/>
    </row>
    <row r="555" spans="1:8" ht="15.75" hidden="1">
      <c r="A555" s="26" t="s">
        <v>315</v>
      </c>
      <c r="B555" s="17">
        <v>906</v>
      </c>
      <c r="C555" s="21" t="s">
        <v>305</v>
      </c>
      <c r="D555" s="21" t="s">
        <v>254</v>
      </c>
      <c r="E555" s="21" t="s">
        <v>475</v>
      </c>
      <c r="F555" s="21" t="s">
        <v>316</v>
      </c>
      <c r="G555" s="27">
        <v>0</v>
      </c>
      <c r="H555" s="202"/>
    </row>
    <row r="556" spans="1:8" ht="48.75" customHeight="1" hidden="1">
      <c r="A556" s="26" t="s">
        <v>476</v>
      </c>
      <c r="B556" s="17">
        <v>906</v>
      </c>
      <c r="C556" s="21" t="s">
        <v>305</v>
      </c>
      <c r="D556" s="21" t="s">
        <v>254</v>
      </c>
      <c r="E556" s="21" t="s">
        <v>477</v>
      </c>
      <c r="F556" s="21"/>
      <c r="G556" s="27">
        <f>G557</f>
        <v>0</v>
      </c>
      <c r="H556" s="202"/>
    </row>
    <row r="557" spans="1:8" ht="47.25" hidden="1">
      <c r="A557" s="26" t="s">
        <v>313</v>
      </c>
      <c r="B557" s="17">
        <v>906</v>
      </c>
      <c r="C557" s="21" t="s">
        <v>305</v>
      </c>
      <c r="D557" s="21" t="s">
        <v>254</v>
      </c>
      <c r="E557" s="21" t="s">
        <v>477</v>
      </c>
      <c r="F557" s="21" t="s">
        <v>314</v>
      </c>
      <c r="G557" s="27">
        <f>G558</f>
        <v>0</v>
      </c>
      <c r="H557" s="202"/>
    </row>
    <row r="558" spans="1:8" ht="15.75" hidden="1">
      <c r="A558" s="26" t="s">
        <v>315</v>
      </c>
      <c r="B558" s="17">
        <v>906</v>
      </c>
      <c r="C558" s="21" t="s">
        <v>305</v>
      </c>
      <c r="D558" s="21" t="s">
        <v>254</v>
      </c>
      <c r="E558" s="21" t="s">
        <v>477</v>
      </c>
      <c r="F558" s="21" t="s">
        <v>316</v>
      </c>
      <c r="G558" s="27">
        <v>0</v>
      </c>
      <c r="H558" s="202"/>
    </row>
    <row r="559" spans="1:8" ht="63">
      <c r="A559" s="26" t="s">
        <v>478</v>
      </c>
      <c r="B559" s="17">
        <v>906</v>
      </c>
      <c r="C559" s="21" t="s">
        <v>305</v>
      </c>
      <c r="D559" s="21" t="s">
        <v>254</v>
      </c>
      <c r="E559" s="21" t="s">
        <v>479</v>
      </c>
      <c r="F559" s="21"/>
      <c r="G559" s="27">
        <f>G560</f>
        <v>2690</v>
      </c>
      <c r="H559" s="202"/>
    </row>
    <row r="560" spans="1:8" ht="47.25">
      <c r="A560" s="26" t="s">
        <v>313</v>
      </c>
      <c r="B560" s="17">
        <v>906</v>
      </c>
      <c r="C560" s="21" t="s">
        <v>305</v>
      </c>
      <c r="D560" s="21" t="s">
        <v>254</v>
      </c>
      <c r="E560" s="21" t="s">
        <v>479</v>
      </c>
      <c r="F560" s="21" t="s">
        <v>314</v>
      </c>
      <c r="G560" s="27">
        <f>G561</f>
        <v>2690</v>
      </c>
      <c r="H560" s="202"/>
    </row>
    <row r="561" spans="1:8" ht="15.75">
      <c r="A561" s="26" t="s">
        <v>315</v>
      </c>
      <c r="B561" s="17">
        <v>906</v>
      </c>
      <c r="C561" s="21" t="s">
        <v>305</v>
      </c>
      <c r="D561" s="21" t="s">
        <v>254</v>
      </c>
      <c r="E561" s="21" t="s">
        <v>479</v>
      </c>
      <c r="F561" s="21" t="s">
        <v>316</v>
      </c>
      <c r="G561" s="28">
        <f>3010-320</f>
        <v>2690</v>
      </c>
      <c r="H561" s="202"/>
    </row>
    <row r="562" spans="1:8" ht="63">
      <c r="A562" s="26" t="s">
        <v>480</v>
      </c>
      <c r="B562" s="17">
        <v>906</v>
      </c>
      <c r="C562" s="21" t="s">
        <v>305</v>
      </c>
      <c r="D562" s="21" t="s">
        <v>254</v>
      </c>
      <c r="E562" s="21" t="s">
        <v>481</v>
      </c>
      <c r="F562" s="21"/>
      <c r="G562" s="27">
        <f>G563</f>
        <v>320</v>
      </c>
      <c r="H562" s="202"/>
    </row>
    <row r="563" spans="1:8" ht="47.25">
      <c r="A563" s="26" t="s">
        <v>313</v>
      </c>
      <c r="B563" s="17">
        <v>906</v>
      </c>
      <c r="C563" s="21" t="s">
        <v>305</v>
      </c>
      <c r="D563" s="21" t="s">
        <v>254</v>
      </c>
      <c r="E563" s="21" t="s">
        <v>481</v>
      </c>
      <c r="F563" s="21" t="s">
        <v>314</v>
      </c>
      <c r="G563" s="27">
        <f>G564</f>
        <v>320</v>
      </c>
      <c r="H563" s="202"/>
    </row>
    <row r="564" spans="1:8" ht="15.75">
      <c r="A564" s="26" t="s">
        <v>315</v>
      </c>
      <c r="B564" s="17">
        <v>906</v>
      </c>
      <c r="C564" s="21" t="s">
        <v>305</v>
      </c>
      <c r="D564" s="21" t="s">
        <v>254</v>
      </c>
      <c r="E564" s="21" t="s">
        <v>481</v>
      </c>
      <c r="F564" s="21" t="s">
        <v>316</v>
      </c>
      <c r="G564" s="27">
        <v>320</v>
      </c>
      <c r="H564" s="202"/>
    </row>
    <row r="565" spans="1:8" ht="47.25" hidden="1">
      <c r="A565" s="26" t="s">
        <v>482</v>
      </c>
      <c r="B565" s="17">
        <v>906</v>
      </c>
      <c r="C565" s="21" t="s">
        <v>305</v>
      </c>
      <c r="D565" s="21" t="s">
        <v>254</v>
      </c>
      <c r="E565" s="21" t="s">
        <v>483</v>
      </c>
      <c r="F565" s="21"/>
      <c r="G565" s="27">
        <f>G566</f>
        <v>0</v>
      </c>
      <c r="H565" s="202"/>
    </row>
    <row r="566" spans="1:8" ht="47.25" hidden="1">
      <c r="A566" s="26" t="s">
        <v>313</v>
      </c>
      <c r="B566" s="17">
        <v>906</v>
      </c>
      <c r="C566" s="21" t="s">
        <v>305</v>
      </c>
      <c r="D566" s="21" t="s">
        <v>254</v>
      </c>
      <c r="E566" s="21" t="s">
        <v>483</v>
      </c>
      <c r="F566" s="21" t="s">
        <v>314</v>
      </c>
      <c r="G566" s="27">
        <f>G567</f>
        <v>0</v>
      </c>
      <c r="H566" s="202"/>
    </row>
    <row r="567" spans="1:8" ht="15.75" hidden="1">
      <c r="A567" s="26" t="s">
        <v>315</v>
      </c>
      <c r="B567" s="17">
        <v>906</v>
      </c>
      <c r="C567" s="21" t="s">
        <v>305</v>
      </c>
      <c r="D567" s="21" t="s">
        <v>254</v>
      </c>
      <c r="E567" s="21" t="s">
        <v>483</v>
      </c>
      <c r="F567" s="21" t="s">
        <v>316</v>
      </c>
      <c r="G567" s="27">
        <v>0</v>
      </c>
      <c r="H567" s="202"/>
    </row>
    <row r="568" spans="1:8" ht="47.25">
      <c r="A568" s="26" t="s">
        <v>319</v>
      </c>
      <c r="B568" s="17">
        <v>906</v>
      </c>
      <c r="C568" s="21" t="s">
        <v>305</v>
      </c>
      <c r="D568" s="21" t="s">
        <v>254</v>
      </c>
      <c r="E568" s="21" t="s">
        <v>484</v>
      </c>
      <c r="F568" s="21"/>
      <c r="G568" s="27">
        <f>G569</f>
        <v>3309</v>
      </c>
      <c r="H568" s="202"/>
    </row>
    <row r="569" spans="1:8" ht="47.25">
      <c r="A569" s="26" t="s">
        <v>313</v>
      </c>
      <c r="B569" s="17">
        <v>906</v>
      </c>
      <c r="C569" s="21" t="s">
        <v>305</v>
      </c>
      <c r="D569" s="21" t="s">
        <v>254</v>
      </c>
      <c r="E569" s="21" t="s">
        <v>484</v>
      </c>
      <c r="F569" s="21" t="s">
        <v>314</v>
      </c>
      <c r="G569" s="27">
        <f>G570</f>
        <v>3309</v>
      </c>
      <c r="H569" s="202"/>
    </row>
    <row r="570" spans="1:8" ht="15.75">
      <c r="A570" s="26" t="s">
        <v>315</v>
      </c>
      <c r="B570" s="17">
        <v>906</v>
      </c>
      <c r="C570" s="21" t="s">
        <v>305</v>
      </c>
      <c r="D570" s="21" t="s">
        <v>254</v>
      </c>
      <c r="E570" s="21" t="s">
        <v>484</v>
      </c>
      <c r="F570" s="21" t="s">
        <v>316</v>
      </c>
      <c r="G570" s="27">
        <f>341+2968</f>
        <v>3309</v>
      </c>
      <c r="H570" s="141"/>
    </row>
    <row r="571" spans="1:8" ht="31.5" hidden="1">
      <c r="A571" s="26" t="s">
        <v>321</v>
      </c>
      <c r="B571" s="17">
        <v>906</v>
      </c>
      <c r="C571" s="21" t="s">
        <v>305</v>
      </c>
      <c r="D571" s="21" t="s">
        <v>254</v>
      </c>
      <c r="E571" s="21" t="s">
        <v>485</v>
      </c>
      <c r="F571" s="21"/>
      <c r="G571" s="27">
        <f>G572</f>
        <v>0</v>
      </c>
      <c r="H571" s="202"/>
    </row>
    <row r="572" spans="1:8" ht="47.25" hidden="1">
      <c r="A572" s="26" t="s">
        <v>313</v>
      </c>
      <c r="B572" s="17">
        <v>906</v>
      </c>
      <c r="C572" s="21" t="s">
        <v>305</v>
      </c>
      <c r="D572" s="21" t="s">
        <v>254</v>
      </c>
      <c r="E572" s="21" t="s">
        <v>485</v>
      </c>
      <c r="F572" s="21" t="s">
        <v>314</v>
      </c>
      <c r="G572" s="27">
        <f>G573</f>
        <v>0</v>
      </c>
      <c r="H572" s="202"/>
    </row>
    <row r="573" spans="1:8" ht="15.75" hidden="1">
      <c r="A573" s="26" t="s">
        <v>315</v>
      </c>
      <c r="B573" s="17">
        <v>906</v>
      </c>
      <c r="C573" s="21" t="s">
        <v>305</v>
      </c>
      <c r="D573" s="21" t="s">
        <v>254</v>
      </c>
      <c r="E573" s="21" t="s">
        <v>485</v>
      </c>
      <c r="F573" s="21" t="s">
        <v>316</v>
      </c>
      <c r="G573" s="27">
        <v>0</v>
      </c>
      <c r="H573" s="202"/>
    </row>
    <row r="574" spans="1:8" ht="47.25">
      <c r="A574" s="26" t="s">
        <v>323</v>
      </c>
      <c r="B574" s="17">
        <v>906</v>
      </c>
      <c r="C574" s="21" t="s">
        <v>305</v>
      </c>
      <c r="D574" s="21" t="s">
        <v>254</v>
      </c>
      <c r="E574" s="21" t="s">
        <v>486</v>
      </c>
      <c r="F574" s="21"/>
      <c r="G574" s="27">
        <f>G575</f>
        <v>127</v>
      </c>
      <c r="H574" s="202"/>
    </row>
    <row r="575" spans="1:8" ht="47.25">
      <c r="A575" s="26" t="s">
        <v>313</v>
      </c>
      <c r="B575" s="17">
        <v>906</v>
      </c>
      <c r="C575" s="21" t="s">
        <v>305</v>
      </c>
      <c r="D575" s="21" t="s">
        <v>254</v>
      </c>
      <c r="E575" s="21" t="s">
        <v>486</v>
      </c>
      <c r="F575" s="21" t="s">
        <v>314</v>
      </c>
      <c r="G575" s="27">
        <f>G576</f>
        <v>127</v>
      </c>
      <c r="H575" s="202"/>
    </row>
    <row r="576" spans="1:8" ht="15.75">
      <c r="A576" s="26" t="s">
        <v>315</v>
      </c>
      <c r="B576" s="17">
        <v>906</v>
      </c>
      <c r="C576" s="21" t="s">
        <v>305</v>
      </c>
      <c r="D576" s="21" t="s">
        <v>254</v>
      </c>
      <c r="E576" s="21" t="s">
        <v>486</v>
      </c>
      <c r="F576" s="21" t="s">
        <v>316</v>
      </c>
      <c r="G576" s="27">
        <v>127</v>
      </c>
      <c r="H576" s="202"/>
    </row>
    <row r="577" spans="1:8" ht="31.5">
      <c r="A577" s="26" t="s">
        <v>325</v>
      </c>
      <c r="B577" s="17">
        <v>906</v>
      </c>
      <c r="C577" s="21" t="s">
        <v>305</v>
      </c>
      <c r="D577" s="21" t="s">
        <v>254</v>
      </c>
      <c r="E577" s="21" t="s">
        <v>487</v>
      </c>
      <c r="F577" s="21"/>
      <c r="G577" s="27">
        <f>G578</f>
        <v>229.4</v>
      </c>
      <c r="H577" s="202"/>
    </row>
    <row r="578" spans="1:8" ht="47.25">
      <c r="A578" s="26" t="s">
        <v>313</v>
      </c>
      <c r="B578" s="17">
        <v>906</v>
      </c>
      <c r="C578" s="21" t="s">
        <v>305</v>
      </c>
      <c r="D578" s="21" t="s">
        <v>254</v>
      </c>
      <c r="E578" s="21" t="s">
        <v>487</v>
      </c>
      <c r="F578" s="21" t="s">
        <v>314</v>
      </c>
      <c r="G578" s="27">
        <f>G579</f>
        <v>229.4</v>
      </c>
      <c r="H578" s="202"/>
    </row>
    <row r="579" spans="1:9" ht="15.75">
      <c r="A579" s="26" t="s">
        <v>315</v>
      </c>
      <c r="B579" s="17">
        <v>906</v>
      </c>
      <c r="C579" s="21" t="s">
        <v>305</v>
      </c>
      <c r="D579" s="21" t="s">
        <v>254</v>
      </c>
      <c r="E579" s="21" t="s">
        <v>487</v>
      </c>
      <c r="F579" s="21" t="s">
        <v>316</v>
      </c>
      <c r="G579" s="27">
        <v>229.4</v>
      </c>
      <c r="H579" s="127"/>
      <c r="I579" s="147"/>
    </row>
    <row r="580" spans="1:8" ht="15.75">
      <c r="A580" s="26" t="s">
        <v>162</v>
      </c>
      <c r="B580" s="17">
        <v>906</v>
      </c>
      <c r="C580" s="21" t="s">
        <v>305</v>
      </c>
      <c r="D580" s="21" t="s">
        <v>254</v>
      </c>
      <c r="E580" s="21" t="s">
        <v>163</v>
      </c>
      <c r="F580" s="21"/>
      <c r="G580" s="27">
        <f>G581</f>
        <v>89857.8</v>
      </c>
      <c r="H580" s="202"/>
    </row>
    <row r="581" spans="1:8" ht="31.5">
      <c r="A581" s="26" t="s">
        <v>226</v>
      </c>
      <c r="B581" s="17">
        <v>906</v>
      </c>
      <c r="C581" s="21" t="s">
        <v>305</v>
      </c>
      <c r="D581" s="21" t="s">
        <v>254</v>
      </c>
      <c r="E581" s="21" t="s">
        <v>227</v>
      </c>
      <c r="F581" s="21"/>
      <c r="G581" s="27">
        <f>G588+G591+G597+G600+G603+G606+G582+G585+G609+G594</f>
        <v>89857.8</v>
      </c>
      <c r="H581" s="202"/>
    </row>
    <row r="582" spans="1:8" ht="47.25" hidden="1">
      <c r="A582" s="26" t="s">
        <v>492</v>
      </c>
      <c r="B582" s="17">
        <v>906</v>
      </c>
      <c r="C582" s="21" t="s">
        <v>305</v>
      </c>
      <c r="D582" s="21" t="s">
        <v>254</v>
      </c>
      <c r="E582" s="21" t="s">
        <v>493</v>
      </c>
      <c r="F582" s="21"/>
      <c r="G582" s="27">
        <f>G583</f>
        <v>0</v>
      </c>
      <c r="H582" s="202"/>
    </row>
    <row r="583" spans="1:8" ht="47.25" hidden="1">
      <c r="A583" s="26" t="s">
        <v>313</v>
      </c>
      <c r="B583" s="17">
        <v>906</v>
      </c>
      <c r="C583" s="21" t="s">
        <v>305</v>
      </c>
      <c r="D583" s="21" t="s">
        <v>254</v>
      </c>
      <c r="E583" s="21" t="s">
        <v>493</v>
      </c>
      <c r="F583" s="21" t="s">
        <v>314</v>
      </c>
      <c r="G583" s="27">
        <f>G584</f>
        <v>0</v>
      </c>
      <c r="H583" s="202"/>
    </row>
    <row r="584" spans="1:8" ht="15.75" hidden="1">
      <c r="A584" s="26" t="s">
        <v>315</v>
      </c>
      <c r="B584" s="17">
        <v>906</v>
      </c>
      <c r="C584" s="21" t="s">
        <v>305</v>
      </c>
      <c r="D584" s="21" t="s">
        <v>254</v>
      </c>
      <c r="E584" s="21" t="s">
        <v>493</v>
      </c>
      <c r="F584" s="21" t="s">
        <v>316</v>
      </c>
      <c r="G584" s="27">
        <v>0</v>
      </c>
      <c r="H584" s="202"/>
    </row>
    <row r="585" spans="1:8" ht="15.75" hidden="1">
      <c r="A585" s="26" t="s">
        <v>494</v>
      </c>
      <c r="B585" s="17">
        <v>906</v>
      </c>
      <c r="C585" s="21" t="s">
        <v>305</v>
      </c>
      <c r="D585" s="21" t="s">
        <v>254</v>
      </c>
      <c r="E585" s="21" t="s">
        <v>495</v>
      </c>
      <c r="F585" s="21"/>
      <c r="G585" s="27">
        <f>G586</f>
        <v>0</v>
      </c>
      <c r="H585" s="202"/>
    </row>
    <row r="586" spans="1:8" ht="47.25" hidden="1">
      <c r="A586" s="26" t="s">
        <v>313</v>
      </c>
      <c r="B586" s="17">
        <v>906</v>
      </c>
      <c r="C586" s="21" t="s">
        <v>305</v>
      </c>
      <c r="D586" s="21" t="s">
        <v>254</v>
      </c>
      <c r="E586" s="21" t="s">
        <v>495</v>
      </c>
      <c r="F586" s="21" t="s">
        <v>314</v>
      </c>
      <c r="G586" s="27">
        <f>G587</f>
        <v>0</v>
      </c>
      <c r="H586" s="202"/>
    </row>
    <row r="587" spans="1:8" ht="15.75" hidden="1">
      <c r="A587" s="26" t="s">
        <v>315</v>
      </c>
      <c r="B587" s="17">
        <v>906</v>
      </c>
      <c r="C587" s="21" t="s">
        <v>305</v>
      </c>
      <c r="D587" s="21" t="s">
        <v>254</v>
      </c>
      <c r="E587" s="21" t="s">
        <v>495</v>
      </c>
      <c r="F587" s="21" t="s">
        <v>316</v>
      </c>
      <c r="G587" s="28">
        <v>0</v>
      </c>
      <c r="H587" s="202"/>
    </row>
    <row r="588" spans="1:8" ht="31.5" hidden="1">
      <c r="A588" s="26" t="s">
        <v>496</v>
      </c>
      <c r="B588" s="17">
        <v>906</v>
      </c>
      <c r="C588" s="21" t="s">
        <v>305</v>
      </c>
      <c r="D588" s="21" t="s">
        <v>254</v>
      </c>
      <c r="E588" s="21" t="s">
        <v>497</v>
      </c>
      <c r="F588" s="21"/>
      <c r="G588" s="27">
        <f>G589</f>
        <v>0</v>
      </c>
      <c r="H588" s="202"/>
    </row>
    <row r="589" spans="1:8" ht="47.25" hidden="1">
      <c r="A589" s="26" t="s">
        <v>313</v>
      </c>
      <c r="B589" s="17">
        <v>906</v>
      </c>
      <c r="C589" s="21" t="s">
        <v>305</v>
      </c>
      <c r="D589" s="21" t="s">
        <v>254</v>
      </c>
      <c r="E589" s="21" t="s">
        <v>497</v>
      </c>
      <c r="F589" s="21" t="s">
        <v>314</v>
      </c>
      <c r="G589" s="27">
        <f>G590</f>
        <v>0</v>
      </c>
      <c r="H589" s="202"/>
    </row>
    <row r="590" spans="1:9" ht="15.75" hidden="1">
      <c r="A590" s="26" t="s">
        <v>315</v>
      </c>
      <c r="B590" s="17">
        <v>906</v>
      </c>
      <c r="C590" s="21" t="s">
        <v>305</v>
      </c>
      <c r="D590" s="21" t="s">
        <v>254</v>
      </c>
      <c r="E590" s="21" t="s">
        <v>497</v>
      </c>
      <c r="F590" s="21" t="s">
        <v>316</v>
      </c>
      <c r="G590" s="27">
        <f>157.3-157.3</f>
        <v>0</v>
      </c>
      <c r="H590" s="202"/>
      <c r="I590" s="136"/>
    </row>
    <row r="591" spans="1:8" ht="31.5">
      <c r="A591" s="26" t="s">
        <v>498</v>
      </c>
      <c r="B591" s="17">
        <v>906</v>
      </c>
      <c r="C591" s="21" t="s">
        <v>305</v>
      </c>
      <c r="D591" s="21" t="s">
        <v>254</v>
      </c>
      <c r="E591" s="21" t="s">
        <v>499</v>
      </c>
      <c r="F591" s="21"/>
      <c r="G591" s="27">
        <f>G592</f>
        <v>1293.6</v>
      </c>
      <c r="H591" s="202"/>
    </row>
    <row r="592" spans="1:12" ht="47.25">
      <c r="A592" s="26" t="s">
        <v>313</v>
      </c>
      <c r="B592" s="17">
        <v>906</v>
      </c>
      <c r="C592" s="21" t="s">
        <v>305</v>
      </c>
      <c r="D592" s="21" t="s">
        <v>254</v>
      </c>
      <c r="E592" s="21" t="s">
        <v>499</v>
      </c>
      <c r="F592" s="21" t="s">
        <v>314</v>
      </c>
      <c r="G592" s="27">
        <f>G593</f>
        <v>1293.6</v>
      </c>
      <c r="H592" s="202"/>
      <c r="L592" s="137"/>
    </row>
    <row r="593" spans="1:9" ht="15.75">
      <c r="A593" s="26" t="s">
        <v>315</v>
      </c>
      <c r="B593" s="17">
        <v>906</v>
      </c>
      <c r="C593" s="21" t="s">
        <v>305</v>
      </c>
      <c r="D593" s="21" t="s">
        <v>254</v>
      </c>
      <c r="E593" s="21" t="s">
        <v>499</v>
      </c>
      <c r="F593" s="21" t="s">
        <v>316</v>
      </c>
      <c r="G593" s="28">
        <f>1572.5-278.9</f>
        <v>1293.6</v>
      </c>
      <c r="H593" s="202"/>
      <c r="I593" s="136"/>
    </row>
    <row r="594" spans="1:8" ht="47.25">
      <c r="A594" s="26" t="s">
        <v>500</v>
      </c>
      <c r="B594" s="17">
        <v>906</v>
      </c>
      <c r="C594" s="21" t="s">
        <v>305</v>
      </c>
      <c r="D594" s="21" t="s">
        <v>254</v>
      </c>
      <c r="E594" s="21" t="s">
        <v>501</v>
      </c>
      <c r="F594" s="21"/>
      <c r="G594" s="28">
        <f>G595</f>
        <v>488.7</v>
      </c>
      <c r="H594" s="202"/>
    </row>
    <row r="595" spans="1:8" ht="47.25">
      <c r="A595" s="26" t="s">
        <v>313</v>
      </c>
      <c r="B595" s="17">
        <v>906</v>
      </c>
      <c r="C595" s="21" t="s">
        <v>305</v>
      </c>
      <c r="D595" s="21" t="s">
        <v>254</v>
      </c>
      <c r="E595" s="21" t="s">
        <v>501</v>
      </c>
      <c r="F595" s="21" t="s">
        <v>314</v>
      </c>
      <c r="G595" s="28">
        <f>G596</f>
        <v>488.7</v>
      </c>
      <c r="H595" s="202"/>
    </row>
    <row r="596" spans="1:9" ht="15.75">
      <c r="A596" s="26" t="s">
        <v>315</v>
      </c>
      <c r="B596" s="17">
        <v>906</v>
      </c>
      <c r="C596" s="21" t="s">
        <v>305</v>
      </c>
      <c r="D596" s="21" t="s">
        <v>254</v>
      </c>
      <c r="E596" s="21" t="s">
        <v>501</v>
      </c>
      <c r="F596" s="21" t="s">
        <v>316</v>
      </c>
      <c r="G596" s="28">
        <f>733.5-244.8</f>
        <v>488.7</v>
      </c>
      <c r="H596" s="202"/>
      <c r="I596" s="136"/>
    </row>
    <row r="597" spans="1:8" ht="94.5">
      <c r="A597" s="33" t="s">
        <v>502</v>
      </c>
      <c r="B597" s="17">
        <v>906</v>
      </c>
      <c r="C597" s="21" t="s">
        <v>305</v>
      </c>
      <c r="D597" s="21" t="s">
        <v>254</v>
      </c>
      <c r="E597" s="21" t="s">
        <v>503</v>
      </c>
      <c r="F597" s="21"/>
      <c r="G597" s="27">
        <f>G598</f>
        <v>79753.6</v>
      </c>
      <c r="H597" s="202"/>
    </row>
    <row r="598" spans="1:8" ht="47.25">
      <c r="A598" s="26" t="s">
        <v>313</v>
      </c>
      <c r="B598" s="17">
        <v>906</v>
      </c>
      <c r="C598" s="21" t="s">
        <v>305</v>
      </c>
      <c r="D598" s="21" t="s">
        <v>254</v>
      </c>
      <c r="E598" s="21" t="s">
        <v>503</v>
      </c>
      <c r="F598" s="21" t="s">
        <v>314</v>
      </c>
      <c r="G598" s="27">
        <f>G599</f>
        <v>79753.6</v>
      </c>
      <c r="H598" s="202"/>
    </row>
    <row r="599" spans="1:9" ht="15.75">
      <c r="A599" s="26" t="s">
        <v>315</v>
      </c>
      <c r="B599" s="17">
        <v>906</v>
      </c>
      <c r="C599" s="21" t="s">
        <v>305</v>
      </c>
      <c r="D599" s="21" t="s">
        <v>254</v>
      </c>
      <c r="E599" s="21" t="s">
        <v>503</v>
      </c>
      <c r="F599" s="21" t="s">
        <v>316</v>
      </c>
      <c r="G599" s="28">
        <f>93568.6-13815</f>
        <v>79753.6</v>
      </c>
      <c r="H599" s="202"/>
      <c r="I599" s="136"/>
    </row>
    <row r="600" spans="1:8" ht="63">
      <c r="A600" s="33" t="s">
        <v>330</v>
      </c>
      <c r="B600" s="17">
        <v>906</v>
      </c>
      <c r="C600" s="21" t="s">
        <v>305</v>
      </c>
      <c r="D600" s="21" t="s">
        <v>254</v>
      </c>
      <c r="E600" s="21" t="s">
        <v>331</v>
      </c>
      <c r="F600" s="21"/>
      <c r="G600" s="27">
        <f>G601</f>
        <v>910.9000000000001</v>
      </c>
      <c r="H600" s="202"/>
    </row>
    <row r="601" spans="1:8" ht="47.25">
      <c r="A601" s="26" t="s">
        <v>313</v>
      </c>
      <c r="B601" s="17">
        <v>906</v>
      </c>
      <c r="C601" s="21" t="s">
        <v>305</v>
      </c>
      <c r="D601" s="21" t="s">
        <v>254</v>
      </c>
      <c r="E601" s="21" t="s">
        <v>331</v>
      </c>
      <c r="F601" s="21" t="s">
        <v>314</v>
      </c>
      <c r="G601" s="27">
        <f>G602</f>
        <v>910.9000000000001</v>
      </c>
      <c r="H601" s="202"/>
    </row>
    <row r="602" spans="1:9" ht="15.75">
      <c r="A602" s="26" t="s">
        <v>315</v>
      </c>
      <c r="B602" s="17">
        <v>906</v>
      </c>
      <c r="C602" s="21" t="s">
        <v>305</v>
      </c>
      <c r="D602" s="21" t="s">
        <v>254</v>
      </c>
      <c r="E602" s="21" t="s">
        <v>331</v>
      </c>
      <c r="F602" s="21" t="s">
        <v>316</v>
      </c>
      <c r="G602" s="28">
        <f>1101.7-190.8</f>
        <v>910.9000000000001</v>
      </c>
      <c r="H602" s="202"/>
      <c r="I602" s="136"/>
    </row>
    <row r="603" spans="1:8" ht="78.75">
      <c r="A603" s="33" t="s">
        <v>332</v>
      </c>
      <c r="B603" s="17">
        <v>906</v>
      </c>
      <c r="C603" s="21" t="s">
        <v>305</v>
      </c>
      <c r="D603" s="21" t="s">
        <v>254</v>
      </c>
      <c r="E603" s="21" t="s">
        <v>333</v>
      </c>
      <c r="F603" s="21"/>
      <c r="G603" s="27">
        <f>G604</f>
        <v>2155.5</v>
      </c>
      <c r="H603" s="202"/>
    </row>
    <row r="604" spans="1:8" ht="47.25">
      <c r="A604" s="26" t="s">
        <v>313</v>
      </c>
      <c r="B604" s="17">
        <v>906</v>
      </c>
      <c r="C604" s="21" t="s">
        <v>305</v>
      </c>
      <c r="D604" s="21" t="s">
        <v>254</v>
      </c>
      <c r="E604" s="21" t="s">
        <v>333</v>
      </c>
      <c r="F604" s="21" t="s">
        <v>314</v>
      </c>
      <c r="G604" s="27">
        <f>G605</f>
        <v>2155.5</v>
      </c>
      <c r="H604" s="202"/>
    </row>
    <row r="605" spans="1:9" ht="15.75">
      <c r="A605" s="26" t="s">
        <v>315</v>
      </c>
      <c r="B605" s="17">
        <v>906</v>
      </c>
      <c r="C605" s="21" t="s">
        <v>305</v>
      </c>
      <c r="D605" s="21" t="s">
        <v>254</v>
      </c>
      <c r="E605" s="21" t="s">
        <v>333</v>
      </c>
      <c r="F605" s="21" t="s">
        <v>316</v>
      </c>
      <c r="G605" s="28">
        <f>2823.2-667.7</f>
        <v>2155.5</v>
      </c>
      <c r="H605" s="202"/>
      <c r="I605" s="136"/>
    </row>
    <row r="606" spans="1:8" ht="47.25">
      <c r="A606" s="33" t="s">
        <v>504</v>
      </c>
      <c r="B606" s="17">
        <v>906</v>
      </c>
      <c r="C606" s="21" t="s">
        <v>305</v>
      </c>
      <c r="D606" s="21" t="s">
        <v>254</v>
      </c>
      <c r="E606" s="21" t="s">
        <v>505</v>
      </c>
      <c r="F606" s="21"/>
      <c r="G606" s="27">
        <f>G607</f>
        <v>886.5</v>
      </c>
      <c r="H606" s="202"/>
    </row>
    <row r="607" spans="1:8" ht="47.25">
      <c r="A607" s="26" t="s">
        <v>313</v>
      </c>
      <c r="B607" s="17">
        <v>906</v>
      </c>
      <c r="C607" s="21" t="s">
        <v>305</v>
      </c>
      <c r="D607" s="21" t="s">
        <v>254</v>
      </c>
      <c r="E607" s="21" t="s">
        <v>505</v>
      </c>
      <c r="F607" s="21" t="s">
        <v>314</v>
      </c>
      <c r="G607" s="27">
        <f>G608</f>
        <v>886.5</v>
      </c>
      <c r="H607" s="202"/>
    </row>
    <row r="608" spans="1:9" ht="15.75">
      <c r="A608" s="26" t="s">
        <v>315</v>
      </c>
      <c r="B608" s="17">
        <v>906</v>
      </c>
      <c r="C608" s="21" t="s">
        <v>305</v>
      </c>
      <c r="D608" s="21" t="s">
        <v>254</v>
      </c>
      <c r="E608" s="21" t="s">
        <v>505</v>
      </c>
      <c r="F608" s="21" t="s">
        <v>316</v>
      </c>
      <c r="G608" s="28">
        <f>998.4-111.9</f>
        <v>886.5</v>
      </c>
      <c r="H608" s="202"/>
      <c r="I608" s="136"/>
    </row>
    <row r="609" spans="1:8" ht="110.25">
      <c r="A609" s="33" t="s">
        <v>506</v>
      </c>
      <c r="B609" s="17">
        <v>906</v>
      </c>
      <c r="C609" s="21" t="s">
        <v>305</v>
      </c>
      <c r="D609" s="21" t="s">
        <v>254</v>
      </c>
      <c r="E609" s="21" t="s">
        <v>335</v>
      </c>
      <c r="F609" s="21"/>
      <c r="G609" s="27">
        <f>G610</f>
        <v>4369</v>
      </c>
      <c r="H609" s="202"/>
    </row>
    <row r="610" spans="1:8" ht="47.25">
      <c r="A610" s="26" t="s">
        <v>313</v>
      </c>
      <c r="B610" s="17">
        <v>906</v>
      </c>
      <c r="C610" s="21" t="s">
        <v>305</v>
      </c>
      <c r="D610" s="21" t="s">
        <v>254</v>
      </c>
      <c r="E610" s="21" t="s">
        <v>335</v>
      </c>
      <c r="F610" s="21" t="s">
        <v>314</v>
      </c>
      <c r="G610" s="27">
        <f>G611</f>
        <v>4369</v>
      </c>
      <c r="H610" s="202"/>
    </row>
    <row r="611" spans="1:9" ht="15.75">
      <c r="A611" s="26" t="s">
        <v>315</v>
      </c>
      <c r="B611" s="17">
        <v>906</v>
      </c>
      <c r="C611" s="21" t="s">
        <v>305</v>
      </c>
      <c r="D611" s="21" t="s">
        <v>254</v>
      </c>
      <c r="E611" s="21" t="s">
        <v>335</v>
      </c>
      <c r="F611" s="21" t="s">
        <v>316</v>
      </c>
      <c r="G611" s="28">
        <f>5441.9-1072.9</f>
        <v>4369</v>
      </c>
      <c r="H611" s="202"/>
      <c r="I611" s="136"/>
    </row>
    <row r="612" spans="1:9" ht="15.75">
      <c r="A612" s="24" t="s">
        <v>306</v>
      </c>
      <c r="B612" s="20">
        <v>906</v>
      </c>
      <c r="C612" s="25" t="s">
        <v>305</v>
      </c>
      <c r="D612" s="25" t="s">
        <v>256</v>
      </c>
      <c r="E612" s="25"/>
      <c r="F612" s="25"/>
      <c r="G612" s="46">
        <f>G613+G622</f>
        <v>23062.100000000002</v>
      </c>
      <c r="H612" s="202"/>
      <c r="I612" s="136"/>
    </row>
    <row r="613" spans="1:9" ht="47.25">
      <c r="A613" s="26" t="s">
        <v>468</v>
      </c>
      <c r="B613" s="17">
        <v>906</v>
      </c>
      <c r="C613" s="21" t="s">
        <v>305</v>
      </c>
      <c r="D613" s="21" t="s">
        <v>256</v>
      </c>
      <c r="E613" s="21" t="s">
        <v>448</v>
      </c>
      <c r="F613" s="21"/>
      <c r="G613" s="28">
        <f>G614+G620</f>
        <v>21479.9</v>
      </c>
      <c r="H613" s="202"/>
      <c r="I613" s="136"/>
    </row>
    <row r="614" spans="1:9" ht="47.25">
      <c r="A614" s="26" t="s">
        <v>449</v>
      </c>
      <c r="B614" s="17">
        <v>906</v>
      </c>
      <c r="C614" s="21" t="s">
        <v>305</v>
      </c>
      <c r="D614" s="21" t="s">
        <v>256</v>
      </c>
      <c r="E614" s="21" t="s">
        <v>450</v>
      </c>
      <c r="F614" s="21"/>
      <c r="G614" s="28">
        <f>G615</f>
        <v>21124</v>
      </c>
      <c r="H614" s="202"/>
      <c r="I614" s="136"/>
    </row>
    <row r="615" spans="1:9" ht="47.25">
      <c r="A615" s="26" t="s">
        <v>311</v>
      </c>
      <c r="B615" s="17">
        <v>906</v>
      </c>
      <c r="C615" s="21" t="s">
        <v>305</v>
      </c>
      <c r="D615" s="21" t="s">
        <v>256</v>
      </c>
      <c r="E615" s="21" t="s">
        <v>471</v>
      </c>
      <c r="F615" s="21"/>
      <c r="G615" s="28">
        <f>G616</f>
        <v>21124</v>
      </c>
      <c r="H615" s="202"/>
      <c r="I615" s="136"/>
    </row>
    <row r="616" spans="1:9" ht="47.25">
      <c r="A616" s="26" t="s">
        <v>313</v>
      </c>
      <c r="B616" s="17">
        <v>906</v>
      </c>
      <c r="C616" s="21" t="s">
        <v>305</v>
      </c>
      <c r="D616" s="21" t="s">
        <v>256</v>
      </c>
      <c r="E616" s="21" t="s">
        <v>471</v>
      </c>
      <c r="F616" s="21" t="s">
        <v>314</v>
      </c>
      <c r="G616" s="28">
        <f>G617</f>
        <v>21124</v>
      </c>
      <c r="H616" s="202"/>
      <c r="I616" s="136"/>
    </row>
    <row r="617" spans="1:9" ht="15.75">
      <c r="A617" s="26" t="s">
        <v>315</v>
      </c>
      <c r="B617" s="17">
        <v>906</v>
      </c>
      <c r="C617" s="21" t="s">
        <v>305</v>
      </c>
      <c r="D617" s="21" t="s">
        <v>256</v>
      </c>
      <c r="E617" s="21" t="s">
        <v>471</v>
      </c>
      <c r="F617" s="21" t="s">
        <v>316</v>
      </c>
      <c r="G617" s="28">
        <f>21044+80</f>
        <v>21124</v>
      </c>
      <c r="H617" s="127"/>
      <c r="I617" s="148"/>
    </row>
    <row r="618" spans="1:9" ht="47.25">
      <c r="A618" s="33" t="s">
        <v>773</v>
      </c>
      <c r="B618" s="17">
        <v>906</v>
      </c>
      <c r="C618" s="21" t="s">
        <v>305</v>
      </c>
      <c r="D618" s="21" t="s">
        <v>256</v>
      </c>
      <c r="E618" s="21" t="s">
        <v>489</v>
      </c>
      <c r="F618" s="21"/>
      <c r="G618" s="28">
        <f>G619</f>
        <v>355.9</v>
      </c>
      <c r="H618" s="202"/>
      <c r="I618" s="136"/>
    </row>
    <row r="619" spans="1:9" ht="31.5">
      <c r="A619" s="47" t="s">
        <v>774</v>
      </c>
      <c r="B619" s="17">
        <v>906</v>
      </c>
      <c r="C619" s="21" t="s">
        <v>305</v>
      </c>
      <c r="D619" s="21" t="s">
        <v>256</v>
      </c>
      <c r="E619" s="21" t="s">
        <v>775</v>
      </c>
      <c r="F619" s="21"/>
      <c r="G619" s="28">
        <f>G620</f>
        <v>355.9</v>
      </c>
      <c r="H619" s="202"/>
      <c r="I619" s="136"/>
    </row>
    <row r="620" spans="1:9" ht="47.25">
      <c r="A620" s="33" t="s">
        <v>313</v>
      </c>
      <c r="B620" s="17">
        <v>906</v>
      </c>
      <c r="C620" s="21" t="s">
        <v>305</v>
      </c>
      <c r="D620" s="21" t="s">
        <v>256</v>
      </c>
      <c r="E620" s="21" t="s">
        <v>775</v>
      </c>
      <c r="F620" s="21" t="s">
        <v>314</v>
      </c>
      <c r="G620" s="28">
        <f>G621</f>
        <v>355.9</v>
      </c>
      <c r="H620" s="127"/>
      <c r="I620" s="136"/>
    </row>
    <row r="621" spans="1:9" ht="15.75">
      <c r="A621" s="33" t="s">
        <v>315</v>
      </c>
      <c r="B621" s="17">
        <v>906</v>
      </c>
      <c r="C621" s="21" t="s">
        <v>305</v>
      </c>
      <c r="D621" s="21" t="s">
        <v>256</v>
      </c>
      <c r="E621" s="21" t="s">
        <v>775</v>
      </c>
      <c r="F621" s="21" t="s">
        <v>316</v>
      </c>
      <c r="G621" s="28">
        <v>355.9</v>
      </c>
      <c r="H621" s="202"/>
      <c r="I621" s="136"/>
    </row>
    <row r="622" spans="1:9" ht="15.75">
      <c r="A622" s="26" t="s">
        <v>507</v>
      </c>
      <c r="B622" s="17">
        <v>906</v>
      </c>
      <c r="C622" s="21" t="s">
        <v>305</v>
      </c>
      <c r="D622" s="21" t="s">
        <v>256</v>
      </c>
      <c r="E622" s="21" t="s">
        <v>163</v>
      </c>
      <c r="F622" s="21"/>
      <c r="G622" s="28">
        <f>G623</f>
        <v>1582.2</v>
      </c>
      <c r="H622" s="202"/>
      <c r="I622" s="136"/>
    </row>
    <row r="623" spans="1:9" ht="31.5">
      <c r="A623" s="26" t="s">
        <v>226</v>
      </c>
      <c r="B623" s="17">
        <v>906</v>
      </c>
      <c r="C623" s="21" t="s">
        <v>305</v>
      </c>
      <c r="D623" s="21" t="s">
        <v>256</v>
      </c>
      <c r="E623" s="21" t="s">
        <v>227</v>
      </c>
      <c r="F623" s="21"/>
      <c r="G623" s="28">
        <f>G624+G627+G630</f>
        <v>1582.2</v>
      </c>
      <c r="H623" s="202"/>
      <c r="I623" s="136"/>
    </row>
    <row r="624" spans="1:9" ht="63">
      <c r="A624" s="33" t="s">
        <v>330</v>
      </c>
      <c r="B624" s="17">
        <v>906</v>
      </c>
      <c r="C624" s="21" t="s">
        <v>305</v>
      </c>
      <c r="D624" s="21" t="s">
        <v>256</v>
      </c>
      <c r="E624" s="21" t="s">
        <v>331</v>
      </c>
      <c r="F624" s="21"/>
      <c r="G624" s="28">
        <f>G625</f>
        <v>110</v>
      </c>
      <c r="H624" s="202"/>
      <c r="I624" s="136"/>
    </row>
    <row r="625" spans="1:9" ht="47.25">
      <c r="A625" s="26" t="s">
        <v>313</v>
      </c>
      <c r="B625" s="17">
        <v>906</v>
      </c>
      <c r="C625" s="21" t="s">
        <v>305</v>
      </c>
      <c r="D625" s="21" t="s">
        <v>256</v>
      </c>
      <c r="E625" s="21" t="s">
        <v>331</v>
      </c>
      <c r="F625" s="21" t="s">
        <v>314</v>
      </c>
      <c r="G625" s="28">
        <f>G626</f>
        <v>110</v>
      </c>
      <c r="H625" s="202"/>
      <c r="I625" s="136"/>
    </row>
    <row r="626" spans="1:9" ht="15.75">
      <c r="A626" s="26" t="s">
        <v>315</v>
      </c>
      <c r="B626" s="17">
        <v>906</v>
      </c>
      <c r="C626" s="21" t="s">
        <v>305</v>
      </c>
      <c r="D626" s="21" t="s">
        <v>256</v>
      </c>
      <c r="E626" s="21" t="s">
        <v>331</v>
      </c>
      <c r="F626" s="21" t="s">
        <v>316</v>
      </c>
      <c r="G626" s="28">
        <v>110</v>
      </c>
      <c r="H626" s="202"/>
      <c r="I626" s="136"/>
    </row>
    <row r="627" spans="1:9" ht="78.75">
      <c r="A627" s="33" t="s">
        <v>332</v>
      </c>
      <c r="B627" s="17">
        <v>906</v>
      </c>
      <c r="C627" s="21" t="s">
        <v>305</v>
      </c>
      <c r="D627" s="21" t="s">
        <v>256</v>
      </c>
      <c r="E627" s="21" t="s">
        <v>333</v>
      </c>
      <c r="F627" s="21"/>
      <c r="G627" s="28">
        <f>G628</f>
        <v>572.2</v>
      </c>
      <c r="H627" s="202"/>
      <c r="I627" s="136"/>
    </row>
    <row r="628" spans="1:9" ht="47.25">
      <c r="A628" s="26" t="s">
        <v>313</v>
      </c>
      <c r="B628" s="17">
        <v>906</v>
      </c>
      <c r="C628" s="21" t="s">
        <v>305</v>
      </c>
      <c r="D628" s="21" t="s">
        <v>256</v>
      </c>
      <c r="E628" s="21" t="s">
        <v>333</v>
      </c>
      <c r="F628" s="21" t="s">
        <v>314</v>
      </c>
      <c r="G628" s="28">
        <f>G629</f>
        <v>572.2</v>
      </c>
      <c r="H628" s="202"/>
      <c r="I628" s="136"/>
    </row>
    <row r="629" spans="1:9" ht="15.75">
      <c r="A629" s="26" t="s">
        <v>315</v>
      </c>
      <c r="B629" s="17">
        <v>906</v>
      </c>
      <c r="C629" s="21" t="s">
        <v>305</v>
      </c>
      <c r="D629" s="21" t="s">
        <v>256</v>
      </c>
      <c r="E629" s="21" t="s">
        <v>333</v>
      </c>
      <c r="F629" s="21" t="s">
        <v>316</v>
      </c>
      <c r="G629" s="28">
        <v>572.2</v>
      </c>
      <c r="H629" s="202"/>
      <c r="I629" s="136"/>
    </row>
    <row r="630" spans="1:9" ht="110.25">
      <c r="A630" s="33" t="s">
        <v>334</v>
      </c>
      <c r="B630" s="17">
        <v>906</v>
      </c>
      <c r="C630" s="21" t="s">
        <v>305</v>
      </c>
      <c r="D630" s="21" t="s">
        <v>256</v>
      </c>
      <c r="E630" s="21" t="s">
        <v>335</v>
      </c>
      <c r="F630" s="21"/>
      <c r="G630" s="28">
        <f>G631</f>
        <v>900</v>
      </c>
      <c r="H630" s="202"/>
      <c r="I630" s="136"/>
    </row>
    <row r="631" spans="1:9" ht="47.25">
      <c r="A631" s="26" t="s">
        <v>313</v>
      </c>
      <c r="B631" s="17">
        <v>906</v>
      </c>
      <c r="C631" s="21" t="s">
        <v>305</v>
      </c>
      <c r="D631" s="21" t="s">
        <v>256</v>
      </c>
      <c r="E631" s="21" t="s">
        <v>335</v>
      </c>
      <c r="F631" s="21" t="s">
        <v>314</v>
      </c>
      <c r="G631" s="28">
        <f>G632</f>
        <v>900</v>
      </c>
      <c r="H631" s="202"/>
      <c r="I631" s="136"/>
    </row>
    <row r="632" spans="1:9" ht="15.75">
      <c r="A632" s="26" t="s">
        <v>315</v>
      </c>
      <c r="B632" s="17">
        <v>906</v>
      </c>
      <c r="C632" s="21" t="s">
        <v>305</v>
      </c>
      <c r="D632" s="21" t="s">
        <v>256</v>
      </c>
      <c r="E632" s="21" t="s">
        <v>335</v>
      </c>
      <c r="F632" s="21" t="s">
        <v>316</v>
      </c>
      <c r="G632" s="28">
        <v>900</v>
      </c>
      <c r="H632" s="202"/>
      <c r="I632" s="136"/>
    </row>
    <row r="633" spans="1:8" ht="31.5">
      <c r="A633" s="24" t="s">
        <v>508</v>
      </c>
      <c r="B633" s="20">
        <v>906</v>
      </c>
      <c r="C633" s="25" t="s">
        <v>305</v>
      </c>
      <c r="D633" s="25" t="s">
        <v>305</v>
      </c>
      <c r="E633" s="25"/>
      <c r="F633" s="25"/>
      <c r="G633" s="22">
        <f>G634+G639</f>
        <v>4788.6</v>
      </c>
      <c r="H633" s="202"/>
    </row>
    <row r="634" spans="1:8" ht="47.25">
      <c r="A634" s="26" t="s">
        <v>468</v>
      </c>
      <c r="B634" s="17">
        <v>906</v>
      </c>
      <c r="C634" s="21" t="s">
        <v>305</v>
      </c>
      <c r="D634" s="21" t="s">
        <v>305</v>
      </c>
      <c r="E634" s="21" t="s">
        <v>448</v>
      </c>
      <c r="F634" s="21"/>
      <c r="G634" s="27">
        <f>G635</f>
        <v>3484.8</v>
      </c>
      <c r="H634" s="202"/>
    </row>
    <row r="635" spans="1:8" ht="31.5">
      <c r="A635" s="26" t="s">
        <v>509</v>
      </c>
      <c r="B635" s="17">
        <v>906</v>
      </c>
      <c r="C635" s="21" t="s">
        <v>305</v>
      </c>
      <c r="D635" s="21" t="s">
        <v>510</v>
      </c>
      <c r="E635" s="21" t="s">
        <v>511</v>
      </c>
      <c r="F635" s="21"/>
      <c r="G635" s="27">
        <f>G636</f>
        <v>3484.8</v>
      </c>
      <c r="H635" s="202"/>
    </row>
    <row r="636" spans="1:8" ht="47.25">
      <c r="A636" s="26" t="s">
        <v>512</v>
      </c>
      <c r="B636" s="17">
        <v>906</v>
      </c>
      <c r="C636" s="21" t="s">
        <v>305</v>
      </c>
      <c r="D636" s="21" t="s">
        <v>305</v>
      </c>
      <c r="E636" s="21" t="s">
        <v>513</v>
      </c>
      <c r="F636" s="21"/>
      <c r="G636" s="27">
        <f>G637</f>
        <v>3484.8</v>
      </c>
      <c r="H636" s="202"/>
    </row>
    <row r="637" spans="1:8" ht="47.25">
      <c r="A637" s="26" t="s">
        <v>313</v>
      </c>
      <c r="B637" s="17">
        <v>906</v>
      </c>
      <c r="C637" s="21" t="s">
        <v>305</v>
      </c>
      <c r="D637" s="21" t="s">
        <v>305</v>
      </c>
      <c r="E637" s="21" t="s">
        <v>513</v>
      </c>
      <c r="F637" s="21" t="s">
        <v>314</v>
      </c>
      <c r="G637" s="27">
        <f aca="true" t="shared" si="3" ref="G637:G642">G638</f>
        <v>3484.8</v>
      </c>
      <c r="H637" s="202"/>
    </row>
    <row r="638" spans="1:8" ht="15.75">
      <c r="A638" s="26" t="s">
        <v>315</v>
      </c>
      <c r="B638" s="17">
        <v>906</v>
      </c>
      <c r="C638" s="21" t="s">
        <v>305</v>
      </c>
      <c r="D638" s="21" t="s">
        <v>305</v>
      </c>
      <c r="E638" s="21" t="s">
        <v>513</v>
      </c>
      <c r="F638" s="21" t="s">
        <v>316</v>
      </c>
      <c r="G638" s="28">
        <v>3484.8</v>
      </c>
      <c r="H638" s="202"/>
    </row>
    <row r="639" spans="1:8" ht="15.75">
      <c r="A639" s="26" t="s">
        <v>162</v>
      </c>
      <c r="B639" s="17">
        <v>906</v>
      </c>
      <c r="C639" s="21" t="s">
        <v>305</v>
      </c>
      <c r="D639" s="21" t="s">
        <v>305</v>
      </c>
      <c r="E639" s="21" t="s">
        <v>163</v>
      </c>
      <c r="F639" s="21"/>
      <c r="G639" s="27">
        <f>G640</f>
        <v>1303.8000000000002</v>
      </c>
      <c r="H639" s="202"/>
    </row>
    <row r="640" spans="1:8" ht="31.5">
      <c r="A640" s="26" t="s">
        <v>226</v>
      </c>
      <c r="B640" s="17">
        <v>906</v>
      </c>
      <c r="C640" s="21" t="s">
        <v>305</v>
      </c>
      <c r="D640" s="21" t="s">
        <v>305</v>
      </c>
      <c r="E640" s="21" t="s">
        <v>227</v>
      </c>
      <c r="F640" s="21"/>
      <c r="G640" s="27">
        <f>G642</f>
        <v>1303.8000000000002</v>
      </c>
      <c r="H640" s="202"/>
    </row>
    <row r="641" spans="1:8" ht="63" hidden="1">
      <c r="A641" s="26" t="s">
        <v>514</v>
      </c>
      <c r="B641" s="17">
        <v>906</v>
      </c>
      <c r="C641" s="21" t="s">
        <v>305</v>
      </c>
      <c r="D641" s="21" t="s">
        <v>305</v>
      </c>
      <c r="E641" s="21" t="s">
        <v>515</v>
      </c>
      <c r="F641" s="21"/>
      <c r="G641" s="27">
        <f t="shared" si="3"/>
        <v>1303.8000000000002</v>
      </c>
      <c r="H641" s="202"/>
    </row>
    <row r="642" spans="1:8" ht="31.5">
      <c r="A642" s="33" t="s">
        <v>516</v>
      </c>
      <c r="B642" s="17">
        <v>906</v>
      </c>
      <c r="C642" s="21" t="s">
        <v>305</v>
      </c>
      <c r="D642" s="21" t="s">
        <v>305</v>
      </c>
      <c r="E642" s="21" t="s">
        <v>517</v>
      </c>
      <c r="F642" s="21"/>
      <c r="G642" s="27">
        <f t="shared" si="3"/>
        <v>1303.8000000000002</v>
      </c>
      <c r="H642" s="202"/>
    </row>
    <row r="643" spans="1:8" ht="47.25">
      <c r="A643" s="26" t="s">
        <v>313</v>
      </c>
      <c r="B643" s="17">
        <v>906</v>
      </c>
      <c r="C643" s="21" t="s">
        <v>305</v>
      </c>
      <c r="D643" s="21" t="s">
        <v>305</v>
      </c>
      <c r="E643" s="21" t="s">
        <v>517</v>
      </c>
      <c r="F643" s="21" t="s">
        <v>314</v>
      </c>
      <c r="G643" s="27">
        <f>G644</f>
        <v>1303.8000000000002</v>
      </c>
      <c r="H643" s="202"/>
    </row>
    <row r="644" spans="1:9" ht="15.75">
      <c r="A644" s="26" t="s">
        <v>315</v>
      </c>
      <c r="B644" s="17">
        <v>906</v>
      </c>
      <c r="C644" s="21" t="s">
        <v>305</v>
      </c>
      <c r="D644" s="21" t="s">
        <v>305</v>
      </c>
      <c r="E644" s="21" t="s">
        <v>517</v>
      </c>
      <c r="F644" s="21" t="s">
        <v>316</v>
      </c>
      <c r="G644" s="28">
        <f>1660.4-356.6</f>
        <v>1303.8000000000002</v>
      </c>
      <c r="H644" s="202"/>
      <c r="I644" s="136"/>
    </row>
    <row r="645" spans="1:8" ht="15.75">
      <c r="A645" s="24" t="s">
        <v>336</v>
      </c>
      <c r="B645" s="20">
        <v>906</v>
      </c>
      <c r="C645" s="25" t="s">
        <v>305</v>
      </c>
      <c r="D645" s="25" t="s">
        <v>260</v>
      </c>
      <c r="E645" s="25"/>
      <c r="F645" s="25"/>
      <c r="G645" s="22">
        <f>G646+G655</f>
        <v>18322.300000000003</v>
      </c>
      <c r="H645" s="202"/>
    </row>
    <row r="646" spans="1:9" ht="47.25">
      <c r="A646" s="26" t="s">
        <v>375</v>
      </c>
      <c r="B646" s="17">
        <v>906</v>
      </c>
      <c r="C646" s="21" t="s">
        <v>305</v>
      </c>
      <c r="D646" s="21" t="s">
        <v>260</v>
      </c>
      <c r="E646" s="21" t="s">
        <v>376</v>
      </c>
      <c r="F646" s="21"/>
      <c r="G646" s="27">
        <f>G647+G650</f>
        <v>20</v>
      </c>
      <c r="H646" s="202"/>
      <c r="I646" s="136"/>
    </row>
    <row r="647" spans="1:8" ht="31.5" hidden="1">
      <c r="A647" s="26" t="s">
        <v>377</v>
      </c>
      <c r="B647" s="17">
        <v>906</v>
      </c>
      <c r="C647" s="21" t="s">
        <v>305</v>
      </c>
      <c r="D647" s="21" t="s">
        <v>260</v>
      </c>
      <c r="E647" s="21" t="s">
        <v>378</v>
      </c>
      <c r="F647" s="21"/>
      <c r="G647" s="27">
        <f>G648</f>
        <v>0</v>
      </c>
      <c r="H647" s="202"/>
    </row>
    <row r="648" spans="1:8" ht="31.5" hidden="1">
      <c r="A648" s="26" t="s">
        <v>172</v>
      </c>
      <c r="B648" s="17">
        <v>906</v>
      </c>
      <c r="C648" s="21" t="s">
        <v>305</v>
      </c>
      <c r="D648" s="21" t="s">
        <v>260</v>
      </c>
      <c r="E648" s="21" t="s">
        <v>378</v>
      </c>
      <c r="F648" s="21" t="s">
        <v>173</v>
      </c>
      <c r="G648" s="27">
        <f>G649</f>
        <v>0</v>
      </c>
      <c r="H648" s="202"/>
    </row>
    <row r="649" spans="1:9" ht="47.25" hidden="1">
      <c r="A649" s="26" t="s">
        <v>174</v>
      </c>
      <c r="B649" s="17">
        <v>906</v>
      </c>
      <c r="C649" s="21" t="s">
        <v>305</v>
      </c>
      <c r="D649" s="21" t="s">
        <v>260</v>
      </c>
      <c r="E649" s="21" t="s">
        <v>378</v>
      </c>
      <c r="F649" s="21" t="s">
        <v>175</v>
      </c>
      <c r="G649" s="27">
        <f>50-50</f>
        <v>0</v>
      </c>
      <c r="H649" s="127"/>
      <c r="I649" s="147"/>
    </row>
    <row r="650" spans="1:8" ht="63">
      <c r="A650" s="26" t="s">
        <v>518</v>
      </c>
      <c r="B650" s="17">
        <v>906</v>
      </c>
      <c r="C650" s="21" t="s">
        <v>305</v>
      </c>
      <c r="D650" s="21" t="s">
        <v>260</v>
      </c>
      <c r="E650" s="21" t="s">
        <v>519</v>
      </c>
      <c r="F650" s="21"/>
      <c r="G650" s="27">
        <f>G651+G653</f>
        <v>20</v>
      </c>
      <c r="H650" s="202"/>
    </row>
    <row r="651" spans="1:8" ht="94.5">
      <c r="A651" s="26" t="s">
        <v>168</v>
      </c>
      <c r="B651" s="17">
        <v>906</v>
      </c>
      <c r="C651" s="21" t="s">
        <v>305</v>
      </c>
      <c r="D651" s="21" t="s">
        <v>260</v>
      </c>
      <c r="E651" s="21" t="s">
        <v>519</v>
      </c>
      <c r="F651" s="21" t="s">
        <v>169</v>
      </c>
      <c r="G651" s="27">
        <f>G652</f>
        <v>5</v>
      </c>
      <c r="H651" s="202"/>
    </row>
    <row r="652" spans="1:8" ht="31.5">
      <c r="A652" s="26" t="s">
        <v>383</v>
      </c>
      <c r="B652" s="17">
        <v>906</v>
      </c>
      <c r="C652" s="21" t="s">
        <v>305</v>
      </c>
      <c r="D652" s="21" t="s">
        <v>260</v>
      </c>
      <c r="E652" s="21" t="s">
        <v>519</v>
      </c>
      <c r="F652" s="21" t="s">
        <v>250</v>
      </c>
      <c r="G652" s="27">
        <v>5</v>
      </c>
      <c r="H652" s="202"/>
    </row>
    <row r="653" spans="1:8" ht="31.5">
      <c r="A653" s="26" t="s">
        <v>172</v>
      </c>
      <c r="B653" s="17">
        <v>906</v>
      </c>
      <c r="C653" s="21" t="s">
        <v>305</v>
      </c>
      <c r="D653" s="21" t="s">
        <v>260</v>
      </c>
      <c r="E653" s="21" t="s">
        <v>519</v>
      </c>
      <c r="F653" s="21" t="s">
        <v>173</v>
      </c>
      <c r="G653" s="27">
        <f>G654</f>
        <v>15</v>
      </c>
      <c r="H653" s="202"/>
    </row>
    <row r="654" spans="1:8" ht="47.25">
      <c r="A654" s="26" t="s">
        <v>174</v>
      </c>
      <c r="B654" s="17">
        <v>906</v>
      </c>
      <c r="C654" s="21" t="s">
        <v>305</v>
      </c>
      <c r="D654" s="21" t="s">
        <v>260</v>
      </c>
      <c r="E654" s="21" t="s">
        <v>519</v>
      </c>
      <c r="F654" s="21" t="s">
        <v>175</v>
      </c>
      <c r="G654" s="27">
        <v>15</v>
      </c>
      <c r="H654" s="202"/>
    </row>
    <row r="655" spans="1:8" ht="15.75">
      <c r="A655" s="26" t="s">
        <v>162</v>
      </c>
      <c r="B655" s="17">
        <v>906</v>
      </c>
      <c r="C655" s="21" t="s">
        <v>305</v>
      </c>
      <c r="D655" s="21" t="s">
        <v>260</v>
      </c>
      <c r="E655" s="21" t="s">
        <v>163</v>
      </c>
      <c r="F655" s="21"/>
      <c r="G655" s="27">
        <f>G656+G662</f>
        <v>18302.300000000003</v>
      </c>
      <c r="H655" s="202"/>
    </row>
    <row r="656" spans="1:8" ht="31.5">
      <c r="A656" s="26" t="s">
        <v>164</v>
      </c>
      <c r="B656" s="17">
        <v>906</v>
      </c>
      <c r="C656" s="21" t="s">
        <v>305</v>
      </c>
      <c r="D656" s="21" t="s">
        <v>260</v>
      </c>
      <c r="E656" s="21" t="s">
        <v>165</v>
      </c>
      <c r="F656" s="21"/>
      <c r="G656" s="27">
        <f>G657</f>
        <v>5138.7</v>
      </c>
      <c r="H656" s="202"/>
    </row>
    <row r="657" spans="1:8" ht="47.25">
      <c r="A657" s="26" t="s">
        <v>166</v>
      </c>
      <c r="B657" s="17">
        <v>906</v>
      </c>
      <c r="C657" s="21" t="s">
        <v>305</v>
      </c>
      <c r="D657" s="21" t="s">
        <v>260</v>
      </c>
      <c r="E657" s="21" t="s">
        <v>167</v>
      </c>
      <c r="F657" s="21"/>
      <c r="G657" s="27">
        <f>G658+G660</f>
        <v>5138.7</v>
      </c>
      <c r="H657" s="202"/>
    </row>
    <row r="658" spans="1:8" ht="94.5">
      <c r="A658" s="26" t="s">
        <v>168</v>
      </c>
      <c r="B658" s="17">
        <v>906</v>
      </c>
      <c r="C658" s="21" t="s">
        <v>305</v>
      </c>
      <c r="D658" s="21" t="s">
        <v>260</v>
      </c>
      <c r="E658" s="21" t="s">
        <v>167</v>
      </c>
      <c r="F658" s="21" t="s">
        <v>169</v>
      </c>
      <c r="G658" s="27">
        <f>G659</f>
        <v>4981.5</v>
      </c>
      <c r="H658" s="202"/>
    </row>
    <row r="659" spans="1:8" ht="31.5">
      <c r="A659" s="26" t="s">
        <v>170</v>
      </c>
      <c r="B659" s="17">
        <v>906</v>
      </c>
      <c r="C659" s="21" t="s">
        <v>305</v>
      </c>
      <c r="D659" s="21" t="s">
        <v>260</v>
      </c>
      <c r="E659" s="21" t="s">
        <v>167</v>
      </c>
      <c r="F659" s="21" t="s">
        <v>171</v>
      </c>
      <c r="G659" s="181">
        <f>4975.7+5.8</f>
        <v>4981.5</v>
      </c>
      <c r="H659" s="182" t="s">
        <v>799</v>
      </c>
    </row>
    <row r="660" spans="1:8" ht="31.5">
      <c r="A660" s="26" t="s">
        <v>172</v>
      </c>
      <c r="B660" s="17">
        <v>906</v>
      </c>
      <c r="C660" s="21" t="s">
        <v>305</v>
      </c>
      <c r="D660" s="21" t="s">
        <v>260</v>
      </c>
      <c r="E660" s="21" t="s">
        <v>167</v>
      </c>
      <c r="F660" s="21" t="s">
        <v>173</v>
      </c>
      <c r="G660" s="27">
        <f>G661</f>
        <v>157.2</v>
      </c>
      <c r="H660" s="202"/>
    </row>
    <row r="661" spans="1:8" ht="47.25">
      <c r="A661" s="26" t="s">
        <v>174</v>
      </c>
      <c r="B661" s="17">
        <v>906</v>
      </c>
      <c r="C661" s="21" t="s">
        <v>305</v>
      </c>
      <c r="D661" s="21" t="s">
        <v>260</v>
      </c>
      <c r="E661" s="21" t="s">
        <v>167</v>
      </c>
      <c r="F661" s="21" t="s">
        <v>175</v>
      </c>
      <c r="G661" s="183">
        <f>163-5.8</f>
        <v>157.2</v>
      </c>
      <c r="H661" s="182" t="s">
        <v>798</v>
      </c>
    </row>
    <row r="662" spans="1:8" ht="15.75">
      <c r="A662" s="26" t="s">
        <v>182</v>
      </c>
      <c r="B662" s="17">
        <v>906</v>
      </c>
      <c r="C662" s="21" t="s">
        <v>305</v>
      </c>
      <c r="D662" s="21" t="s">
        <v>260</v>
      </c>
      <c r="E662" s="21" t="s">
        <v>183</v>
      </c>
      <c r="F662" s="21"/>
      <c r="G662" s="27">
        <f>G666+G663</f>
        <v>13163.600000000002</v>
      </c>
      <c r="H662" s="202"/>
    </row>
    <row r="663" spans="1:8" ht="15.75">
      <c r="A663" s="26" t="s">
        <v>520</v>
      </c>
      <c r="B663" s="17">
        <v>906</v>
      </c>
      <c r="C663" s="21" t="s">
        <v>305</v>
      </c>
      <c r="D663" s="21" t="s">
        <v>260</v>
      </c>
      <c r="E663" s="21" t="s">
        <v>521</v>
      </c>
      <c r="F663" s="21"/>
      <c r="G663" s="27">
        <f>G664</f>
        <v>375</v>
      </c>
      <c r="H663" s="202"/>
    </row>
    <row r="664" spans="1:8" ht="31.5">
      <c r="A664" s="26" t="s">
        <v>172</v>
      </c>
      <c r="B664" s="17">
        <v>906</v>
      </c>
      <c r="C664" s="21" t="s">
        <v>305</v>
      </c>
      <c r="D664" s="21" t="s">
        <v>260</v>
      </c>
      <c r="E664" s="21" t="s">
        <v>521</v>
      </c>
      <c r="F664" s="21" t="s">
        <v>173</v>
      </c>
      <c r="G664" s="27">
        <f>G665</f>
        <v>375</v>
      </c>
      <c r="H664" s="202"/>
    </row>
    <row r="665" spans="1:9" ht="47.25">
      <c r="A665" s="26" t="s">
        <v>174</v>
      </c>
      <c r="B665" s="17">
        <v>906</v>
      </c>
      <c r="C665" s="21" t="s">
        <v>305</v>
      </c>
      <c r="D665" s="21" t="s">
        <v>260</v>
      </c>
      <c r="E665" s="21" t="s">
        <v>521</v>
      </c>
      <c r="F665" s="21" t="s">
        <v>175</v>
      </c>
      <c r="G665" s="187">
        <f>206.3+143.7+25</f>
        <v>375</v>
      </c>
      <c r="H665" s="182" t="s">
        <v>815</v>
      </c>
      <c r="I665" s="136"/>
    </row>
    <row r="666" spans="1:11" ht="31.5">
      <c r="A666" s="26" t="s">
        <v>381</v>
      </c>
      <c r="B666" s="17">
        <v>906</v>
      </c>
      <c r="C666" s="21" t="s">
        <v>305</v>
      </c>
      <c r="D666" s="21" t="s">
        <v>260</v>
      </c>
      <c r="E666" s="21" t="s">
        <v>382</v>
      </c>
      <c r="F666" s="21"/>
      <c r="G666" s="27">
        <f>G667+G669+G671</f>
        <v>12788.600000000002</v>
      </c>
      <c r="H666" s="202"/>
      <c r="J666" s="419"/>
      <c r="K666" s="419"/>
    </row>
    <row r="667" spans="1:11" ht="94.5">
      <c r="A667" s="26" t="s">
        <v>168</v>
      </c>
      <c r="B667" s="17">
        <v>906</v>
      </c>
      <c r="C667" s="21" t="s">
        <v>305</v>
      </c>
      <c r="D667" s="21" t="s">
        <v>260</v>
      </c>
      <c r="E667" s="21" t="s">
        <v>382</v>
      </c>
      <c r="F667" s="21" t="s">
        <v>169</v>
      </c>
      <c r="G667" s="27">
        <f>G668</f>
        <v>11519.300000000001</v>
      </c>
      <c r="H667" s="202"/>
      <c r="J667" s="419"/>
      <c r="K667" s="419"/>
    </row>
    <row r="668" spans="1:11" ht="31.5">
      <c r="A668" s="26" t="s">
        <v>383</v>
      </c>
      <c r="B668" s="17">
        <v>906</v>
      </c>
      <c r="C668" s="21" t="s">
        <v>305</v>
      </c>
      <c r="D668" s="21" t="s">
        <v>260</v>
      </c>
      <c r="E668" s="21" t="s">
        <v>382</v>
      </c>
      <c r="F668" s="21" t="s">
        <v>250</v>
      </c>
      <c r="G668" s="28">
        <f>11988.7-469.4</f>
        <v>11519.300000000001</v>
      </c>
      <c r="H668" s="127"/>
      <c r="I668" s="147"/>
      <c r="J668" s="419"/>
      <c r="K668" s="419"/>
    </row>
    <row r="669" spans="1:11" ht="31.5">
      <c r="A669" s="26" t="s">
        <v>172</v>
      </c>
      <c r="B669" s="17">
        <v>906</v>
      </c>
      <c r="C669" s="21" t="s">
        <v>305</v>
      </c>
      <c r="D669" s="21" t="s">
        <v>260</v>
      </c>
      <c r="E669" s="21" t="s">
        <v>382</v>
      </c>
      <c r="F669" s="21" t="s">
        <v>173</v>
      </c>
      <c r="G669" s="27">
        <f>G670</f>
        <v>1264.1</v>
      </c>
      <c r="H669" s="202"/>
      <c r="J669" s="419"/>
      <c r="K669" s="419"/>
    </row>
    <row r="670" spans="1:11" ht="47.25">
      <c r="A670" s="26" t="s">
        <v>174</v>
      </c>
      <c r="B670" s="17">
        <v>906</v>
      </c>
      <c r="C670" s="21" t="s">
        <v>305</v>
      </c>
      <c r="D670" s="21" t="s">
        <v>260</v>
      </c>
      <c r="E670" s="21" t="s">
        <v>382</v>
      </c>
      <c r="F670" s="21" t="s">
        <v>175</v>
      </c>
      <c r="G670" s="27">
        <f>1416.8-152.7</f>
        <v>1264.1</v>
      </c>
      <c r="H670" s="127"/>
      <c r="I670" s="147"/>
      <c r="J670" s="419"/>
      <c r="K670" s="419"/>
    </row>
    <row r="671" spans="1:11" ht="15.75">
      <c r="A671" s="26" t="s">
        <v>176</v>
      </c>
      <c r="B671" s="17">
        <v>906</v>
      </c>
      <c r="C671" s="21" t="s">
        <v>305</v>
      </c>
      <c r="D671" s="21" t="s">
        <v>260</v>
      </c>
      <c r="E671" s="21" t="s">
        <v>382</v>
      </c>
      <c r="F671" s="21" t="s">
        <v>186</v>
      </c>
      <c r="G671" s="27">
        <f>G672</f>
        <v>5.2</v>
      </c>
      <c r="H671" s="202"/>
      <c r="J671" s="419"/>
      <c r="K671" s="419"/>
    </row>
    <row r="672" spans="1:11" ht="15.75">
      <c r="A672" s="26" t="s">
        <v>610</v>
      </c>
      <c r="B672" s="17">
        <v>906</v>
      </c>
      <c r="C672" s="21" t="s">
        <v>305</v>
      </c>
      <c r="D672" s="21" t="s">
        <v>260</v>
      </c>
      <c r="E672" s="21" t="s">
        <v>382</v>
      </c>
      <c r="F672" s="21" t="s">
        <v>179</v>
      </c>
      <c r="G672" s="27">
        <f>7-1.8</f>
        <v>5.2</v>
      </c>
      <c r="H672" s="127"/>
      <c r="I672" s="147"/>
      <c r="J672" s="419"/>
      <c r="K672" s="419"/>
    </row>
    <row r="673" spans="1:8" ht="47.25">
      <c r="A673" s="20" t="s">
        <v>522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202"/>
    </row>
    <row r="674" spans="1:8" ht="15.75">
      <c r="A674" s="24" t="s">
        <v>304</v>
      </c>
      <c r="B674" s="20">
        <v>907</v>
      </c>
      <c r="C674" s="25" t="s">
        <v>510</v>
      </c>
      <c r="D674" s="25"/>
      <c r="E674" s="25"/>
      <c r="F674" s="25"/>
      <c r="G674" s="22">
        <f>G675</f>
        <v>11485.1</v>
      </c>
      <c r="H674" s="202"/>
    </row>
    <row r="675" spans="1:10" ht="15.75">
      <c r="A675" s="24" t="s">
        <v>306</v>
      </c>
      <c r="B675" s="20">
        <v>907</v>
      </c>
      <c r="C675" s="25" t="s">
        <v>305</v>
      </c>
      <c r="D675" s="25" t="s">
        <v>256</v>
      </c>
      <c r="E675" s="25"/>
      <c r="F675" s="25"/>
      <c r="G675" s="22">
        <f>G676+G693</f>
        <v>11485.1</v>
      </c>
      <c r="H675" s="202"/>
      <c r="J675" s="137"/>
    </row>
    <row r="676" spans="1:8" ht="47.25">
      <c r="A676" s="26" t="s">
        <v>523</v>
      </c>
      <c r="B676" s="17">
        <v>907</v>
      </c>
      <c r="C676" s="21" t="s">
        <v>305</v>
      </c>
      <c r="D676" s="21" t="s">
        <v>256</v>
      </c>
      <c r="E676" s="21" t="s">
        <v>524</v>
      </c>
      <c r="F676" s="21"/>
      <c r="G676" s="27">
        <f>G677</f>
        <v>10758</v>
      </c>
      <c r="H676" s="202"/>
    </row>
    <row r="677" spans="1:8" ht="47.25">
      <c r="A677" s="26" t="s">
        <v>525</v>
      </c>
      <c r="B677" s="17">
        <v>907</v>
      </c>
      <c r="C677" s="21" t="s">
        <v>305</v>
      </c>
      <c r="D677" s="21" t="s">
        <v>256</v>
      </c>
      <c r="E677" s="21" t="s">
        <v>526</v>
      </c>
      <c r="F677" s="21"/>
      <c r="G677" s="27">
        <f>G678+G681+G684+G690+G687</f>
        <v>10758</v>
      </c>
      <c r="H677" s="202"/>
    </row>
    <row r="678" spans="1:8" ht="47.25">
      <c r="A678" s="26" t="s">
        <v>311</v>
      </c>
      <c r="B678" s="17">
        <v>907</v>
      </c>
      <c r="C678" s="21" t="s">
        <v>305</v>
      </c>
      <c r="D678" s="21" t="s">
        <v>256</v>
      </c>
      <c r="E678" s="21" t="s">
        <v>527</v>
      </c>
      <c r="F678" s="21"/>
      <c r="G678" s="27">
        <f>G679</f>
        <v>10722</v>
      </c>
      <c r="H678" s="202"/>
    </row>
    <row r="679" spans="1:8" ht="47.25">
      <c r="A679" s="26" t="s">
        <v>313</v>
      </c>
      <c r="B679" s="17">
        <v>907</v>
      </c>
      <c r="C679" s="21" t="s">
        <v>305</v>
      </c>
      <c r="D679" s="21" t="s">
        <v>256</v>
      </c>
      <c r="E679" s="21" t="s">
        <v>527</v>
      </c>
      <c r="F679" s="21" t="s">
        <v>314</v>
      </c>
      <c r="G679" s="27">
        <f>G680</f>
        <v>10722</v>
      </c>
      <c r="H679" s="202"/>
    </row>
    <row r="680" spans="1:9" ht="15.75">
      <c r="A680" s="26" t="s">
        <v>315</v>
      </c>
      <c r="B680" s="17">
        <v>907</v>
      </c>
      <c r="C680" s="21" t="s">
        <v>305</v>
      </c>
      <c r="D680" s="21" t="s">
        <v>256</v>
      </c>
      <c r="E680" s="21" t="s">
        <v>527</v>
      </c>
      <c r="F680" s="21" t="s">
        <v>316</v>
      </c>
      <c r="G680" s="28">
        <f>10500+753.9-531.9</f>
        <v>10722</v>
      </c>
      <c r="H680" s="127"/>
      <c r="I680" s="148"/>
    </row>
    <row r="681" spans="1:8" ht="47.25" hidden="1">
      <c r="A681" s="26" t="s">
        <v>319</v>
      </c>
      <c r="B681" s="17">
        <v>907</v>
      </c>
      <c r="C681" s="21" t="s">
        <v>305</v>
      </c>
      <c r="D681" s="21" t="s">
        <v>254</v>
      </c>
      <c r="E681" s="21" t="s">
        <v>528</v>
      </c>
      <c r="F681" s="21"/>
      <c r="G681" s="27">
        <f>G682</f>
        <v>0</v>
      </c>
      <c r="H681" s="202"/>
    </row>
    <row r="682" spans="1:8" ht="47.25" hidden="1">
      <c r="A682" s="26" t="s">
        <v>313</v>
      </c>
      <c r="B682" s="17">
        <v>907</v>
      </c>
      <c r="C682" s="21" t="s">
        <v>305</v>
      </c>
      <c r="D682" s="21" t="s">
        <v>254</v>
      </c>
      <c r="E682" s="21" t="s">
        <v>528</v>
      </c>
      <c r="F682" s="21" t="s">
        <v>314</v>
      </c>
      <c r="G682" s="27">
        <f>G683</f>
        <v>0</v>
      </c>
      <c r="H682" s="202"/>
    </row>
    <row r="683" spans="1:8" ht="15.75" hidden="1">
      <c r="A683" s="26" t="s">
        <v>315</v>
      </c>
      <c r="B683" s="17">
        <v>907</v>
      </c>
      <c r="C683" s="21" t="s">
        <v>305</v>
      </c>
      <c r="D683" s="21" t="s">
        <v>254</v>
      </c>
      <c r="E683" s="21" t="s">
        <v>528</v>
      </c>
      <c r="F683" s="21" t="s">
        <v>316</v>
      </c>
      <c r="G683" s="27">
        <v>0</v>
      </c>
      <c r="H683" s="202"/>
    </row>
    <row r="684" spans="1:8" ht="31.5" hidden="1">
      <c r="A684" s="26" t="s">
        <v>321</v>
      </c>
      <c r="B684" s="17">
        <v>907</v>
      </c>
      <c r="C684" s="21" t="s">
        <v>305</v>
      </c>
      <c r="D684" s="21" t="s">
        <v>254</v>
      </c>
      <c r="E684" s="21" t="s">
        <v>529</v>
      </c>
      <c r="F684" s="21"/>
      <c r="G684" s="27">
        <f>G685</f>
        <v>0</v>
      </c>
      <c r="H684" s="202"/>
    </row>
    <row r="685" spans="1:8" ht="47.25" hidden="1">
      <c r="A685" s="26" t="s">
        <v>313</v>
      </c>
      <c r="B685" s="17">
        <v>907</v>
      </c>
      <c r="C685" s="21" t="s">
        <v>305</v>
      </c>
      <c r="D685" s="21" t="s">
        <v>254</v>
      </c>
      <c r="E685" s="21" t="s">
        <v>529</v>
      </c>
      <c r="F685" s="21" t="s">
        <v>314</v>
      </c>
      <c r="G685" s="27">
        <f>G686</f>
        <v>0</v>
      </c>
      <c r="H685" s="202"/>
    </row>
    <row r="686" spans="1:8" ht="15.75" hidden="1">
      <c r="A686" s="26" t="s">
        <v>315</v>
      </c>
      <c r="B686" s="17">
        <v>907</v>
      </c>
      <c r="C686" s="21" t="s">
        <v>305</v>
      </c>
      <c r="D686" s="21" t="s">
        <v>254</v>
      </c>
      <c r="E686" s="21" t="s">
        <v>529</v>
      </c>
      <c r="F686" s="21" t="s">
        <v>316</v>
      </c>
      <c r="G686" s="27">
        <v>0</v>
      </c>
      <c r="H686" s="202"/>
    </row>
    <row r="687" spans="1:8" ht="47.25">
      <c r="A687" s="26" t="s">
        <v>323</v>
      </c>
      <c r="B687" s="17">
        <v>907</v>
      </c>
      <c r="C687" s="21" t="s">
        <v>305</v>
      </c>
      <c r="D687" s="21" t="s">
        <v>256</v>
      </c>
      <c r="E687" s="21" t="s">
        <v>530</v>
      </c>
      <c r="F687" s="21"/>
      <c r="G687" s="27">
        <f>G688</f>
        <v>36</v>
      </c>
      <c r="H687" s="202"/>
    </row>
    <row r="688" spans="1:8" ht="47.25">
      <c r="A688" s="26" t="s">
        <v>313</v>
      </c>
      <c r="B688" s="17">
        <v>907</v>
      </c>
      <c r="C688" s="21" t="s">
        <v>305</v>
      </c>
      <c r="D688" s="21" t="s">
        <v>256</v>
      </c>
      <c r="E688" s="21" t="s">
        <v>530</v>
      </c>
      <c r="F688" s="21" t="s">
        <v>314</v>
      </c>
      <c r="G688" s="27">
        <f>G689</f>
        <v>36</v>
      </c>
      <c r="H688" s="202"/>
    </row>
    <row r="689" spans="1:8" ht="15.75">
      <c r="A689" s="26" t="s">
        <v>315</v>
      </c>
      <c r="B689" s="17">
        <v>907</v>
      </c>
      <c r="C689" s="21" t="s">
        <v>305</v>
      </c>
      <c r="D689" s="21" t="s">
        <v>256</v>
      </c>
      <c r="E689" s="21" t="s">
        <v>530</v>
      </c>
      <c r="F689" s="21" t="s">
        <v>316</v>
      </c>
      <c r="G689" s="27">
        <v>36</v>
      </c>
      <c r="H689" s="202"/>
    </row>
    <row r="690" spans="1:8" ht="31.5" hidden="1">
      <c r="A690" s="26" t="s">
        <v>325</v>
      </c>
      <c r="B690" s="17">
        <v>907</v>
      </c>
      <c r="C690" s="21" t="s">
        <v>305</v>
      </c>
      <c r="D690" s="21" t="s">
        <v>254</v>
      </c>
      <c r="E690" s="21" t="s">
        <v>531</v>
      </c>
      <c r="F690" s="21"/>
      <c r="G690" s="27">
        <f>G691</f>
        <v>0</v>
      </c>
      <c r="H690" s="202"/>
    </row>
    <row r="691" spans="1:8" ht="47.25" hidden="1">
      <c r="A691" s="26" t="s">
        <v>313</v>
      </c>
      <c r="B691" s="17">
        <v>907</v>
      </c>
      <c r="C691" s="21" t="s">
        <v>305</v>
      </c>
      <c r="D691" s="21" t="s">
        <v>254</v>
      </c>
      <c r="E691" s="21" t="s">
        <v>531</v>
      </c>
      <c r="F691" s="21" t="s">
        <v>314</v>
      </c>
      <c r="G691" s="27">
        <f>G692</f>
        <v>0</v>
      </c>
      <c r="H691" s="202"/>
    </row>
    <row r="692" spans="1:8" ht="15.75" hidden="1">
      <c r="A692" s="26" t="s">
        <v>315</v>
      </c>
      <c r="B692" s="17">
        <v>907</v>
      </c>
      <c r="C692" s="21" t="s">
        <v>305</v>
      </c>
      <c r="D692" s="21" t="s">
        <v>254</v>
      </c>
      <c r="E692" s="21" t="s">
        <v>531</v>
      </c>
      <c r="F692" s="21" t="s">
        <v>316</v>
      </c>
      <c r="G692" s="27">
        <v>0</v>
      </c>
      <c r="H692" s="202"/>
    </row>
    <row r="693" spans="1:8" ht="15.75">
      <c r="A693" s="26" t="s">
        <v>162</v>
      </c>
      <c r="B693" s="17">
        <v>907</v>
      </c>
      <c r="C693" s="21" t="s">
        <v>305</v>
      </c>
      <c r="D693" s="21" t="s">
        <v>256</v>
      </c>
      <c r="E693" s="21" t="s">
        <v>163</v>
      </c>
      <c r="F693" s="21"/>
      <c r="G693" s="27">
        <f>G694</f>
        <v>727.1</v>
      </c>
      <c r="H693" s="202"/>
    </row>
    <row r="694" spans="1:8" ht="31.5">
      <c r="A694" s="26" t="s">
        <v>226</v>
      </c>
      <c r="B694" s="17">
        <v>907</v>
      </c>
      <c r="C694" s="21" t="s">
        <v>305</v>
      </c>
      <c r="D694" s="21" t="s">
        <v>256</v>
      </c>
      <c r="E694" s="21" t="s">
        <v>227</v>
      </c>
      <c r="F694" s="21"/>
      <c r="G694" s="27">
        <f>G695+G698+G701</f>
        <v>727.1</v>
      </c>
      <c r="H694" s="202"/>
    </row>
    <row r="695" spans="1:8" ht="63">
      <c r="A695" s="33" t="s">
        <v>330</v>
      </c>
      <c r="B695" s="17">
        <v>907</v>
      </c>
      <c r="C695" s="21" t="s">
        <v>305</v>
      </c>
      <c r="D695" s="21" t="s">
        <v>256</v>
      </c>
      <c r="E695" s="21" t="s">
        <v>331</v>
      </c>
      <c r="F695" s="21"/>
      <c r="G695" s="27">
        <f>G696</f>
        <v>50</v>
      </c>
      <c r="H695" s="202"/>
    </row>
    <row r="696" spans="1:8" ht="47.25">
      <c r="A696" s="26" t="s">
        <v>313</v>
      </c>
      <c r="B696" s="17">
        <v>907</v>
      </c>
      <c r="C696" s="21" t="s">
        <v>305</v>
      </c>
      <c r="D696" s="21" t="s">
        <v>256</v>
      </c>
      <c r="E696" s="21" t="s">
        <v>331</v>
      </c>
      <c r="F696" s="21" t="s">
        <v>314</v>
      </c>
      <c r="G696" s="27">
        <f>G697</f>
        <v>50</v>
      </c>
      <c r="H696" s="202"/>
    </row>
    <row r="697" spans="1:8" ht="15.75">
      <c r="A697" s="26" t="s">
        <v>315</v>
      </c>
      <c r="B697" s="17">
        <v>907</v>
      </c>
      <c r="C697" s="21" t="s">
        <v>305</v>
      </c>
      <c r="D697" s="21" t="s">
        <v>256</v>
      </c>
      <c r="E697" s="21" t="s">
        <v>331</v>
      </c>
      <c r="F697" s="21" t="s">
        <v>316</v>
      </c>
      <c r="G697" s="27">
        <v>50</v>
      </c>
      <c r="H697" s="202"/>
    </row>
    <row r="698" spans="1:8" ht="78.75">
      <c r="A698" s="33" t="s">
        <v>332</v>
      </c>
      <c r="B698" s="17">
        <v>907</v>
      </c>
      <c r="C698" s="21" t="s">
        <v>305</v>
      </c>
      <c r="D698" s="21" t="s">
        <v>256</v>
      </c>
      <c r="E698" s="21" t="s">
        <v>333</v>
      </c>
      <c r="F698" s="21"/>
      <c r="G698" s="27">
        <f>G699</f>
        <v>197.3</v>
      </c>
      <c r="H698" s="202"/>
    </row>
    <row r="699" spans="1:8" ht="47.25">
      <c r="A699" s="26" t="s">
        <v>313</v>
      </c>
      <c r="B699" s="17">
        <v>907</v>
      </c>
      <c r="C699" s="21" t="s">
        <v>305</v>
      </c>
      <c r="D699" s="21" t="s">
        <v>256</v>
      </c>
      <c r="E699" s="21" t="s">
        <v>333</v>
      </c>
      <c r="F699" s="21" t="s">
        <v>314</v>
      </c>
      <c r="G699" s="27">
        <f>G700</f>
        <v>197.3</v>
      </c>
      <c r="H699" s="202"/>
    </row>
    <row r="700" spans="1:10" ht="15.75">
      <c r="A700" s="26" t="s">
        <v>315</v>
      </c>
      <c r="B700" s="17">
        <v>907</v>
      </c>
      <c r="C700" s="21" t="s">
        <v>305</v>
      </c>
      <c r="D700" s="21" t="s">
        <v>256</v>
      </c>
      <c r="E700" s="21" t="s">
        <v>333</v>
      </c>
      <c r="F700" s="21" t="s">
        <v>316</v>
      </c>
      <c r="G700" s="27">
        <f>200-2.7</f>
        <v>197.3</v>
      </c>
      <c r="H700" s="202"/>
      <c r="I700" s="136"/>
      <c r="J700" s="137"/>
    </row>
    <row r="701" spans="1:8" ht="110.25">
      <c r="A701" s="33" t="s">
        <v>506</v>
      </c>
      <c r="B701" s="17">
        <v>907</v>
      </c>
      <c r="C701" s="21" t="s">
        <v>305</v>
      </c>
      <c r="D701" s="21" t="s">
        <v>256</v>
      </c>
      <c r="E701" s="21" t="s">
        <v>335</v>
      </c>
      <c r="F701" s="21"/>
      <c r="G701" s="27">
        <f>G702</f>
        <v>479.8</v>
      </c>
      <c r="H701" s="202"/>
    </row>
    <row r="702" spans="1:8" ht="47.25">
      <c r="A702" s="26" t="s">
        <v>313</v>
      </c>
      <c r="B702" s="17">
        <v>907</v>
      </c>
      <c r="C702" s="21" t="s">
        <v>305</v>
      </c>
      <c r="D702" s="21" t="s">
        <v>256</v>
      </c>
      <c r="E702" s="21" t="s">
        <v>335</v>
      </c>
      <c r="F702" s="21" t="s">
        <v>314</v>
      </c>
      <c r="G702" s="27">
        <f>G703</f>
        <v>479.8</v>
      </c>
      <c r="H702" s="202"/>
    </row>
    <row r="703" spans="1:9" ht="15.75">
      <c r="A703" s="26" t="s">
        <v>315</v>
      </c>
      <c r="B703" s="17">
        <v>907</v>
      </c>
      <c r="C703" s="21" t="s">
        <v>305</v>
      </c>
      <c r="D703" s="21" t="s">
        <v>256</v>
      </c>
      <c r="E703" s="21" t="s">
        <v>335</v>
      </c>
      <c r="F703" s="21" t="s">
        <v>316</v>
      </c>
      <c r="G703" s="27">
        <f>500-20.2</f>
        <v>479.8</v>
      </c>
      <c r="H703" s="202"/>
      <c r="I703" s="136"/>
    </row>
    <row r="704" spans="1:8" ht="15.75">
      <c r="A704" s="24" t="s">
        <v>532</v>
      </c>
      <c r="B704" s="20">
        <v>907</v>
      </c>
      <c r="C704" s="25" t="s">
        <v>533</v>
      </c>
      <c r="D704" s="21"/>
      <c r="E704" s="21"/>
      <c r="F704" s="21"/>
      <c r="G704" s="22">
        <f>G705+G725</f>
        <v>34702.7</v>
      </c>
      <c r="H704" s="202"/>
    </row>
    <row r="705" spans="1:8" ht="15.75">
      <c r="A705" s="24" t="s">
        <v>534</v>
      </c>
      <c r="B705" s="20">
        <v>907</v>
      </c>
      <c r="C705" s="25" t="s">
        <v>533</v>
      </c>
      <c r="D705" s="25" t="s">
        <v>159</v>
      </c>
      <c r="E705" s="21"/>
      <c r="F705" s="21"/>
      <c r="G705" s="22">
        <f>G706+G721</f>
        <v>23173.9</v>
      </c>
      <c r="H705" s="202"/>
    </row>
    <row r="706" spans="1:8" ht="47.25">
      <c r="A706" s="26" t="s">
        <v>523</v>
      </c>
      <c r="B706" s="17">
        <v>907</v>
      </c>
      <c r="C706" s="21" t="s">
        <v>533</v>
      </c>
      <c r="D706" s="21" t="s">
        <v>159</v>
      </c>
      <c r="E706" s="21" t="s">
        <v>524</v>
      </c>
      <c r="F706" s="21"/>
      <c r="G706" s="27">
        <f>G707</f>
        <v>22673.9</v>
      </c>
      <c r="H706" s="202"/>
    </row>
    <row r="707" spans="1:8" ht="47.25">
      <c r="A707" s="26" t="s">
        <v>535</v>
      </c>
      <c r="B707" s="17">
        <v>907</v>
      </c>
      <c r="C707" s="21" t="s">
        <v>533</v>
      </c>
      <c r="D707" s="21" t="s">
        <v>159</v>
      </c>
      <c r="E707" s="21" t="s">
        <v>536</v>
      </c>
      <c r="F707" s="21"/>
      <c r="G707" s="27">
        <f>G708+G711+G714+G717</f>
        <v>22673.9</v>
      </c>
      <c r="H707" s="202"/>
    </row>
    <row r="708" spans="1:8" ht="47.25">
      <c r="A708" s="26" t="s">
        <v>537</v>
      </c>
      <c r="B708" s="17">
        <v>907</v>
      </c>
      <c r="C708" s="21" t="s">
        <v>533</v>
      </c>
      <c r="D708" s="21" t="s">
        <v>159</v>
      </c>
      <c r="E708" s="21" t="s">
        <v>538</v>
      </c>
      <c r="F708" s="21"/>
      <c r="G708" s="27">
        <f>G709</f>
        <v>22376.4</v>
      </c>
      <c r="H708" s="202"/>
    </row>
    <row r="709" spans="1:8" ht="47.25">
      <c r="A709" s="26" t="s">
        <v>313</v>
      </c>
      <c r="B709" s="17">
        <v>907</v>
      </c>
      <c r="C709" s="21" t="s">
        <v>533</v>
      </c>
      <c r="D709" s="21" t="s">
        <v>159</v>
      </c>
      <c r="E709" s="21" t="s">
        <v>538</v>
      </c>
      <c r="F709" s="21" t="s">
        <v>314</v>
      </c>
      <c r="G709" s="27">
        <f>G710</f>
        <v>22376.4</v>
      </c>
      <c r="H709" s="202"/>
    </row>
    <row r="710" spans="1:9" ht="15.75">
      <c r="A710" s="26" t="s">
        <v>315</v>
      </c>
      <c r="B710" s="17">
        <v>907</v>
      </c>
      <c r="C710" s="21" t="s">
        <v>533</v>
      </c>
      <c r="D710" s="21" t="s">
        <v>159</v>
      </c>
      <c r="E710" s="21" t="s">
        <v>538</v>
      </c>
      <c r="F710" s="21" t="s">
        <v>316</v>
      </c>
      <c r="G710" s="188">
        <f>10890+1490.1+9887.3-199+308</f>
        <v>22376.4</v>
      </c>
      <c r="H710" s="127" t="s">
        <v>808</v>
      </c>
      <c r="I710" s="148"/>
    </row>
    <row r="711" spans="1:8" ht="47.25">
      <c r="A711" s="26" t="s">
        <v>319</v>
      </c>
      <c r="B711" s="17">
        <v>907</v>
      </c>
      <c r="C711" s="21" t="s">
        <v>533</v>
      </c>
      <c r="D711" s="21" t="s">
        <v>159</v>
      </c>
      <c r="E711" s="21" t="s">
        <v>539</v>
      </c>
      <c r="F711" s="21"/>
      <c r="G711" s="27">
        <f>G712</f>
        <v>297.5</v>
      </c>
      <c r="H711" s="202"/>
    </row>
    <row r="712" spans="1:8" ht="47.25">
      <c r="A712" s="26" t="s">
        <v>313</v>
      </c>
      <c r="B712" s="17">
        <v>907</v>
      </c>
      <c r="C712" s="21" t="s">
        <v>533</v>
      </c>
      <c r="D712" s="21" t="s">
        <v>159</v>
      </c>
      <c r="E712" s="21" t="s">
        <v>539</v>
      </c>
      <c r="F712" s="21" t="s">
        <v>314</v>
      </c>
      <c r="G712" s="27">
        <f>G713</f>
        <v>297.5</v>
      </c>
      <c r="H712" s="202"/>
    </row>
    <row r="713" spans="1:8" ht="15.75">
      <c r="A713" s="26" t="s">
        <v>315</v>
      </c>
      <c r="B713" s="17">
        <v>907</v>
      </c>
      <c r="C713" s="21" t="s">
        <v>533</v>
      </c>
      <c r="D713" s="21" t="s">
        <v>159</v>
      </c>
      <c r="E713" s="21" t="s">
        <v>539</v>
      </c>
      <c r="F713" s="21" t="s">
        <v>316</v>
      </c>
      <c r="G713" s="183">
        <f>797.5-500</f>
        <v>297.5</v>
      </c>
      <c r="H713" s="182" t="s">
        <v>806</v>
      </c>
    </row>
    <row r="714" spans="1:8" ht="31.5" hidden="1">
      <c r="A714" s="26" t="s">
        <v>321</v>
      </c>
      <c r="B714" s="17">
        <v>907</v>
      </c>
      <c r="C714" s="21" t="s">
        <v>533</v>
      </c>
      <c r="D714" s="21" t="s">
        <v>159</v>
      </c>
      <c r="E714" s="21" t="s">
        <v>540</v>
      </c>
      <c r="F714" s="21"/>
      <c r="G714" s="27">
        <f>G715</f>
        <v>0</v>
      </c>
      <c r="H714" s="202"/>
    </row>
    <row r="715" spans="1:8" ht="47.25" hidden="1">
      <c r="A715" s="26" t="s">
        <v>313</v>
      </c>
      <c r="B715" s="17">
        <v>907</v>
      </c>
      <c r="C715" s="21" t="s">
        <v>533</v>
      </c>
      <c r="D715" s="21" t="s">
        <v>159</v>
      </c>
      <c r="E715" s="21" t="s">
        <v>540</v>
      </c>
      <c r="F715" s="21" t="s">
        <v>314</v>
      </c>
      <c r="G715" s="27">
        <f>G716</f>
        <v>0</v>
      </c>
      <c r="H715" s="202"/>
    </row>
    <row r="716" spans="1:8" ht="15.75" hidden="1">
      <c r="A716" s="26" t="s">
        <v>315</v>
      </c>
      <c r="B716" s="17">
        <v>907</v>
      </c>
      <c r="C716" s="21" t="s">
        <v>533</v>
      </c>
      <c r="D716" s="21" t="s">
        <v>159</v>
      </c>
      <c r="E716" s="21" t="s">
        <v>540</v>
      </c>
      <c r="F716" s="21" t="s">
        <v>316</v>
      </c>
      <c r="G716" s="27">
        <v>0</v>
      </c>
      <c r="H716" s="202"/>
    </row>
    <row r="717" spans="1:8" ht="31.5" hidden="1">
      <c r="A717" s="26" t="s">
        <v>325</v>
      </c>
      <c r="B717" s="17">
        <v>907</v>
      </c>
      <c r="C717" s="21" t="s">
        <v>533</v>
      </c>
      <c r="D717" s="21" t="s">
        <v>159</v>
      </c>
      <c r="E717" s="21" t="s">
        <v>541</v>
      </c>
      <c r="F717" s="21"/>
      <c r="G717" s="27">
        <f>G718</f>
        <v>0</v>
      </c>
      <c r="H717" s="202"/>
    </row>
    <row r="718" spans="1:8" ht="47.25" hidden="1">
      <c r="A718" s="26" t="s">
        <v>313</v>
      </c>
      <c r="B718" s="17">
        <v>907</v>
      </c>
      <c r="C718" s="21" t="s">
        <v>533</v>
      </c>
      <c r="D718" s="21" t="s">
        <v>159</v>
      </c>
      <c r="E718" s="21" t="s">
        <v>541</v>
      </c>
      <c r="F718" s="21" t="s">
        <v>314</v>
      </c>
      <c r="G718" s="27">
        <f>G719</f>
        <v>0</v>
      </c>
      <c r="H718" s="202"/>
    </row>
    <row r="719" spans="1:8" ht="15.75" hidden="1">
      <c r="A719" s="26" t="s">
        <v>315</v>
      </c>
      <c r="B719" s="17">
        <v>907</v>
      </c>
      <c r="C719" s="21" t="s">
        <v>533</v>
      </c>
      <c r="D719" s="21" t="s">
        <v>159</v>
      </c>
      <c r="E719" s="21" t="s">
        <v>541</v>
      </c>
      <c r="F719" s="21" t="s">
        <v>316</v>
      </c>
      <c r="G719" s="27">
        <v>0</v>
      </c>
      <c r="H719" s="202"/>
    </row>
    <row r="720" spans="1:8" ht="15.75">
      <c r="A720" s="26" t="s">
        <v>162</v>
      </c>
      <c r="B720" s="17">
        <v>907</v>
      </c>
      <c r="C720" s="21" t="s">
        <v>533</v>
      </c>
      <c r="D720" s="21" t="s">
        <v>159</v>
      </c>
      <c r="E720" s="21" t="s">
        <v>163</v>
      </c>
      <c r="F720" s="21"/>
      <c r="G720" s="27">
        <f>G721</f>
        <v>500</v>
      </c>
      <c r="H720" s="202"/>
    </row>
    <row r="721" spans="1:8" ht="31.5">
      <c r="A721" s="26" t="s">
        <v>226</v>
      </c>
      <c r="B721" s="17">
        <v>907</v>
      </c>
      <c r="C721" s="21" t="s">
        <v>533</v>
      </c>
      <c r="D721" s="21" t="s">
        <v>159</v>
      </c>
      <c r="E721" s="21" t="s">
        <v>227</v>
      </c>
      <c r="F721" s="21"/>
      <c r="G721" s="27">
        <f>G722</f>
        <v>500</v>
      </c>
      <c r="H721" s="202"/>
    </row>
    <row r="722" spans="1:8" ht="31.5">
      <c r="A722" s="26" t="s">
        <v>805</v>
      </c>
      <c r="B722" s="17">
        <v>907</v>
      </c>
      <c r="C722" s="21" t="s">
        <v>533</v>
      </c>
      <c r="D722" s="21" t="s">
        <v>159</v>
      </c>
      <c r="E722" s="21" t="s">
        <v>803</v>
      </c>
      <c r="F722" s="21"/>
      <c r="G722" s="27">
        <f>G724</f>
        <v>500</v>
      </c>
      <c r="H722" s="202"/>
    </row>
    <row r="723" spans="1:8" ht="47.25">
      <c r="A723" s="26" t="s">
        <v>313</v>
      </c>
      <c r="B723" s="17">
        <v>907</v>
      </c>
      <c r="C723" s="21" t="s">
        <v>533</v>
      </c>
      <c r="D723" s="21" t="s">
        <v>159</v>
      </c>
      <c r="E723" s="21" t="s">
        <v>803</v>
      </c>
      <c r="F723" s="21" t="s">
        <v>314</v>
      </c>
      <c r="G723" s="27">
        <f>G724</f>
        <v>500</v>
      </c>
      <c r="H723" s="202"/>
    </row>
    <row r="724" spans="1:8" ht="15.75">
      <c r="A724" s="26" t="s">
        <v>315</v>
      </c>
      <c r="B724" s="17">
        <v>907</v>
      </c>
      <c r="C724" s="21" t="s">
        <v>533</v>
      </c>
      <c r="D724" s="21" t="s">
        <v>159</v>
      </c>
      <c r="E724" s="21" t="s">
        <v>803</v>
      </c>
      <c r="F724" s="21" t="s">
        <v>316</v>
      </c>
      <c r="G724" s="183">
        <v>500</v>
      </c>
      <c r="H724" s="182" t="s">
        <v>807</v>
      </c>
    </row>
    <row r="725" spans="1:8" ht="31.5">
      <c r="A725" s="24" t="s">
        <v>542</v>
      </c>
      <c r="B725" s="20">
        <v>907</v>
      </c>
      <c r="C725" s="25" t="s">
        <v>533</v>
      </c>
      <c r="D725" s="25" t="s">
        <v>275</v>
      </c>
      <c r="E725" s="25"/>
      <c r="F725" s="25"/>
      <c r="G725" s="22">
        <f>G733+G726</f>
        <v>11528.8</v>
      </c>
      <c r="H725" s="202"/>
    </row>
    <row r="726" spans="1:8" ht="47.25">
      <c r="A726" s="31" t="s">
        <v>523</v>
      </c>
      <c r="B726" s="17">
        <v>907</v>
      </c>
      <c r="C726" s="21" t="s">
        <v>533</v>
      </c>
      <c r="D726" s="21" t="s">
        <v>275</v>
      </c>
      <c r="E726" s="42" t="s">
        <v>524</v>
      </c>
      <c r="F726" s="21"/>
      <c r="G726" s="27">
        <f>G727</f>
        <v>3047</v>
      </c>
      <c r="H726" s="202"/>
    </row>
    <row r="727" spans="1:8" ht="47.25">
      <c r="A727" s="47" t="s">
        <v>543</v>
      </c>
      <c r="B727" s="17">
        <v>907</v>
      </c>
      <c r="C727" s="21" t="s">
        <v>533</v>
      </c>
      <c r="D727" s="21" t="s">
        <v>275</v>
      </c>
      <c r="E727" s="42" t="s">
        <v>544</v>
      </c>
      <c r="F727" s="21"/>
      <c r="G727" s="27">
        <f>G728</f>
        <v>3047</v>
      </c>
      <c r="H727" s="202"/>
    </row>
    <row r="728" spans="1:8" ht="31.5">
      <c r="A728" s="31" t="s">
        <v>198</v>
      </c>
      <c r="B728" s="17">
        <v>907</v>
      </c>
      <c r="C728" s="21" t="s">
        <v>533</v>
      </c>
      <c r="D728" s="21" t="s">
        <v>275</v>
      </c>
      <c r="E728" s="42" t="s">
        <v>545</v>
      </c>
      <c r="F728" s="21"/>
      <c r="G728" s="27">
        <f>G731+G729</f>
        <v>3047</v>
      </c>
      <c r="H728" s="202"/>
    </row>
    <row r="729" spans="1:8" ht="94.5">
      <c r="A729" s="26" t="s">
        <v>168</v>
      </c>
      <c r="B729" s="17">
        <v>907</v>
      </c>
      <c r="C729" s="21" t="s">
        <v>533</v>
      </c>
      <c r="D729" s="21" t="s">
        <v>275</v>
      </c>
      <c r="E729" s="42" t="s">
        <v>545</v>
      </c>
      <c r="F729" s="21" t="s">
        <v>169</v>
      </c>
      <c r="G729" s="27">
        <f>G730</f>
        <v>2111</v>
      </c>
      <c r="H729" s="202"/>
    </row>
    <row r="730" spans="1:9" ht="31.5">
      <c r="A730" s="26" t="s">
        <v>170</v>
      </c>
      <c r="B730" s="17">
        <v>907</v>
      </c>
      <c r="C730" s="21" t="s">
        <v>533</v>
      </c>
      <c r="D730" s="21" t="s">
        <v>275</v>
      </c>
      <c r="E730" s="42" t="s">
        <v>545</v>
      </c>
      <c r="F730" s="21" t="s">
        <v>171</v>
      </c>
      <c r="G730" s="27">
        <v>2111</v>
      </c>
      <c r="H730" s="202"/>
      <c r="I730" s="136"/>
    </row>
    <row r="731" spans="1:8" ht="31.5">
      <c r="A731" s="31" t="s">
        <v>172</v>
      </c>
      <c r="B731" s="17">
        <v>907</v>
      </c>
      <c r="C731" s="21" t="s">
        <v>533</v>
      </c>
      <c r="D731" s="21" t="s">
        <v>275</v>
      </c>
      <c r="E731" s="42" t="s">
        <v>545</v>
      </c>
      <c r="F731" s="21" t="s">
        <v>173</v>
      </c>
      <c r="G731" s="27">
        <f>G732</f>
        <v>936</v>
      </c>
      <c r="H731" s="202"/>
    </row>
    <row r="732" spans="1:9" ht="47.25">
      <c r="A732" s="31" t="s">
        <v>174</v>
      </c>
      <c r="B732" s="17">
        <v>907</v>
      </c>
      <c r="C732" s="21" t="s">
        <v>533</v>
      </c>
      <c r="D732" s="21" t="s">
        <v>275</v>
      </c>
      <c r="E732" s="42" t="s">
        <v>545</v>
      </c>
      <c r="F732" s="21" t="s">
        <v>175</v>
      </c>
      <c r="G732" s="27">
        <f>3047-2111</f>
        <v>936</v>
      </c>
      <c r="H732" s="202"/>
      <c r="I732" s="136"/>
    </row>
    <row r="733" spans="1:8" ht="15.75">
      <c r="A733" s="26" t="s">
        <v>162</v>
      </c>
      <c r="B733" s="17">
        <v>907</v>
      </c>
      <c r="C733" s="21" t="s">
        <v>533</v>
      </c>
      <c r="D733" s="21" t="s">
        <v>275</v>
      </c>
      <c r="E733" s="21" t="s">
        <v>163</v>
      </c>
      <c r="F733" s="21"/>
      <c r="G733" s="27">
        <f>G734+G740</f>
        <v>8481.8</v>
      </c>
      <c r="H733" s="202"/>
    </row>
    <row r="734" spans="1:8" ht="31.5">
      <c r="A734" s="26" t="s">
        <v>164</v>
      </c>
      <c r="B734" s="17">
        <v>907</v>
      </c>
      <c r="C734" s="21" t="s">
        <v>533</v>
      </c>
      <c r="D734" s="21" t="s">
        <v>275</v>
      </c>
      <c r="E734" s="21" t="s">
        <v>165</v>
      </c>
      <c r="F734" s="21"/>
      <c r="G734" s="27">
        <f>G735</f>
        <v>3599.8</v>
      </c>
      <c r="H734" s="202"/>
    </row>
    <row r="735" spans="1:8" ht="47.25">
      <c r="A735" s="26" t="s">
        <v>166</v>
      </c>
      <c r="B735" s="17">
        <v>907</v>
      </c>
      <c r="C735" s="21" t="s">
        <v>533</v>
      </c>
      <c r="D735" s="21" t="s">
        <v>275</v>
      </c>
      <c r="E735" s="21" t="s">
        <v>167</v>
      </c>
      <c r="F735" s="21"/>
      <c r="G735" s="27">
        <f>G736+G738</f>
        <v>3599.8</v>
      </c>
      <c r="H735" s="202"/>
    </row>
    <row r="736" spans="1:8" ht="94.5">
      <c r="A736" s="26" t="s">
        <v>168</v>
      </c>
      <c r="B736" s="17">
        <v>907</v>
      </c>
      <c r="C736" s="21" t="s">
        <v>533</v>
      </c>
      <c r="D736" s="21" t="s">
        <v>275</v>
      </c>
      <c r="E736" s="21" t="s">
        <v>167</v>
      </c>
      <c r="F736" s="21" t="s">
        <v>169</v>
      </c>
      <c r="G736" s="27">
        <f>G737</f>
        <v>3599.8</v>
      </c>
      <c r="H736" s="202"/>
    </row>
    <row r="737" spans="1:8" ht="31.5">
      <c r="A737" s="26" t="s">
        <v>170</v>
      </c>
      <c r="B737" s="17">
        <v>907</v>
      </c>
      <c r="C737" s="21" t="s">
        <v>533</v>
      </c>
      <c r="D737" s="21" t="s">
        <v>275</v>
      </c>
      <c r="E737" s="21" t="s">
        <v>167</v>
      </c>
      <c r="F737" s="21" t="s">
        <v>171</v>
      </c>
      <c r="G737" s="28">
        <v>3599.8</v>
      </c>
      <c r="H737" s="202"/>
    </row>
    <row r="738" spans="1:8" ht="31.5" hidden="1">
      <c r="A738" s="26" t="s">
        <v>172</v>
      </c>
      <c r="B738" s="17">
        <v>907</v>
      </c>
      <c r="C738" s="21" t="s">
        <v>533</v>
      </c>
      <c r="D738" s="21" t="s">
        <v>275</v>
      </c>
      <c r="E738" s="21" t="s">
        <v>167</v>
      </c>
      <c r="F738" s="21" t="s">
        <v>173</v>
      </c>
      <c r="G738" s="27">
        <f>G739</f>
        <v>0</v>
      </c>
      <c r="H738" s="202"/>
    </row>
    <row r="739" spans="1:8" ht="47.25" hidden="1">
      <c r="A739" s="26" t="s">
        <v>174</v>
      </c>
      <c r="B739" s="17">
        <v>907</v>
      </c>
      <c r="C739" s="21" t="s">
        <v>533</v>
      </c>
      <c r="D739" s="21" t="s">
        <v>275</v>
      </c>
      <c r="E739" s="21" t="s">
        <v>167</v>
      </c>
      <c r="F739" s="21" t="s">
        <v>175</v>
      </c>
      <c r="G739" s="27"/>
      <c r="H739" s="202"/>
    </row>
    <row r="740" spans="1:8" ht="15.75">
      <c r="A740" s="26" t="s">
        <v>182</v>
      </c>
      <c r="B740" s="17">
        <v>907</v>
      </c>
      <c r="C740" s="21" t="s">
        <v>533</v>
      </c>
      <c r="D740" s="21" t="s">
        <v>275</v>
      </c>
      <c r="E740" s="21" t="s">
        <v>183</v>
      </c>
      <c r="F740" s="21"/>
      <c r="G740" s="27">
        <f>G741</f>
        <v>4882</v>
      </c>
      <c r="H740" s="202"/>
    </row>
    <row r="741" spans="1:11" ht="31.5">
      <c r="A741" s="26" t="s">
        <v>381</v>
      </c>
      <c r="B741" s="17">
        <v>907</v>
      </c>
      <c r="C741" s="21" t="s">
        <v>533</v>
      </c>
      <c r="D741" s="21" t="s">
        <v>275</v>
      </c>
      <c r="E741" s="21" t="s">
        <v>382</v>
      </c>
      <c r="F741" s="21"/>
      <c r="G741" s="27">
        <f>G742+G744+G746</f>
        <v>4882</v>
      </c>
      <c r="H741" s="202"/>
      <c r="J741" s="419"/>
      <c r="K741" s="419"/>
    </row>
    <row r="742" spans="1:11" ht="94.5">
      <c r="A742" s="26" t="s">
        <v>168</v>
      </c>
      <c r="B742" s="17">
        <v>907</v>
      </c>
      <c r="C742" s="21" t="s">
        <v>533</v>
      </c>
      <c r="D742" s="21" t="s">
        <v>275</v>
      </c>
      <c r="E742" s="21" t="s">
        <v>382</v>
      </c>
      <c r="F742" s="21" t="s">
        <v>169</v>
      </c>
      <c r="G742" s="27">
        <f>G743</f>
        <v>3660.7</v>
      </c>
      <c r="H742" s="202"/>
      <c r="J742" s="419"/>
      <c r="K742" s="419"/>
    </row>
    <row r="743" spans="1:11" ht="31.5">
      <c r="A743" s="26" t="s">
        <v>383</v>
      </c>
      <c r="B743" s="17">
        <v>907</v>
      </c>
      <c r="C743" s="21" t="s">
        <v>533</v>
      </c>
      <c r="D743" s="21" t="s">
        <v>275</v>
      </c>
      <c r="E743" s="21" t="s">
        <v>382</v>
      </c>
      <c r="F743" s="21" t="s">
        <v>250</v>
      </c>
      <c r="G743" s="28">
        <f>4240.2-579.5</f>
        <v>3660.7</v>
      </c>
      <c r="H743" s="127"/>
      <c r="I743" s="147"/>
      <c r="J743" s="419"/>
      <c r="K743" s="419"/>
    </row>
    <row r="744" spans="1:11" ht="31.5">
      <c r="A744" s="26" t="s">
        <v>172</v>
      </c>
      <c r="B744" s="17">
        <v>907</v>
      </c>
      <c r="C744" s="21" t="s">
        <v>533</v>
      </c>
      <c r="D744" s="21" t="s">
        <v>275</v>
      </c>
      <c r="E744" s="21" t="s">
        <v>382</v>
      </c>
      <c r="F744" s="21" t="s">
        <v>173</v>
      </c>
      <c r="G744" s="27">
        <f>G745</f>
        <v>1194.1999999999998</v>
      </c>
      <c r="H744" s="202"/>
      <c r="J744" s="419"/>
      <c r="K744" s="419"/>
    </row>
    <row r="745" spans="1:11" ht="47.25">
      <c r="A745" s="26" t="s">
        <v>174</v>
      </c>
      <c r="B745" s="17">
        <v>907</v>
      </c>
      <c r="C745" s="21" t="s">
        <v>533</v>
      </c>
      <c r="D745" s="21" t="s">
        <v>275</v>
      </c>
      <c r="E745" s="21" t="s">
        <v>382</v>
      </c>
      <c r="F745" s="21" t="s">
        <v>175</v>
      </c>
      <c r="G745" s="28">
        <f>1339.6-145.4</f>
        <v>1194.1999999999998</v>
      </c>
      <c r="H745" s="127"/>
      <c r="I745" s="147"/>
      <c r="J745" s="419"/>
      <c r="K745" s="419"/>
    </row>
    <row r="746" spans="1:11" ht="15.75">
      <c r="A746" s="26" t="s">
        <v>176</v>
      </c>
      <c r="B746" s="17">
        <v>907</v>
      </c>
      <c r="C746" s="21" t="s">
        <v>533</v>
      </c>
      <c r="D746" s="21" t="s">
        <v>275</v>
      </c>
      <c r="E746" s="21" t="s">
        <v>382</v>
      </c>
      <c r="F746" s="21" t="s">
        <v>186</v>
      </c>
      <c r="G746" s="27">
        <f>G747</f>
        <v>27.1</v>
      </c>
      <c r="H746" s="202"/>
      <c r="J746" s="419"/>
      <c r="K746" s="419"/>
    </row>
    <row r="747" spans="1:11" ht="15.75">
      <c r="A747" s="26" t="s">
        <v>610</v>
      </c>
      <c r="B747" s="17">
        <v>907</v>
      </c>
      <c r="C747" s="21" t="s">
        <v>533</v>
      </c>
      <c r="D747" s="21" t="s">
        <v>275</v>
      </c>
      <c r="E747" s="21" t="s">
        <v>382</v>
      </c>
      <c r="F747" s="21" t="s">
        <v>179</v>
      </c>
      <c r="G747" s="27">
        <f>27.1</f>
        <v>27.1</v>
      </c>
      <c r="H747" s="127"/>
      <c r="I747" s="147"/>
      <c r="J747" s="419"/>
      <c r="K747" s="419"/>
    </row>
    <row r="748" spans="1:12" ht="47.25">
      <c r="A748" s="20" t="s">
        <v>546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2"/>
      <c r="L748" s="137"/>
    </row>
    <row r="749" spans="1:12" ht="15.75">
      <c r="A749" s="36" t="s">
        <v>158</v>
      </c>
      <c r="B749" s="20">
        <v>908</v>
      </c>
      <c r="C749" s="25" t="s">
        <v>159</v>
      </c>
      <c r="D749" s="21"/>
      <c r="E749" s="21"/>
      <c r="F749" s="21"/>
      <c r="G749" s="22">
        <f>G750</f>
        <v>16714.8</v>
      </c>
      <c r="H749" s="202"/>
      <c r="L749" s="137"/>
    </row>
    <row r="750" spans="1:12" ht="15.75">
      <c r="A750" s="36" t="s">
        <v>180</v>
      </c>
      <c r="B750" s="20">
        <v>908</v>
      </c>
      <c r="C750" s="25" t="s">
        <v>159</v>
      </c>
      <c r="D750" s="25" t="s">
        <v>181</v>
      </c>
      <c r="E750" s="21"/>
      <c r="F750" s="21"/>
      <c r="G750" s="22">
        <f>G752+G755</f>
        <v>16714.8</v>
      </c>
      <c r="H750" s="202"/>
      <c r="L750" s="137"/>
    </row>
    <row r="751" spans="1:12" ht="15.75">
      <c r="A751" s="26" t="s">
        <v>182</v>
      </c>
      <c r="B751" s="17">
        <v>908</v>
      </c>
      <c r="C751" s="21" t="s">
        <v>159</v>
      </c>
      <c r="D751" s="21" t="s">
        <v>181</v>
      </c>
      <c r="E751" s="21" t="s">
        <v>183</v>
      </c>
      <c r="F751" s="21"/>
      <c r="G751" s="27">
        <f>G752</f>
        <v>262.5</v>
      </c>
      <c r="H751" s="202"/>
      <c r="L751" s="137"/>
    </row>
    <row r="752" spans="1:12" ht="15.75">
      <c r="A752" s="26" t="s">
        <v>184</v>
      </c>
      <c r="B752" s="17">
        <v>908</v>
      </c>
      <c r="C752" s="21" t="s">
        <v>159</v>
      </c>
      <c r="D752" s="21" t="s">
        <v>181</v>
      </c>
      <c r="E752" s="21" t="s">
        <v>185</v>
      </c>
      <c r="F752" s="21"/>
      <c r="G752" s="27">
        <f>G753</f>
        <v>262.5</v>
      </c>
      <c r="H752" s="202"/>
      <c r="L752" s="137"/>
    </row>
    <row r="753" spans="1:12" ht="15.75">
      <c r="A753" s="26" t="s">
        <v>176</v>
      </c>
      <c r="B753" s="17">
        <v>908</v>
      </c>
      <c r="C753" s="21" t="s">
        <v>159</v>
      </c>
      <c r="D753" s="21" t="s">
        <v>181</v>
      </c>
      <c r="E753" s="21" t="s">
        <v>185</v>
      </c>
      <c r="F753" s="21" t="s">
        <v>186</v>
      </c>
      <c r="G753" s="27">
        <f>G754</f>
        <v>262.5</v>
      </c>
      <c r="H753" s="202"/>
      <c r="L753" s="137"/>
    </row>
    <row r="754" spans="1:12" ht="15.75">
      <c r="A754" s="26" t="s">
        <v>610</v>
      </c>
      <c r="B754" s="17">
        <v>908</v>
      </c>
      <c r="C754" s="21" t="s">
        <v>159</v>
      </c>
      <c r="D754" s="21" t="s">
        <v>181</v>
      </c>
      <c r="E754" s="21" t="s">
        <v>185</v>
      </c>
      <c r="F754" s="21" t="s">
        <v>179</v>
      </c>
      <c r="G754" s="27">
        <v>262.5</v>
      </c>
      <c r="H754" s="127"/>
      <c r="I754" s="147"/>
      <c r="L754" s="137"/>
    </row>
    <row r="755" spans="1:8" ht="31.5">
      <c r="A755" s="26" t="s">
        <v>626</v>
      </c>
      <c r="B755" s="17">
        <v>908</v>
      </c>
      <c r="C755" s="21" t="s">
        <v>159</v>
      </c>
      <c r="D755" s="21" t="s">
        <v>181</v>
      </c>
      <c r="E755" s="21" t="s">
        <v>627</v>
      </c>
      <c r="F755" s="21"/>
      <c r="G755" s="28">
        <f>G756</f>
        <v>16452.3</v>
      </c>
      <c r="H755" s="202"/>
    </row>
    <row r="756" spans="1:8" ht="31.5">
      <c r="A756" s="26" t="s">
        <v>351</v>
      </c>
      <c r="B756" s="17">
        <v>908</v>
      </c>
      <c r="C756" s="21" t="s">
        <v>159</v>
      </c>
      <c r="D756" s="21" t="s">
        <v>181</v>
      </c>
      <c r="E756" s="21" t="s">
        <v>628</v>
      </c>
      <c r="F756" s="21"/>
      <c r="G756" s="28">
        <f>G757+G759+G761</f>
        <v>16452.3</v>
      </c>
      <c r="H756" s="202"/>
    </row>
    <row r="757" spans="1:8" ht="94.5">
      <c r="A757" s="26" t="s">
        <v>168</v>
      </c>
      <c r="B757" s="17">
        <v>908</v>
      </c>
      <c r="C757" s="21" t="s">
        <v>159</v>
      </c>
      <c r="D757" s="21" t="s">
        <v>181</v>
      </c>
      <c r="E757" s="21" t="s">
        <v>628</v>
      </c>
      <c r="F757" s="21" t="s">
        <v>169</v>
      </c>
      <c r="G757" s="28">
        <f>G758</f>
        <v>13760</v>
      </c>
      <c r="H757" s="202"/>
    </row>
    <row r="758" spans="1:12" ht="31.5">
      <c r="A758" s="48" t="s">
        <v>383</v>
      </c>
      <c r="B758" s="17">
        <v>908</v>
      </c>
      <c r="C758" s="21" t="s">
        <v>159</v>
      </c>
      <c r="D758" s="21" t="s">
        <v>181</v>
      </c>
      <c r="E758" s="21" t="s">
        <v>628</v>
      </c>
      <c r="F758" s="21" t="s">
        <v>250</v>
      </c>
      <c r="G758" s="191">
        <f>13403.8+356.2</f>
        <v>13760</v>
      </c>
      <c r="H758" s="127" t="s">
        <v>817</v>
      </c>
      <c r="I758" s="147"/>
      <c r="L758" s="137"/>
    </row>
    <row r="759" spans="1:12" ht="31.5">
      <c r="A759" s="26" t="s">
        <v>172</v>
      </c>
      <c r="B759" s="17">
        <v>908</v>
      </c>
      <c r="C759" s="21" t="s">
        <v>159</v>
      </c>
      <c r="D759" s="21" t="s">
        <v>181</v>
      </c>
      <c r="E759" s="21" t="s">
        <v>628</v>
      </c>
      <c r="F759" s="21" t="s">
        <v>173</v>
      </c>
      <c r="G759" s="28">
        <f>G760</f>
        <v>2678</v>
      </c>
      <c r="H759" s="202"/>
      <c r="L759" s="137"/>
    </row>
    <row r="760" spans="1:12" ht="47.25">
      <c r="A760" s="26" t="s">
        <v>174</v>
      </c>
      <c r="B760" s="17">
        <v>908</v>
      </c>
      <c r="C760" s="21" t="s">
        <v>159</v>
      </c>
      <c r="D760" s="21" t="s">
        <v>181</v>
      </c>
      <c r="E760" s="21" t="s">
        <v>628</v>
      </c>
      <c r="F760" s="21" t="s">
        <v>175</v>
      </c>
      <c r="G760" s="191">
        <f>3034.2-356.2</f>
        <v>2678</v>
      </c>
      <c r="H760" s="127" t="s">
        <v>818</v>
      </c>
      <c r="I760" s="147"/>
      <c r="L760" s="137"/>
    </row>
    <row r="761" spans="1:12" ht="15.75">
      <c r="A761" s="26" t="s">
        <v>176</v>
      </c>
      <c r="B761" s="17">
        <v>908</v>
      </c>
      <c r="C761" s="21" t="s">
        <v>159</v>
      </c>
      <c r="D761" s="21" t="s">
        <v>181</v>
      </c>
      <c r="E761" s="21" t="s">
        <v>628</v>
      </c>
      <c r="F761" s="21" t="s">
        <v>186</v>
      </c>
      <c r="G761" s="28">
        <f>G762</f>
        <v>14.3</v>
      </c>
      <c r="H761" s="202"/>
      <c r="L761" s="137"/>
    </row>
    <row r="762" spans="1:12" ht="15.75">
      <c r="A762" s="26" t="s">
        <v>779</v>
      </c>
      <c r="B762" s="17">
        <v>908</v>
      </c>
      <c r="C762" s="21" t="s">
        <v>159</v>
      </c>
      <c r="D762" s="21" t="s">
        <v>181</v>
      </c>
      <c r="E762" s="21" t="s">
        <v>628</v>
      </c>
      <c r="F762" s="21" t="s">
        <v>179</v>
      </c>
      <c r="G762" s="28">
        <v>14.3</v>
      </c>
      <c r="H762" s="127"/>
      <c r="I762" s="147"/>
      <c r="L762" s="137"/>
    </row>
    <row r="763" spans="1:8" ht="31.5">
      <c r="A763" s="24" t="s">
        <v>263</v>
      </c>
      <c r="B763" s="20">
        <v>908</v>
      </c>
      <c r="C763" s="25" t="s">
        <v>256</v>
      </c>
      <c r="D763" s="25"/>
      <c r="E763" s="25"/>
      <c r="F763" s="25"/>
      <c r="G763" s="22">
        <f aca="true" t="shared" si="4" ref="G763:G768">G764</f>
        <v>50</v>
      </c>
      <c r="H763" s="202"/>
    </row>
    <row r="764" spans="1:8" ht="63">
      <c r="A764" s="24" t="s">
        <v>264</v>
      </c>
      <c r="B764" s="20">
        <v>908</v>
      </c>
      <c r="C764" s="25" t="s">
        <v>256</v>
      </c>
      <c r="D764" s="25" t="s">
        <v>260</v>
      </c>
      <c r="E764" s="25"/>
      <c r="F764" s="25"/>
      <c r="G764" s="22">
        <f t="shared" si="4"/>
        <v>50</v>
      </c>
      <c r="H764" s="202"/>
    </row>
    <row r="765" spans="1:8" ht="21.75" customHeight="1">
      <c r="A765" s="26" t="s">
        <v>162</v>
      </c>
      <c r="B765" s="17">
        <v>908</v>
      </c>
      <c r="C765" s="21" t="s">
        <v>256</v>
      </c>
      <c r="D765" s="21" t="s">
        <v>260</v>
      </c>
      <c r="E765" s="21" t="s">
        <v>163</v>
      </c>
      <c r="F765" s="21"/>
      <c r="G765" s="27">
        <f t="shared" si="4"/>
        <v>50</v>
      </c>
      <c r="H765" s="202"/>
    </row>
    <row r="766" spans="1:8" ht="15.75">
      <c r="A766" s="26" t="s">
        <v>182</v>
      </c>
      <c r="B766" s="17">
        <v>908</v>
      </c>
      <c r="C766" s="21" t="s">
        <v>256</v>
      </c>
      <c r="D766" s="21" t="s">
        <v>260</v>
      </c>
      <c r="E766" s="21" t="s">
        <v>183</v>
      </c>
      <c r="F766" s="21"/>
      <c r="G766" s="27">
        <f t="shared" si="4"/>
        <v>50</v>
      </c>
      <c r="H766" s="202"/>
    </row>
    <row r="767" spans="1:8" ht="15.75">
      <c r="A767" s="26" t="s">
        <v>271</v>
      </c>
      <c r="B767" s="17">
        <v>908</v>
      </c>
      <c r="C767" s="21" t="s">
        <v>256</v>
      </c>
      <c r="D767" s="21" t="s">
        <v>260</v>
      </c>
      <c r="E767" s="21" t="s">
        <v>272</v>
      </c>
      <c r="F767" s="21"/>
      <c r="G767" s="27">
        <f t="shared" si="4"/>
        <v>50</v>
      </c>
      <c r="H767" s="202"/>
    </row>
    <row r="768" spans="1:8" ht="31.5">
      <c r="A768" s="26" t="s">
        <v>172</v>
      </c>
      <c r="B768" s="17">
        <v>908</v>
      </c>
      <c r="C768" s="21" t="s">
        <v>256</v>
      </c>
      <c r="D768" s="21" t="s">
        <v>260</v>
      </c>
      <c r="E768" s="21" t="s">
        <v>272</v>
      </c>
      <c r="F768" s="21" t="s">
        <v>173</v>
      </c>
      <c r="G768" s="27">
        <f t="shared" si="4"/>
        <v>50</v>
      </c>
      <c r="H768" s="202"/>
    </row>
    <row r="769" spans="1:8" ht="47.25">
      <c r="A769" s="26" t="s">
        <v>174</v>
      </c>
      <c r="B769" s="17">
        <v>908</v>
      </c>
      <c r="C769" s="21" t="s">
        <v>256</v>
      </c>
      <c r="D769" s="21" t="s">
        <v>260</v>
      </c>
      <c r="E769" s="21" t="s">
        <v>272</v>
      </c>
      <c r="F769" s="21" t="s">
        <v>175</v>
      </c>
      <c r="G769" s="27">
        <v>50</v>
      </c>
      <c r="H769" s="202"/>
    </row>
    <row r="770" spans="1:8" ht="15.75">
      <c r="A770" s="24" t="s">
        <v>273</v>
      </c>
      <c r="B770" s="20">
        <v>908</v>
      </c>
      <c r="C770" s="25" t="s">
        <v>191</v>
      </c>
      <c r="D770" s="25"/>
      <c r="E770" s="25"/>
      <c r="F770" s="25"/>
      <c r="G770" s="22">
        <f>G771+G777</f>
        <v>18331.8</v>
      </c>
      <c r="H770" s="202"/>
    </row>
    <row r="771" spans="1:8" ht="15.75">
      <c r="A771" s="24" t="s">
        <v>547</v>
      </c>
      <c r="B771" s="20">
        <v>908</v>
      </c>
      <c r="C771" s="25" t="s">
        <v>191</v>
      </c>
      <c r="D771" s="25" t="s">
        <v>340</v>
      </c>
      <c r="E771" s="25"/>
      <c r="F771" s="25"/>
      <c r="G771" s="22">
        <f>G772</f>
        <v>3207.7</v>
      </c>
      <c r="H771" s="202"/>
    </row>
    <row r="772" spans="1:8" ht="15.75">
      <c r="A772" s="26" t="s">
        <v>162</v>
      </c>
      <c r="B772" s="17">
        <v>908</v>
      </c>
      <c r="C772" s="21" t="s">
        <v>191</v>
      </c>
      <c r="D772" s="21" t="s">
        <v>340</v>
      </c>
      <c r="E772" s="21" t="s">
        <v>163</v>
      </c>
      <c r="F772" s="25"/>
      <c r="G772" s="27">
        <f>G773</f>
        <v>3207.7</v>
      </c>
      <c r="H772" s="202"/>
    </row>
    <row r="773" spans="1:8" ht="15.75">
      <c r="A773" s="26" t="s">
        <v>182</v>
      </c>
      <c r="B773" s="17">
        <v>908</v>
      </c>
      <c r="C773" s="21" t="s">
        <v>191</v>
      </c>
      <c r="D773" s="21" t="s">
        <v>340</v>
      </c>
      <c r="E773" s="21" t="s">
        <v>183</v>
      </c>
      <c r="F773" s="25"/>
      <c r="G773" s="27">
        <f>G774</f>
        <v>3207.7</v>
      </c>
      <c r="H773" s="202"/>
    </row>
    <row r="774" spans="1:8" ht="39" customHeight="1">
      <c r="A774" s="26" t="s">
        <v>548</v>
      </c>
      <c r="B774" s="17">
        <v>908</v>
      </c>
      <c r="C774" s="21" t="s">
        <v>191</v>
      </c>
      <c r="D774" s="21" t="s">
        <v>340</v>
      </c>
      <c r="E774" s="21" t="s">
        <v>549</v>
      </c>
      <c r="F774" s="21"/>
      <c r="G774" s="27">
        <f>G775</f>
        <v>3207.7</v>
      </c>
      <c r="H774" s="202"/>
    </row>
    <row r="775" spans="1:8" ht="31.5">
      <c r="A775" s="26" t="s">
        <v>172</v>
      </c>
      <c r="B775" s="17">
        <v>908</v>
      </c>
      <c r="C775" s="21" t="s">
        <v>191</v>
      </c>
      <c r="D775" s="21" t="s">
        <v>340</v>
      </c>
      <c r="E775" s="21" t="s">
        <v>549</v>
      </c>
      <c r="F775" s="21" t="s">
        <v>173</v>
      </c>
      <c r="G775" s="27">
        <f>G776</f>
        <v>3207.7</v>
      </c>
      <c r="H775" s="202"/>
    </row>
    <row r="776" spans="1:8" ht="47.25">
      <c r="A776" s="26" t="s">
        <v>174</v>
      </c>
      <c r="B776" s="17">
        <v>908</v>
      </c>
      <c r="C776" s="21" t="s">
        <v>191</v>
      </c>
      <c r="D776" s="21" t="s">
        <v>340</v>
      </c>
      <c r="E776" s="21" t="s">
        <v>549</v>
      </c>
      <c r="F776" s="21" t="s">
        <v>175</v>
      </c>
      <c r="G776" s="27">
        <v>3207.7</v>
      </c>
      <c r="H776" s="202"/>
    </row>
    <row r="777" spans="1:8" ht="15.75">
      <c r="A777" s="24" t="s">
        <v>550</v>
      </c>
      <c r="B777" s="20">
        <v>908</v>
      </c>
      <c r="C777" s="25" t="s">
        <v>191</v>
      </c>
      <c r="D777" s="25" t="s">
        <v>260</v>
      </c>
      <c r="E777" s="21"/>
      <c r="F777" s="25"/>
      <c r="G777" s="22">
        <f>G778</f>
        <v>15124.1</v>
      </c>
      <c r="H777" s="202"/>
    </row>
    <row r="778" spans="1:8" ht="47.25">
      <c r="A778" s="33" t="s">
        <v>551</v>
      </c>
      <c r="B778" s="17">
        <v>908</v>
      </c>
      <c r="C778" s="21" t="s">
        <v>191</v>
      </c>
      <c r="D778" s="21" t="s">
        <v>260</v>
      </c>
      <c r="E778" s="21" t="s">
        <v>552</v>
      </c>
      <c r="F778" s="21"/>
      <c r="G778" s="27">
        <f>G779</f>
        <v>15124.1</v>
      </c>
      <c r="H778" s="202"/>
    </row>
    <row r="779" spans="1:8" ht="15.75">
      <c r="A779" s="31" t="s">
        <v>553</v>
      </c>
      <c r="B779" s="17">
        <v>908</v>
      </c>
      <c r="C779" s="21" t="s">
        <v>191</v>
      </c>
      <c r="D779" s="21" t="s">
        <v>260</v>
      </c>
      <c r="E779" s="42" t="s">
        <v>554</v>
      </c>
      <c r="F779" s="21"/>
      <c r="G779" s="27">
        <f>G780+G782</f>
        <v>15124.1</v>
      </c>
      <c r="H779" s="202"/>
    </row>
    <row r="780" spans="1:8" ht="31.5">
      <c r="A780" s="26" t="s">
        <v>172</v>
      </c>
      <c r="B780" s="17">
        <v>908</v>
      </c>
      <c r="C780" s="21" t="s">
        <v>191</v>
      </c>
      <c r="D780" s="21" t="s">
        <v>260</v>
      </c>
      <c r="E780" s="42" t="s">
        <v>554</v>
      </c>
      <c r="F780" s="21" t="s">
        <v>173</v>
      </c>
      <c r="G780" s="27">
        <f>G781</f>
        <v>15108.1</v>
      </c>
      <c r="H780" s="202"/>
    </row>
    <row r="781" spans="1:8" ht="47.25">
      <c r="A781" s="26" t="s">
        <v>174</v>
      </c>
      <c r="B781" s="17">
        <v>908</v>
      </c>
      <c r="C781" s="21" t="s">
        <v>191</v>
      </c>
      <c r="D781" s="21" t="s">
        <v>260</v>
      </c>
      <c r="E781" s="42" t="s">
        <v>554</v>
      </c>
      <c r="F781" s="21" t="s">
        <v>175</v>
      </c>
      <c r="G781" s="27">
        <f>15124.1-10-6</f>
        <v>15108.1</v>
      </c>
      <c r="H781" s="141" t="s">
        <v>839</v>
      </c>
    </row>
    <row r="782" spans="1:8" ht="15.75">
      <c r="A782" s="26" t="s">
        <v>176</v>
      </c>
      <c r="B782" s="17">
        <v>908</v>
      </c>
      <c r="C782" s="21" t="s">
        <v>191</v>
      </c>
      <c r="D782" s="21" t="s">
        <v>260</v>
      </c>
      <c r="E782" s="42" t="s">
        <v>554</v>
      </c>
      <c r="F782" s="21" t="s">
        <v>186</v>
      </c>
      <c r="G782" s="27">
        <f>G783</f>
        <v>16</v>
      </c>
      <c r="H782" s="202"/>
    </row>
    <row r="783" spans="1:8" ht="15.75">
      <c r="A783" s="26" t="s">
        <v>610</v>
      </c>
      <c r="B783" s="17">
        <v>908</v>
      </c>
      <c r="C783" s="21" t="s">
        <v>191</v>
      </c>
      <c r="D783" s="21" t="s">
        <v>260</v>
      </c>
      <c r="E783" s="42" t="s">
        <v>554</v>
      </c>
      <c r="F783" s="21" t="s">
        <v>179</v>
      </c>
      <c r="G783" s="27">
        <f>10+6</f>
        <v>16</v>
      </c>
      <c r="H783" s="182" t="s">
        <v>840</v>
      </c>
    </row>
    <row r="784" spans="1:9" ht="15.75">
      <c r="A784" s="24" t="s">
        <v>432</v>
      </c>
      <c r="B784" s="20">
        <v>908</v>
      </c>
      <c r="C784" s="25" t="s">
        <v>275</v>
      </c>
      <c r="D784" s="25"/>
      <c r="E784" s="25"/>
      <c r="F784" s="25"/>
      <c r="G784" s="22">
        <f>G785+G800+G847+G899</f>
        <v>108065.79000000001</v>
      </c>
      <c r="H784" s="202"/>
      <c r="I784" s="135"/>
    </row>
    <row r="785" spans="1:8" ht="15.75">
      <c r="A785" s="24" t="s">
        <v>433</v>
      </c>
      <c r="B785" s="20">
        <v>908</v>
      </c>
      <c r="C785" s="25" t="s">
        <v>275</v>
      </c>
      <c r="D785" s="25" t="s">
        <v>159</v>
      </c>
      <c r="E785" s="25"/>
      <c r="F785" s="25"/>
      <c r="G785" s="22">
        <f>G786</f>
        <v>7765.400000000001</v>
      </c>
      <c r="H785" s="202"/>
    </row>
    <row r="786" spans="1:8" ht="15.75">
      <c r="A786" s="26" t="s">
        <v>162</v>
      </c>
      <c r="B786" s="17">
        <v>908</v>
      </c>
      <c r="C786" s="21" t="s">
        <v>275</v>
      </c>
      <c r="D786" s="21" t="s">
        <v>159</v>
      </c>
      <c r="E786" s="21" t="s">
        <v>163</v>
      </c>
      <c r="F786" s="21"/>
      <c r="G786" s="27">
        <f>G791</f>
        <v>7765.400000000001</v>
      </c>
      <c r="H786" s="202"/>
    </row>
    <row r="787" spans="1:8" ht="31.5" hidden="1">
      <c r="A787" s="26" t="s">
        <v>226</v>
      </c>
      <c r="B787" s="17">
        <v>908</v>
      </c>
      <c r="C787" s="21" t="s">
        <v>275</v>
      </c>
      <c r="D787" s="21" t="s">
        <v>159</v>
      </c>
      <c r="E787" s="21" t="s">
        <v>227</v>
      </c>
      <c r="F787" s="21"/>
      <c r="G787" s="27">
        <f>G788</f>
        <v>0</v>
      </c>
      <c r="H787" s="202"/>
    </row>
    <row r="788" spans="1:8" ht="15.75" hidden="1">
      <c r="A788" s="26" t="s">
        <v>555</v>
      </c>
      <c r="B788" s="17">
        <v>908</v>
      </c>
      <c r="C788" s="21" t="s">
        <v>275</v>
      </c>
      <c r="D788" s="21" t="s">
        <v>159</v>
      </c>
      <c r="E788" s="21" t="s">
        <v>556</v>
      </c>
      <c r="F788" s="21"/>
      <c r="G788" s="27">
        <f>G789</f>
        <v>0</v>
      </c>
      <c r="H788" s="202"/>
    </row>
    <row r="789" spans="1:8" ht="15.75" hidden="1">
      <c r="A789" s="26" t="s">
        <v>176</v>
      </c>
      <c r="B789" s="17">
        <v>908</v>
      </c>
      <c r="C789" s="21" t="s">
        <v>275</v>
      </c>
      <c r="D789" s="21" t="s">
        <v>159</v>
      </c>
      <c r="E789" s="21" t="s">
        <v>556</v>
      </c>
      <c r="F789" s="21" t="s">
        <v>186</v>
      </c>
      <c r="G789" s="27">
        <f>G790</f>
        <v>0</v>
      </c>
      <c r="H789" s="202"/>
    </row>
    <row r="790" spans="1:8" ht="63" hidden="1">
      <c r="A790" s="26" t="s">
        <v>225</v>
      </c>
      <c r="B790" s="17">
        <v>908</v>
      </c>
      <c r="C790" s="21" t="s">
        <v>275</v>
      </c>
      <c r="D790" s="21" t="s">
        <v>159</v>
      </c>
      <c r="E790" s="21" t="s">
        <v>556</v>
      </c>
      <c r="F790" s="21" t="s">
        <v>201</v>
      </c>
      <c r="G790" s="27">
        <v>0</v>
      </c>
      <c r="H790" s="202"/>
    </row>
    <row r="791" spans="1:8" ht="15.75">
      <c r="A791" s="26" t="s">
        <v>182</v>
      </c>
      <c r="B791" s="17">
        <v>908</v>
      </c>
      <c r="C791" s="21" t="s">
        <v>275</v>
      </c>
      <c r="D791" s="21" t="s">
        <v>159</v>
      </c>
      <c r="E791" s="21" t="s">
        <v>183</v>
      </c>
      <c r="F791" s="25"/>
      <c r="G791" s="27">
        <f>G792+G797</f>
        <v>7765.400000000001</v>
      </c>
      <c r="H791" s="202"/>
    </row>
    <row r="792" spans="1:8" ht="15.75">
      <c r="A792" s="26" t="s">
        <v>557</v>
      </c>
      <c r="B792" s="17">
        <v>908</v>
      </c>
      <c r="C792" s="21" t="s">
        <v>275</v>
      </c>
      <c r="D792" s="21" t="s">
        <v>159</v>
      </c>
      <c r="E792" s="21" t="s">
        <v>558</v>
      </c>
      <c r="F792" s="25"/>
      <c r="G792" s="27">
        <f>G795+G793</f>
        <v>3531.3</v>
      </c>
      <c r="H792" s="202"/>
    </row>
    <row r="793" spans="1:8" ht="31.5">
      <c r="A793" s="26" t="s">
        <v>172</v>
      </c>
      <c r="B793" s="17">
        <v>908</v>
      </c>
      <c r="C793" s="21" t="s">
        <v>275</v>
      </c>
      <c r="D793" s="21" t="s">
        <v>159</v>
      </c>
      <c r="E793" s="21" t="s">
        <v>558</v>
      </c>
      <c r="F793" s="21" t="s">
        <v>173</v>
      </c>
      <c r="G793" s="27">
        <f>G794</f>
        <v>1131.3</v>
      </c>
      <c r="H793" s="202"/>
    </row>
    <row r="794" spans="1:9" ht="47.25">
      <c r="A794" s="26" t="s">
        <v>174</v>
      </c>
      <c r="B794" s="17">
        <v>908</v>
      </c>
      <c r="C794" s="21" t="s">
        <v>275</v>
      </c>
      <c r="D794" s="21" t="s">
        <v>159</v>
      </c>
      <c r="E794" s="21" t="s">
        <v>558</v>
      </c>
      <c r="F794" s="21" t="s">
        <v>175</v>
      </c>
      <c r="G794" s="27">
        <v>1131.3</v>
      </c>
      <c r="H794" s="127"/>
      <c r="I794" s="148"/>
    </row>
    <row r="795" spans="1:8" ht="15.75">
      <c r="A795" s="26" t="s">
        <v>176</v>
      </c>
      <c r="B795" s="17">
        <v>908</v>
      </c>
      <c r="C795" s="21" t="s">
        <v>275</v>
      </c>
      <c r="D795" s="21" t="s">
        <v>159</v>
      </c>
      <c r="E795" s="21" t="s">
        <v>558</v>
      </c>
      <c r="F795" s="21" t="s">
        <v>186</v>
      </c>
      <c r="G795" s="27">
        <f>G796</f>
        <v>2400</v>
      </c>
      <c r="H795" s="202"/>
    </row>
    <row r="796" spans="1:9" ht="63">
      <c r="A796" s="26" t="s">
        <v>225</v>
      </c>
      <c r="B796" s="17">
        <v>908</v>
      </c>
      <c r="C796" s="21" t="s">
        <v>275</v>
      </c>
      <c r="D796" s="21" t="s">
        <v>159</v>
      </c>
      <c r="E796" s="21" t="s">
        <v>558</v>
      </c>
      <c r="F796" s="21" t="s">
        <v>201</v>
      </c>
      <c r="G796" s="27">
        <f>1500+900</f>
        <v>2400</v>
      </c>
      <c r="H796" s="202"/>
      <c r="I796" s="136"/>
    </row>
    <row r="797" spans="1:8" ht="31.5">
      <c r="A797" s="31" t="s">
        <v>440</v>
      </c>
      <c r="B797" s="17">
        <v>908</v>
      </c>
      <c r="C797" s="21" t="s">
        <v>275</v>
      </c>
      <c r="D797" s="21" t="s">
        <v>159</v>
      </c>
      <c r="E797" s="21" t="s">
        <v>441</v>
      </c>
      <c r="F797" s="25"/>
      <c r="G797" s="27">
        <f>G798</f>
        <v>4234.1</v>
      </c>
      <c r="H797" s="202"/>
    </row>
    <row r="798" spans="1:8" ht="31.5">
      <c r="A798" s="26" t="s">
        <v>172</v>
      </c>
      <c r="B798" s="17">
        <v>908</v>
      </c>
      <c r="C798" s="21" t="s">
        <v>275</v>
      </c>
      <c r="D798" s="21" t="s">
        <v>159</v>
      </c>
      <c r="E798" s="21" t="s">
        <v>441</v>
      </c>
      <c r="F798" s="21" t="s">
        <v>173</v>
      </c>
      <c r="G798" s="27">
        <f>G799</f>
        <v>4234.1</v>
      </c>
      <c r="H798" s="202"/>
    </row>
    <row r="799" spans="1:8" ht="47.25">
      <c r="A799" s="26" t="s">
        <v>174</v>
      </c>
      <c r="B799" s="17">
        <v>908</v>
      </c>
      <c r="C799" s="21" t="s">
        <v>275</v>
      </c>
      <c r="D799" s="21" t="s">
        <v>159</v>
      </c>
      <c r="E799" s="21" t="s">
        <v>441</v>
      </c>
      <c r="F799" s="21" t="s">
        <v>175</v>
      </c>
      <c r="G799" s="28">
        <f>3811.8+422.3</f>
        <v>4234.1</v>
      </c>
      <c r="H799" s="202"/>
    </row>
    <row r="800" spans="1:12" ht="15.75">
      <c r="A800" s="24" t="s">
        <v>559</v>
      </c>
      <c r="B800" s="20">
        <v>908</v>
      </c>
      <c r="C800" s="25" t="s">
        <v>275</v>
      </c>
      <c r="D800" s="25" t="s">
        <v>254</v>
      </c>
      <c r="E800" s="25"/>
      <c r="F800" s="25"/>
      <c r="G800" s="22">
        <f>G801+G826</f>
        <v>53711.1</v>
      </c>
      <c r="H800" s="202"/>
      <c r="I800" s="136"/>
      <c r="L800" s="137"/>
    </row>
    <row r="801" spans="1:9" ht="82.5" customHeight="1">
      <c r="A801" s="26" t="s">
        <v>643</v>
      </c>
      <c r="B801" s="17">
        <v>908</v>
      </c>
      <c r="C801" s="21" t="s">
        <v>275</v>
      </c>
      <c r="D801" s="21" t="s">
        <v>254</v>
      </c>
      <c r="E801" s="21" t="s">
        <v>560</v>
      </c>
      <c r="F801" s="25"/>
      <c r="G801" s="27">
        <f>G805+G808+G811+G814+G817+G823</f>
        <v>5567.900000000001</v>
      </c>
      <c r="H801" s="204"/>
      <c r="I801" s="136"/>
    </row>
    <row r="802" spans="1:8" ht="47.25" hidden="1">
      <c r="A802" s="37" t="s">
        <v>561</v>
      </c>
      <c r="B802" s="17">
        <v>908</v>
      </c>
      <c r="C802" s="21" t="s">
        <v>275</v>
      </c>
      <c r="D802" s="21" t="s">
        <v>254</v>
      </c>
      <c r="E802" s="21" t="s">
        <v>562</v>
      </c>
      <c r="F802" s="21"/>
      <c r="G802" s="27">
        <f>G803</f>
        <v>0</v>
      </c>
      <c r="H802" s="202"/>
    </row>
    <row r="803" spans="1:8" ht="31.5" hidden="1">
      <c r="A803" s="26" t="s">
        <v>172</v>
      </c>
      <c r="B803" s="17">
        <v>908</v>
      </c>
      <c r="C803" s="21" t="s">
        <v>275</v>
      </c>
      <c r="D803" s="21" t="s">
        <v>254</v>
      </c>
      <c r="E803" s="21" t="s">
        <v>562</v>
      </c>
      <c r="F803" s="21" t="s">
        <v>173</v>
      </c>
      <c r="G803" s="27">
        <f>G804</f>
        <v>0</v>
      </c>
      <c r="H803" s="202"/>
    </row>
    <row r="804" spans="1:8" ht="47.25" hidden="1">
      <c r="A804" s="26" t="s">
        <v>174</v>
      </c>
      <c r="B804" s="17">
        <v>908</v>
      </c>
      <c r="C804" s="21" t="s">
        <v>275</v>
      </c>
      <c r="D804" s="21" t="s">
        <v>254</v>
      </c>
      <c r="E804" s="21" t="s">
        <v>562</v>
      </c>
      <c r="F804" s="21" t="s">
        <v>175</v>
      </c>
      <c r="G804" s="27">
        <v>0</v>
      </c>
      <c r="H804" s="202"/>
    </row>
    <row r="805" spans="1:8" ht="15.75">
      <c r="A805" s="47" t="s">
        <v>563</v>
      </c>
      <c r="B805" s="17">
        <v>908</v>
      </c>
      <c r="C805" s="42" t="s">
        <v>275</v>
      </c>
      <c r="D805" s="42" t="s">
        <v>254</v>
      </c>
      <c r="E805" s="21" t="s">
        <v>564</v>
      </c>
      <c r="F805" s="42"/>
      <c r="G805" s="27">
        <f>G806</f>
        <v>450</v>
      </c>
      <c r="H805" s="202"/>
    </row>
    <row r="806" spans="1:8" ht="31.5">
      <c r="A806" s="33" t="s">
        <v>172</v>
      </c>
      <c r="B806" s="17">
        <v>908</v>
      </c>
      <c r="C806" s="42" t="s">
        <v>275</v>
      </c>
      <c r="D806" s="42" t="s">
        <v>254</v>
      </c>
      <c r="E806" s="21" t="s">
        <v>564</v>
      </c>
      <c r="F806" s="42" t="s">
        <v>173</v>
      </c>
      <c r="G806" s="27">
        <f>G807</f>
        <v>450</v>
      </c>
      <c r="H806" s="202"/>
    </row>
    <row r="807" spans="1:8" ht="47.25">
      <c r="A807" s="33" t="s">
        <v>174</v>
      </c>
      <c r="B807" s="17">
        <v>908</v>
      </c>
      <c r="C807" s="42" t="s">
        <v>275</v>
      </c>
      <c r="D807" s="42" t="s">
        <v>254</v>
      </c>
      <c r="E807" s="21" t="s">
        <v>564</v>
      </c>
      <c r="F807" s="42" t="s">
        <v>175</v>
      </c>
      <c r="G807" s="27">
        <v>450</v>
      </c>
      <c r="H807" s="202"/>
    </row>
    <row r="808" spans="1:8" ht="15.75">
      <c r="A808" s="47" t="s">
        <v>565</v>
      </c>
      <c r="B808" s="17">
        <v>908</v>
      </c>
      <c r="C808" s="42" t="s">
        <v>275</v>
      </c>
      <c r="D808" s="42" t="s">
        <v>254</v>
      </c>
      <c r="E808" s="21" t="s">
        <v>566</v>
      </c>
      <c r="F808" s="42"/>
      <c r="G808" s="27">
        <f>G809</f>
        <v>3107</v>
      </c>
      <c r="H808" s="202"/>
    </row>
    <row r="809" spans="1:8" ht="31.5">
      <c r="A809" s="33" t="s">
        <v>172</v>
      </c>
      <c r="B809" s="17">
        <v>908</v>
      </c>
      <c r="C809" s="42" t="s">
        <v>275</v>
      </c>
      <c r="D809" s="42" t="s">
        <v>254</v>
      </c>
      <c r="E809" s="21" t="s">
        <v>566</v>
      </c>
      <c r="F809" s="42" t="s">
        <v>173</v>
      </c>
      <c r="G809" s="27">
        <f>G810</f>
        <v>3107</v>
      </c>
      <c r="H809" s="202"/>
    </row>
    <row r="810" spans="1:8" ht="47.25">
      <c r="A810" s="33" t="s">
        <v>174</v>
      </c>
      <c r="B810" s="17">
        <v>908</v>
      </c>
      <c r="C810" s="42" t="s">
        <v>275</v>
      </c>
      <c r="D810" s="42" t="s">
        <v>254</v>
      </c>
      <c r="E810" s="21" t="s">
        <v>566</v>
      </c>
      <c r="F810" s="42" t="s">
        <v>175</v>
      </c>
      <c r="G810" s="192">
        <f>110+20+2977</f>
        <v>3107</v>
      </c>
      <c r="H810" s="186" t="s">
        <v>819</v>
      </c>
    </row>
    <row r="811" spans="1:8" ht="15.75">
      <c r="A811" s="47" t="s">
        <v>567</v>
      </c>
      <c r="B811" s="17">
        <v>908</v>
      </c>
      <c r="C811" s="42" t="s">
        <v>275</v>
      </c>
      <c r="D811" s="42" t="s">
        <v>254</v>
      </c>
      <c r="E811" s="21" t="s">
        <v>568</v>
      </c>
      <c r="F811" s="42"/>
      <c r="G811" s="27">
        <f>G812</f>
        <v>1374.6</v>
      </c>
      <c r="H811" s="202"/>
    </row>
    <row r="812" spans="1:8" ht="31.5">
      <c r="A812" s="33" t="s">
        <v>172</v>
      </c>
      <c r="B812" s="17">
        <v>908</v>
      </c>
      <c r="C812" s="42" t="s">
        <v>275</v>
      </c>
      <c r="D812" s="42" t="s">
        <v>254</v>
      </c>
      <c r="E812" s="21" t="s">
        <v>568</v>
      </c>
      <c r="F812" s="42" t="s">
        <v>173</v>
      </c>
      <c r="G812" s="27">
        <f>G813</f>
        <v>1374.6</v>
      </c>
      <c r="H812" s="202"/>
    </row>
    <row r="813" spans="1:10" ht="47.25">
      <c r="A813" s="33" t="s">
        <v>174</v>
      </c>
      <c r="B813" s="17">
        <v>908</v>
      </c>
      <c r="C813" s="42" t="s">
        <v>275</v>
      </c>
      <c r="D813" s="42" t="s">
        <v>254</v>
      </c>
      <c r="E813" s="21" t="s">
        <v>568</v>
      </c>
      <c r="F813" s="42" t="s">
        <v>175</v>
      </c>
      <c r="G813" s="192">
        <f>10+30+3534.6-2200</f>
        <v>1374.6</v>
      </c>
      <c r="H813" s="134" t="s">
        <v>827</v>
      </c>
      <c r="J813" s="194" t="s">
        <v>828</v>
      </c>
    </row>
    <row r="814" spans="1:8" ht="15.75">
      <c r="A814" s="47" t="s">
        <v>569</v>
      </c>
      <c r="B814" s="17">
        <v>908</v>
      </c>
      <c r="C814" s="42" t="s">
        <v>275</v>
      </c>
      <c r="D814" s="42" t="s">
        <v>254</v>
      </c>
      <c r="E814" s="21" t="s">
        <v>570</v>
      </c>
      <c r="F814" s="42"/>
      <c r="G814" s="27">
        <f>G815</f>
        <v>159.10000000000002</v>
      </c>
      <c r="H814" s="202"/>
    </row>
    <row r="815" spans="1:8" ht="31.5">
      <c r="A815" s="33" t="s">
        <v>172</v>
      </c>
      <c r="B815" s="17">
        <v>908</v>
      </c>
      <c r="C815" s="42" t="s">
        <v>275</v>
      </c>
      <c r="D815" s="42" t="s">
        <v>254</v>
      </c>
      <c r="E815" s="21" t="s">
        <v>570</v>
      </c>
      <c r="F815" s="42" t="s">
        <v>173</v>
      </c>
      <c r="G815" s="27">
        <f>G816</f>
        <v>159.10000000000002</v>
      </c>
      <c r="H815" s="202"/>
    </row>
    <row r="816" spans="1:8" ht="47.25">
      <c r="A816" s="33" t="s">
        <v>174</v>
      </c>
      <c r="B816" s="17">
        <v>908</v>
      </c>
      <c r="C816" s="42" t="s">
        <v>275</v>
      </c>
      <c r="D816" s="42" t="s">
        <v>254</v>
      </c>
      <c r="E816" s="21" t="s">
        <v>570</v>
      </c>
      <c r="F816" s="42" t="s">
        <v>175</v>
      </c>
      <c r="G816" s="192">
        <f>250+5+681.1-522-255</f>
        <v>159.10000000000002</v>
      </c>
      <c r="H816" s="134" t="s">
        <v>820</v>
      </c>
    </row>
    <row r="817" spans="1:8" ht="15.75">
      <c r="A817" s="47" t="s">
        <v>571</v>
      </c>
      <c r="B817" s="17">
        <v>908</v>
      </c>
      <c r="C817" s="42" t="s">
        <v>275</v>
      </c>
      <c r="D817" s="42" t="s">
        <v>254</v>
      </c>
      <c r="E817" s="21" t="s">
        <v>572</v>
      </c>
      <c r="F817" s="42"/>
      <c r="G817" s="27">
        <f>G818</f>
        <v>288.2</v>
      </c>
      <c r="H817" s="202"/>
    </row>
    <row r="818" spans="1:8" ht="31.5">
      <c r="A818" s="33" t="s">
        <v>172</v>
      </c>
      <c r="B818" s="17">
        <v>908</v>
      </c>
      <c r="C818" s="42" t="s">
        <v>275</v>
      </c>
      <c r="D818" s="42" t="s">
        <v>254</v>
      </c>
      <c r="E818" s="21" t="s">
        <v>572</v>
      </c>
      <c r="F818" s="42" t="s">
        <v>173</v>
      </c>
      <c r="G818" s="27">
        <f>G819</f>
        <v>288.2</v>
      </c>
      <c r="H818" s="202"/>
    </row>
    <row r="819" spans="1:10" ht="47.25">
      <c r="A819" s="33" t="s">
        <v>174</v>
      </c>
      <c r="B819" s="17">
        <v>908</v>
      </c>
      <c r="C819" s="42" t="s">
        <v>275</v>
      </c>
      <c r="D819" s="42" t="s">
        <v>254</v>
      </c>
      <c r="E819" s="21" t="s">
        <v>572</v>
      </c>
      <c r="F819" s="42" t="s">
        <v>175</v>
      </c>
      <c r="G819" s="27">
        <f>2+286.2</f>
        <v>288.2</v>
      </c>
      <c r="H819" s="134"/>
      <c r="J819" s="195" t="s">
        <v>829</v>
      </c>
    </row>
    <row r="820" spans="1:8" ht="31.5" hidden="1">
      <c r="A820" s="203" t="s">
        <v>573</v>
      </c>
      <c r="B820" s="17">
        <v>908</v>
      </c>
      <c r="C820" s="42" t="s">
        <v>275</v>
      </c>
      <c r="D820" s="42" t="s">
        <v>254</v>
      </c>
      <c r="E820" s="21" t="s">
        <v>574</v>
      </c>
      <c r="F820" s="42"/>
      <c r="G820" s="27">
        <f>G821</f>
        <v>0</v>
      </c>
      <c r="H820" s="202"/>
    </row>
    <row r="821" spans="1:8" ht="31.5" hidden="1">
      <c r="A821" s="33" t="s">
        <v>172</v>
      </c>
      <c r="B821" s="17">
        <v>908</v>
      </c>
      <c r="C821" s="42" t="s">
        <v>275</v>
      </c>
      <c r="D821" s="42" t="s">
        <v>254</v>
      </c>
      <c r="E821" s="21" t="s">
        <v>574</v>
      </c>
      <c r="F821" s="42" t="s">
        <v>173</v>
      </c>
      <c r="G821" s="27">
        <f>G822</f>
        <v>0</v>
      </c>
      <c r="H821" s="202"/>
    </row>
    <row r="822" spans="1:8" ht="47.25" hidden="1">
      <c r="A822" s="33" t="s">
        <v>174</v>
      </c>
      <c r="B822" s="17">
        <v>908</v>
      </c>
      <c r="C822" s="42" t="s">
        <v>275</v>
      </c>
      <c r="D822" s="42" t="s">
        <v>254</v>
      </c>
      <c r="E822" s="21" t="s">
        <v>574</v>
      </c>
      <c r="F822" s="42" t="s">
        <v>175</v>
      </c>
      <c r="G822" s="27">
        <v>0</v>
      </c>
      <c r="H822" s="202"/>
    </row>
    <row r="823" spans="1:8" ht="15.75">
      <c r="A823" s="203" t="s">
        <v>575</v>
      </c>
      <c r="B823" s="17">
        <v>908</v>
      </c>
      <c r="C823" s="42" t="s">
        <v>275</v>
      </c>
      <c r="D823" s="42" t="s">
        <v>254</v>
      </c>
      <c r="E823" s="21" t="s">
        <v>576</v>
      </c>
      <c r="F823" s="42"/>
      <c r="G823" s="27">
        <f>G824</f>
        <v>189</v>
      </c>
      <c r="H823" s="202"/>
    </row>
    <row r="824" spans="1:8" ht="31.5">
      <c r="A824" s="26" t="s">
        <v>172</v>
      </c>
      <c r="B824" s="17">
        <v>908</v>
      </c>
      <c r="C824" s="42" t="s">
        <v>275</v>
      </c>
      <c r="D824" s="42" t="s">
        <v>254</v>
      </c>
      <c r="E824" s="21" t="s">
        <v>576</v>
      </c>
      <c r="F824" s="42" t="s">
        <v>173</v>
      </c>
      <c r="G824" s="27">
        <f>G825</f>
        <v>189</v>
      </c>
      <c r="H824" s="202"/>
    </row>
    <row r="825" spans="1:10" ht="47.25">
      <c r="A825" s="26" t="s">
        <v>174</v>
      </c>
      <c r="B825" s="17">
        <v>908</v>
      </c>
      <c r="C825" s="42" t="s">
        <v>275</v>
      </c>
      <c r="D825" s="42" t="s">
        <v>254</v>
      </c>
      <c r="E825" s="21" t="s">
        <v>576</v>
      </c>
      <c r="F825" s="42" t="s">
        <v>175</v>
      </c>
      <c r="G825" s="27">
        <f>15+174</f>
        <v>189</v>
      </c>
      <c r="H825" s="134"/>
      <c r="J825" s="195" t="s">
        <v>830</v>
      </c>
    </row>
    <row r="826" spans="1:8" ht="15.75">
      <c r="A826" s="26" t="s">
        <v>162</v>
      </c>
      <c r="B826" s="17">
        <v>908</v>
      </c>
      <c r="C826" s="21" t="s">
        <v>275</v>
      </c>
      <c r="D826" s="21" t="s">
        <v>254</v>
      </c>
      <c r="E826" s="21" t="s">
        <v>163</v>
      </c>
      <c r="F826" s="21"/>
      <c r="G826" s="27">
        <f>G827+G837</f>
        <v>48143.2</v>
      </c>
      <c r="H826" s="202"/>
    </row>
    <row r="827" spans="1:8" ht="31.5">
      <c r="A827" s="26" t="s">
        <v>226</v>
      </c>
      <c r="B827" s="17">
        <v>908</v>
      </c>
      <c r="C827" s="21" t="s">
        <v>275</v>
      </c>
      <c r="D827" s="21" t="s">
        <v>254</v>
      </c>
      <c r="E827" s="21" t="s">
        <v>227</v>
      </c>
      <c r="F827" s="21"/>
      <c r="G827" s="27">
        <f>G828+G831+G834</f>
        <v>25111.2</v>
      </c>
      <c r="H827" s="202"/>
    </row>
    <row r="828" spans="1:8" ht="47.25">
      <c r="A828" s="121" t="s">
        <v>746</v>
      </c>
      <c r="B828" s="17">
        <v>908</v>
      </c>
      <c r="C828" s="21" t="s">
        <v>275</v>
      </c>
      <c r="D828" s="21" t="s">
        <v>254</v>
      </c>
      <c r="E828" s="21" t="s">
        <v>577</v>
      </c>
      <c r="F828" s="21"/>
      <c r="G828" s="27">
        <f>G829</f>
        <v>5000</v>
      </c>
      <c r="H828" s="202"/>
    </row>
    <row r="829" spans="1:8" ht="31.5">
      <c r="A829" s="26" t="s">
        <v>172</v>
      </c>
      <c r="B829" s="17">
        <v>908</v>
      </c>
      <c r="C829" s="21" t="s">
        <v>275</v>
      </c>
      <c r="D829" s="21" t="s">
        <v>254</v>
      </c>
      <c r="E829" s="21" t="s">
        <v>577</v>
      </c>
      <c r="F829" s="21" t="s">
        <v>173</v>
      </c>
      <c r="G829" s="27">
        <f>G830</f>
        <v>5000</v>
      </c>
      <c r="H829" s="202"/>
    </row>
    <row r="830" spans="1:9" ht="47.25">
      <c r="A830" s="26" t="s">
        <v>174</v>
      </c>
      <c r="B830" s="17">
        <v>908</v>
      </c>
      <c r="C830" s="21" t="s">
        <v>275</v>
      </c>
      <c r="D830" s="21" t="s">
        <v>254</v>
      </c>
      <c r="E830" s="21" t="s">
        <v>577</v>
      </c>
      <c r="F830" s="21" t="s">
        <v>175</v>
      </c>
      <c r="G830" s="27">
        <f>5000</f>
        <v>5000</v>
      </c>
      <c r="H830" s="202"/>
      <c r="I830" s="136"/>
    </row>
    <row r="831" spans="1:8" ht="31.5">
      <c r="A831" s="37" t="s">
        <v>752</v>
      </c>
      <c r="B831" s="17">
        <v>908</v>
      </c>
      <c r="C831" s="21" t="s">
        <v>275</v>
      </c>
      <c r="D831" s="21" t="s">
        <v>254</v>
      </c>
      <c r="E831" s="21" t="s">
        <v>578</v>
      </c>
      <c r="F831" s="21"/>
      <c r="G831" s="27">
        <f>G832</f>
        <v>20000</v>
      </c>
      <c r="H831" s="202"/>
    </row>
    <row r="832" spans="1:8" ht="31.5">
      <c r="A832" s="26" t="s">
        <v>172</v>
      </c>
      <c r="B832" s="17">
        <v>908</v>
      </c>
      <c r="C832" s="21" t="s">
        <v>275</v>
      </c>
      <c r="D832" s="21" t="s">
        <v>254</v>
      </c>
      <c r="E832" s="21" t="s">
        <v>578</v>
      </c>
      <c r="F832" s="21" t="s">
        <v>173</v>
      </c>
      <c r="G832" s="27">
        <f>G833</f>
        <v>20000</v>
      </c>
      <c r="H832" s="202"/>
    </row>
    <row r="833" spans="1:8" ht="47.25">
      <c r="A833" s="26" t="s">
        <v>174</v>
      </c>
      <c r="B833" s="17">
        <v>908</v>
      </c>
      <c r="C833" s="21" t="s">
        <v>275</v>
      </c>
      <c r="D833" s="21" t="s">
        <v>254</v>
      </c>
      <c r="E833" s="21" t="s">
        <v>578</v>
      </c>
      <c r="F833" s="21" t="s">
        <v>175</v>
      </c>
      <c r="G833" s="27">
        <v>20000</v>
      </c>
      <c r="H833" s="127"/>
    </row>
    <row r="834" spans="1:8" ht="47.25">
      <c r="A834" s="26" t="s">
        <v>753</v>
      </c>
      <c r="B834" s="17">
        <v>908</v>
      </c>
      <c r="C834" s="21" t="s">
        <v>275</v>
      </c>
      <c r="D834" s="21" t="s">
        <v>254</v>
      </c>
      <c r="E834" s="21" t="s">
        <v>754</v>
      </c>
      <c r="F834" s="21"/>
      <c r="G834" s="27">
        <f>G835</f>
        <v>111.2</v>
      </c>
      <c r="H834" s="129"/>
    </row>
    <row r="835" spans="1:8" ht="31.5">
      <c r="A835" s="26" t="s">
        <v>172</v>
      </c>
      <c r="B835" s="17">
        <v>908</v>
      </c>
      <c r="C835" s="21" t="s">
        <v>275</v>
      </c>
      <c r="D835" s="21" t="s">
        <v>254</v>
      </c>
      <c r="E835" s="21" t="s">
        <v>754</v>
      </c>
      <c r="F835" s="21" t="s">
        <v>173</v>
      </c>
      <c r="G835" s="27">
        <f>G836</f>
        <v>111.2</v>
      </c>
      <c r="H835" s="129"/>
    </row>
    <row r="836" spans="1:8" ht="47.25">
      <c r="A836" s="26" t="s">
        <v>174</v>
      </c>
      <c r="B836" s="17">
        <v>908</v>
      </c>
      <c r="C836" s="21" t="s">
        <v>275</v>
      </c>
      <c r="D836" s="21" t="s">
        <v>254</v>
      </c>
      <c r="E836" s="21" t="s">
        <v>754</v>
      </c>
      <c r="F836" s="21" t="s">
        <v>175</v>
      </c>
      <c r="G836" s="27">
        <v>111.2</v>
      </c>
      <c r="H836" s="129"/>
    </row>
    <row r="837" spans="1:8" ht="15.75">
      <c r="A837" s="26" t="s">
        <v>182</v>
      </c>
      <c r="B837" s="17">
        <v>908</v>
      </c>
      <c r="C837" s="21" t="s">
        <v>275</v>
      </c>
      <c r="D837" s="21" t="s">
        <v>254</v>
      </c>
      <c r="E837" s="21" t="s">
        <v>183</v>
      </c>
      <c r="F837" s="21"/>
      <c r="G837" s="27">
        <f>G838+G844</f>
        <v>23031.999999999996</v>
      </c>
      <c r="H837" s="202"/>
    </row>
    <row r="838" spans="1:8" ht="31.5">
      <c r="A838" s="37" t="s">
        <v>579</v>
      </c>
      <c r="B838" s="17">
        <v>908</v>
      </c>
      <c r="C838" s="21" t="s">
        <v>275</v>
      </c>
      <c r="D838" s="21" t="s">
        <v>254</v>
      </c>
      <c r="E838" s="21" t="s">
        <v>580</v>
      </c>
      <c r="F838" s="21"/>
      <c r="G838" s="27">
        <f>G839+G841</f>
        <v>20353.699999999997</v>
      </c>
      <c r="H838" s="202"/>
    </row>
    <row r="839" spans="1:8" ht="31.5">
      <c r="A839" s="26" t="s">
        <v>172</v>
      </c>
      <c r="B839" s="17">
        <v>908</v>
      </c>
      <c r="C839" s="21" t="s">
        <v>275</v>
      </c>
      <c r="D839" s="21" t="s">
        <v>254</v>
      </c>
      <c r="E839" s="21" t="s">
        <v>580</v>
      </c>
      <c r="F839" s="21" t="s">
        <v>173</v>
      </c>
      <c r="G839" s="27">
        <f>G840</f>
        <v>20322.1</v>
      </c>
      <c r="H839" s="202"/>
    </row>
    <row r="840" spans="1:10" ht="47.25">
      <c r="A840" s="26" t="s">
        <v>174</v>
      </c>
      <c r="B840" s="17">
        <v>908</v>
      </c>
      <c r="C840" s="21" t="s">
        <v>275</v>
      </c>
      <c r="D840" s="21" t="s">
        <v>254</v>
      </c>
      <c r="E840" s="21" t="s">
        <v>580</v>
      </c>
      <c r="F840" s="21" t="s">
        <v>175</v>
      </c>
      <c r="G840" s="187">
        <f>10880-5000-2230+172.1+16500</f>
        <v>20322.1</v>
      </c>
      <c r="H840" s="127" t="s">
        <v>826</v>
      </c>
      <c r="I840" s="136"/>
      <c r="J840" s="196" t="s">
        <v>793</v>
      </c>
    </row>
    <row r="841" spans="1:8" ht="15.75">
      <c r="A841" s="26" t="s">
        <v>176</v>
      </c>
      <c r="B841" s="17">
        <v>908</v>
      </c>
      <c r="C841" s="21" t="s">
        <v>275</v>
      </c>
      <c r="D841" s="21" t="s">
        <v>254</v>
      </c>
      <c r="E841" s="21" t="s">
        <v>580</v>
      </c>
      <c r="F841" s="21" t="s">
        <v>186</v>
      </c>
      <c r="G841" s="27">
        <f>G842+G843</f>
        <v>31.6</v>
      </c>
      <c r="H841" s="202"/>
    </row>
    <row r="842" spans="1:8" ht="63" hidden="1">
      <c r="A842" s="26" t="s">
        <v>225</v>
      </c>
      <c r="B842" s="17">
        <v>908</v>
      </c>
      <c r="C842" s="21" t="s">
        <v>275</v>
      </c>
      <c r="D842" s="21" t="s">
        <v>254</v>
      </c>
      <c r="E842" s="21" t="s">
        <v>580</v>
      </c>
      <c r="F842" s="21" t="s">
        <v>201</v>
      </c>
      <c r="G842" s="27">
        <v>0</v>
      </c>
      <c r="H842" s="202"/>
    </row>
    <row r="843" spans="1:9" ht="15.75">
      <c r="A843" s="26" t="s">
        <v>610</v>
      </c>
      <c r="B843" s="17">
        <v>908</v>
      </c>
      <c r="C843" s="21" t="s">
        <v>275</v>
      </c>
      <c r="D843" s="21" t="s">
        <v>254</v>
      </c>
      <c r="E843" s="21" t="s">
        <v>580</v>
      </c>
      <c r="F843" s="21" t="s">
        <v>179</v>
      </c>
      <c r="G843" s="27">
        <v>31.6</v>
      </c>
      <c r="H843" s="127"/>
      <c r="I843" s="147"/>
    </row>
    <row r="844" spans="1:8" ht="15.75">
      <c r="A844" s="26" t="s">
        <v>581</v>
      </c>
      <c r="B844" s="17">
        <v>908</v>
      </c>
      <c r="C844" s="21" t="s">
        <v>275</v>
      </c>
      <c r="D844" s="21" t="s">
        <v>254</v>
      </c>
      <c r="E844" s="21" t="s">
        <v>582</v>
      </c>
      <c r="F844" s="21"/>
      <c r="G844" s="27">
        <f>G845</f>
        <v>2678.3</v>
      </c>
      <c r="H844" s="202"/>
    </row>
    <row r="845" spans="1:8" ht="15.75">
      <c r="A845" s="26" t="s">
        <v>176</v>
      </c>
      <c r="B845" s="17">
        <v>908</v>
      </c>
      <c r="C845" s="21" t="s">
        <v>275</v>
      </c>
      <c r="D845" s="21" t="s">
        <v>254</v>
      </c>
      <c r="E845" s="21" t="s">
        <v>582</v>
      </c>
      <c r="F845" s="21" t="s">
        <v>186</v>
      </c>
      <c r="G845" s="27">
        <f>G846</f>
        <v>2678.3</v>
      </c>
      <c r="H845" s="202"/>
    </row>
    <row r="846" spans="1:9" ht="15.75">
      <c r="A846" s="26" t="s">
        <v>187</v>
      </c>
      <c r="B846" s="17">
        <v>908</v>
      </c>
      <c r="C846" s="21" t="s">
        <v>275</v>
      </c>
      <c r="D846" s="21" t="s">
        <v>254</v>
      </c>
      <c r="E846" s="21" t="s">
        <v>582</v>
      </c>
      <c r="F846" s="21" t="s">
        <v>188</v>
      </c>
      <c r="G846" s="27">
        <v>2678.3</v>
      </c>
      <c r="H846" s="202"/>
      <c r="I846" s="136"/>
    </row>
    <row r="847" spans="1:8" ht="15.75">
      <c r="A847" s="24" t="s">
        <v>583</v>
      </c>
      <c r="B847" s="20">
        <v>908</v>
      </c>
      <c r="C847" s="25" t="s">
        <v>275</v>
      </c>
      <c r="D847" s="25" t="s">
        <v>256</v>
      </c>
      <c r="E847" s="25"/>
      <c r="F847" s="25"/>
      <c r="G847" s="22">
        <f>G848++G878+G874</f>
        <v>25464.6</v>
      </c>
      <c r="H847" s="202"/>
    </row>
    <row r="848" spans="1:8" ht="47.25">
      <c r="A848" s="26" t="s">
        <v>584</v>
      </c>
      <c r="B848" s="17">
        <v>908</v>
      </c>
      <c r="C848" s="21" t="s">
        <v>275</v>
      </c>
      <c r="D848" s="21" t="s">
        <v>256</v>
      </c>
      <c r="E848" s="21" t="s">
        <v>585</v>
      </c>
      <c r="F848" s="21"/>
      <c r="G848" s="27">
        <f>G849+G859</f>
        <v>12375.499999999998</v>
      </c>
      <c r="H848" s="202"/>
    </row>
    <row r="849" spans="1:8" ht="47.25">
      <c r="A849" s="26" t="s">
        <v>586</v>
      </c>
      <c r="B849" s="17">
        <v>908</v>
      </c>
      <c r="C849" s="21" t="s">
        <v>275</v>
      </c>
      <c r="D849" s="21" t="s">
        <v>256</v>
      </c>
      <c r="E849" s="21" t="s">
        <v>587</v>
      </c>
      <c r="F849" s="21"/>
      <c r="G849" s="27">
        <f>G850+G853+G856</f>
        <v>8697.3</v>
      </c>
      <c r="H849" s="202"/>
    </row>
    <row r="850" spans="1:8" ht="31.5">
      <c r="A850" s="26" t="s">
        <v>588</v>
      </c>
      <c r="B850" s="17">
        <v>908</v>
      </c>
      <c r="C850" s="21" t="s">
        <v>275</v>
      </c>
      <c r="D850" s="21" t="s">
        <v>256</v>
      </c>
      <c r="E850" s="21" t="s">
        <v>589</v>
      </c>
      <c r="F850" s="21"/>
      <c r="G850" s="27">
        <f>G851</f>
        <v>253.4</v>
      </c>
      <c r="H850" s="202"/>
    </row>
    <row r="851" spans="1:8" ht="31.5">
      <c r="A851" s="26" t="s">
        <v>172</v>
      </c>
      <c r="B851" s="17">
        <v>908</v>
      </c>
      <c r="C851" s="21" t="s">
        <v>275</v>
      </c>
      <c r="D851" s="21" t="s">
        <v>256</v>
      </c>
      <c r="E851" s="21" t="s">
        <v>589</v>
      </c>
      <c r="F851" s="21" t="s">
        <v>173</v>
      </c>
      <c r="G851" s="27">
        <f>G852</f>
        <v>253.4</v>
      </c>
      <c r="H851" s="202"/>
    </row>
    <row r="852" spans="1:8" ht="47.25">
      <c r="A852" s="26" t="s">
        <v>174</v>
      </c>
      <c r="B852" s="17">
        <v>908</v>
      </c>
      <c r="C852" s="21" t="s">
        <v>275</v>
      </c>
      <c r="D852" s="21" t="s">
        <v>256</v>
      </c>
      <c r="E852" s="21" t="s">
        <v>589</v>
      </c>
      <c r="F852" s="21" t="s">
        <v>175</v>
      </c>
      <c r="G852" s="27">
        <v>253.4</v>
      </c>
      <c r="H852" s="202"/>
    </row>
    <row r="853" spans="1:8" ht="15.75">
      <c r="A853" s="26" t="s">
        <v>590</v>
      </c>
      <c r="B853" s="17">
        <v>908</v>
      </c>
      <c r="C853" s="21" t="s">
        <v>275</v>
      </c>
      <c r="D853" s="21" t="s">
        <v>256</v>
      </c>
      <c r="E853" s="21" t="s">
        <v>591</v>
      </c>
      <c r="F853" s="21"/>
      <c r="G853" s="27">
        <f>G854</f>
        <v>5258.6</v>
      </c>
      <c r="H853" s="202"/>
    </row>
    <row r="854" spans="1:8" ht="31.5">
      <c r="A854" s="26" t="s">
        <v>172</v>
      </c>
      <c r="B854" s="17">
        <v>908</v>
      </c>
      <c r="C854" s="21" t="s">
        <v>275</v>
      </c>
      <c r="D854" s="21" t="s">
        <v>256</v>
      </c>
      <c r="E854" s="21" t="s">
        <v>591</v>
      </c>
      <c r="F854" s="21" t="s">
        <v>173</v>
      </c>
      <c r="G854" s="27">
        <f>G855</f>
        <v>5258.6</v>
      </c>
      <c r="H854" s="202"/>
    </row>
    <row r="855" spans="1:8" ht="47.25">
      <c r="A855" s="26" t="s">
        <v>174</v>
      </c>
      <c r="B855" s="17">
        <v>908</v>
      </c>
      <c r="C855" s="21" t="s">
        <v>275</v>
      </c>
      <c r="D855" s="21" t="s">
        <v>256</v>
      </c>
      <c r="E855" s="21" t="s">
        <v>591</v>
      </c>
      <c r="F855" s="21" t="s">
        <v>175</v>
      </c>
      <c r="G855" s="27">
        <v>5258.6</v>
      </c>
      <c r="H855" s="202"/>
    </row>
    <row r="856" spans="1:8" ht="15.75">
      <c r="A856" s="26" t="s">
        <v>592</v>
      </c>
      <c r="B856" s="17">
        <v>908</v>
      </c>
      <c r="C856" s="21" t="s">
        <v>275</v>
      </c>
      <c r="D856" s="21" t="s">
        <v>256</v>
      </c>
      <c r="E856" s="21" t="s">
        <v>593</v>
      </c>
      <c r="F856" s="21"/>
      <c r="G856" s="27">
        <f>G857</f>
        <v>3185.3</v>
      </c>
      <c r="H856" s="202"/>
    </row>
    <row r="857" spans="1:8" ht="31.5">
      <c r="A857" s="26" t="s">
        <v>172</v>
      </c>
      <c r="B857" s="17">
        <v>908</v>
      </c>
      <c r="C857" s="21" t="s">
        <v>275</v>
      </c>
      <c r="D857" s="21" t="s">
        <v>256</v>
      </c>
      <c r="E857" s="21" t="s">
        <v>593</v>
      </c>
      <c r="F857" s="21" t="s">
        <v>173</v>
      </c>
      <c r="G857" s="27">
        <f>G858</f>
        <v>3185.3</v>
      </c>
      <c r="H857" s="202"/>
    </row>
    <row r="858" spans="1:8" ht="47.25">
      <c r="A858" s="26" t="s">
        <v>174</v>
      </c>
      <c r="B858" s="17">
        <v>908</v>
      </c>
      <c r="C858" s="21" t="s">
        <v>275</v>
      </c>
      <c r="D858" s="21" t="s">
        <v>256</v>
      </c>
      <c r="E858" s="21" t="s">
        <v>593</v>
      </c>
      <c r="F858" s="21" t="s">
        <v>175</v>
      </c>
      <c r="G858" s="27">
        <v>3185.3</v>
      </c>
      <c r="H858" s="202"/>
    </row>
    <row r="859" spans="1:8" ht="47.25">
      <c r="A859" s="26" t="s">
        <v>594</v>
      </c>
      <c r="B859" s="17">
        <v>908</v>
      </c>
      <c r="C859" s="21" t="s">
        <v>275</v>
      </c>
      <c r="D859" s="21" t="s">
        <v>256</v>
      </c>
      <c r="E859" s="21" t="s">
        <v>595</v>
      </c>
      <c r="F859" s="21"/>
      <c r="G859" s="27">
        <f>G860+G865+G868+G871</f>
        <v>3678.1999999999994</v>
      </c>
      <c r="H859" s="202"/>
    </row>
    <row r="860" spans="1:8" ht="15.75">
      <c r="A860" s="26" t="s">
        <v>592</v>
      </c>
      <c r="B860" s="17">
        <v>908</v>
      </c>
      <c r="C860" s="21" t="s">
        <v>275</v>
      </c>
      <c r="D860" s="21" t="s">
        <v>256</v>
      </c>
      <c r="E860" s="21" t="s">
        <v>596</v>
      </c>
      <c r="F860" s="21"/>
      <c r="G860" s="27">
        <f>G861+G863</f>
        <v>1112.3999999999999</v>
      </c>
      <c r="H860" s="202"/>
    </row>
    <row r="861" spans="1:8" ht="94.5">
      <c r="A861" s="26" t="s">
        <v>168</v>
      </c>
      <c r="B861" s="17">
        <v>908</v>
      </c>
      <c r="C861" s="21" t="s">
        <v>275</v>
      </c>
      <c r="D861" s="21" t="s">
        <v>256</v>
      </c>
      <c r="E861" s="21" t="s">
        <v>596</v>
      </c>
      <c r="F861" s="21" t="s">
        <v>169</v>
      </c>
      <c r="G861" s="27">
        <f>G862</f>
        <v>892.8</v>
      </c>
      <c r="H861" s="202"/>
    </row>
    <row r="862" spans="1:8" ht="31.5">
      <c r="A862" s="48" t="s">
        <v>383</v>
      </c>
      <c r="B862" s="17">
        <v>908</v>
      </c>
      <c r="C862" s="21" t="s">
        <v>275</v>
      </c>
      <c r="D862" s="21" t="s">
        <v>256</v>
      </c>
      <c r="E862" s="21" t="s">
        <v>596</v>
      </c>
      <c r="F862" s="21" t="s">
        <v>250</v>
      </c>
      <c r="G862" s="27">
        <f>801.5+91.3</f>
        <v>892.8</v>
      </c>
      <c r="H862" s="127"/>
    </row>
    <row r="863" spans="1:8" ht="31.5">
      <c r="A863" s="26" t="s">
        <v>172</v>
      </c>
      <c r="B863" s="17">
        <v>908</v>
      </c>
      <c r="C863" s="21" t="s">
        <v>275</v>
      </c>
      <c r="D863" s="21" t="s">
        <v>256</v>
      </c>
      <c r="E863" s="21" t="s">
        <v>596</v>
      </c>
      <c r="F863" s="21" t="s">
        <v>173</v>
      </c>
      <c r="G863" s="27">
        <f>G864</f>
        <v>219.6</v>
      </c>
      <c r="H863" s="202"/>
    </row>
    <row r="864" spans="1:8" ht="47.25">
      <c r="A864" s="26" t="s">
        <v>174</v>
      </c>
      <c r="B864" s="17">
        <v>908</v>
      </c>
      <c r="C864" s="21" t="s">
        <v>275</v>
      </c>
      <c r="D864" s="21" t="s">
        <v>256</v>
      </c>
      <c r="E864" s="21" t="s">
        <v>596</v>
      </c>
      <c r="F864" s="21" t="s">
        <v>175</v>
      </c>
      <c r="G864" s="27">
        <v>219.6</v>
      </c>
      <c r="H864" s="202"/>
    </row>
    <row r="865" spans="1:8" ht="15.75">
      <c r="A865" s="26" t="s">
        <v>597</v>
      </c>
      <c r="B865" s="17">
        <v>908</v>
      </c>
      <c r="C865" s="21" t="s">
        <v>275</v>
      </c>
      <c r="D865" s="21" t="s">
        <v>256</v>
      </c>
      <c r="E865" s="21" t="s">
        <v>598</v>
      </c>
      <c r="F865" s="21"/>
      <c r="G865" s="27">
        <f>G866</f>
        <v>86.6</v>
      </c>
      <c r="H865" s="202"/>
    </row>
    <row r="866" spans="1:8" ht="31.5">
      <c r="A866" s="26" t="s">
        <v>172</v>
      </c>
      <c r="B866" s="17">
        <v>908</v>
      </c>
      <c r="C866" s="21" t="s">
        <v>275</v>
      </c>
      <c r="D866" s="21" t="s">
        <v>256</v>
      </c>
      <c r="E866" s="21" t="s">
        <v>598</v>
      </c>
      <c r="F866" s="21" t="s">
        <v>173</v>
      </c>
      <c r="G866" s="27">
        <f>G867</f>
        <v>86.6</v>
      </c>
      <c r="H866" s="202"/>
    </row>
    <row r="867" spans="1:8" ht="47.25">
      <c r="A867" s="26" t="s">
        <v>174</v>
      </c>
      <c r="B867" s="17">
        <v>908</v>
      </c>
      <c r="C867" s="21" t="s">
        <v>275</v>
      </c>
      <c r="D867" s="21" t="s">
        <v>256</v>
      </c>
      <c r="E867" s="21" t="s">
        <v>598</v>
      </c>
      <c r="F867" s="21" t="s">
        <v>175</v>
      </c>
      <c r="G867" s="27">
        <v>86.6</v>
      </c>
      <c r="H867" s="202"/>
    </row>
    <row r="868" spans="1:8" ht="47.25">
      <c r="A868" s="47" t="s">
        <v>599</v>
      </c>
      <c r="B868" s="17">
        <v>908</v>
      </c>
      <c r="C868" s="21" t="s">
        <v>275</v>
      </c>
      <c r="D868" s="21" t="s">
        <v>256</v>
      </c>
      <c r="E868" s="21" t="s">
        <v>600</v>
      </c>
      <c r="F868" s="21"/>
      <c r="G868" s="27">
        <f>G869</f>
        <v>2130.6</v>
      </c>
      <c r="H868" s="202"/>
    </row>
    <row r="869" spans="1:8" ht="31.5">
      <c r="A869" s="26" t="s">
        <v>172</v>
      </c>
      <c r="B869" s="17">
        <v>908</v>
      </c>
      <c r="C869" s="21" t="s">
        <v>275</v>
      </c>
      <c r="D869" s="21" t="s">
        <v>256</v>
      </c>
      <c r="E869" s="21" t="s">
        <v>600</v>
      </c>
      <c r="F869" s="21" t="s">
        <v>173</v>
      </c>
      <c r="G869" s="27">
        <f>G870</f>
        <v>2130.6</v>
      </c>
      <c r="H869" s="202"/>
    </row>
    <row r="870" spans="1:8" ht="47.25">
      <c r="A870" s="26" t="s">
        <v>174</v>
      </c>
      <c r="B870" s="17">
        <v>908</v>
      </c>
      <c r="C870" s="21" t="s">
        <v>275</v>
      </c>
      <c r="D870" s="21" t="s">
        <v>256</v>
      </c>
      <c r="E870" s="21" t="s">
        <v>600</v>
      </c>
      <c r="F870" s="21" t="s">
        <v>175</v>
      </c>
      <c r="G870" s="27">
        <v>2130.6</v>
      </c>
      <c r="H870" s="202"/>
    </row>
    <row r="871" spans="1:8" ht="31.5">
      <c r="A871" s="47" t="s">
        <v>601</v>
      </c>
      <c r="B871" s="17">
        <v>908</v>
      </c>
      <c r="C871" s="21" t="s">
        <v>275</v>
      </c>
      <c r="D871" s="21" t="s">
        <v>256</v>
      </c>
      <c r="E871" s="21" t="s">
        <v>602</v>
      </c>
      <c r="F871" s="21"/>
      <c r="G871" s="27">
        <f>G872</f>
        <v>348.6</v>
      </c>
      <c r="H871" s="202"/>
    </row>
    <row r="872" spans="1:8" ht="31.5">
      <c r="A872" s="26" t="s">
        <v>172</v>
      </c>
      <c r="B872" s="17">
        <v>908</v>
      </c>
      <c r="C872" s="21" t="s">
        <v>275</v>
      </c>
      <c r="D872" s="21" t="s">
        <v>256</v>
      </c>
      <c r="E872" s="21" t="s">
        <v>602</v>
      </c>
      <c r="F872" s="21" t="s">
        <v>173</v>
      </c>
      <c r="G872" s="27">
        <f>G873</f>
        <v>348.6</v>
      </c>
      <c r="H872" s="202"/>
    </row>
    <row r="873" spans="1:8" ht="47.25">
      <c r="A873" s="26" t="s">
        <v>174</v>
      </c>
      <c r="B873" s="17">
        <v>908</v>
      </c>
      <c r="C873" s="21" t="s">
        <v>275</v>
      </c>
      <c r="D873" s="21" t="s">
        <v>256</v>
      </c>
      <c r="E873" s="21" t="s">
        <v>602</v>
      </c>
      <c r="F873" s="21" t="s">
        <v>175</v>
      </c>
      <c r="G873" s="27">
        <v>348.6</v>
      </c>
      <c r="H873" s="202"/>
    </row>
    <row r="874" spans="1:8" ht="63">
      <c r="A874" s="26" t="s">
        <v>784</v>
      </c>
      <c r="B874" s="17">
        <v>908</v>
      </c>
      <c r="C874" s="21" t="s">
        <v>275</v>
      </c>
      <c r="D874" s="21" t="s">
        <v>256</v>
      </c>
      <c r="E874" s="21" t="s">
        <v>786</v>
      </c>
      <c r="F874" s="21"/>
      <c r="G874" s="27">
        <f>G875</f>
        <v>600</v>
      </c>
      <c r="H874" s="202"/>
    </row>
    <row r="875" spans="1:8" ht="31.5">
      <c r="A875" s="93" t="s">
        <v>785</v>
      </c>
      <c r="B875" s="17">
        <v>908</v>
      </c>
      <c r="C875" s="21" t="s">
        <v>275</v>
      </c>
      <c r="D875" s="21" t="s">
        <v>256</v>
      </c>
      <c r="E875" s="21" t="s">
        <v>787</v>
      </c>
      <c r="F875" s="21"/>
      <c r="G875" s="27">
        <f>G876</f>
        <v>600</v>
      </c>
      <c r="H875" s="202"/>
    </row>
    <row r="876" spans="1:8" ht="31.5">
      <c r="A876" s="26" t="s">
        <v>172</v>
      </c>
      <c r="B876" s="17">
        <v>908</v>
      </c>
      <c r="C876" s="21" t="s">
        <v>275</v>
      </c>
      <c r="D876" s="21" t="s">
        <v>256</v>
      </c>
      <c r="E876" s="21" t="s">
        <v>787</v>
      </c>
      <c r="F876" s="21" t="s">
        <v>173</v>
      </c>
      <c r="G876" s="27">
        <f>G877</f>
        <v>600</v>
      </c>
      <c r="H876" s="202"/>
    </row>
    <row r="877" spans="1:8" ht="47.25">
      <c r="A877" s="26" t="s">
        <v>174</v>
      </c>
      <c r="B877" s="17">
        <v>908</v>
      </c>
      <c r="C877" s="21" t="s">
        <v>275</v>
      </c>
      <c r="D877" s="21" t="s">
        <v>256</v>
      </c>
      <c r="E877" s="21" t="s">
        <v>787</v>
      </c>
      <c r="F877" s="21" t="s">
        <v>175</v>
      </c>
      <c r="G877" s="27">
        <v>600</v>
      </c>
      <c r="H877" s="127"/>
    </row>
    <row r="878" spans="1:8" ht="15.75">
      <c r="A878" s="26" t="s">
        <v>162</v>
      </c>
      <c r="B878" s="17">
        <v>908</v>
      </c>
      <c r="C878" s="21" t="s">
        <v>275</v>
      </c>
      <c r="D878" s="21" t="s">
        <v>256</v>
      </c>
      <c r="E878" s="21" t="s">
        <v>163</v>
      </c>
      <c r="F878" s="21"/>
      <c r="G878" s="27">
        <f>G879+G892</f>
        <v>12489.099999999999</v>
      </c>
      <c r="H878" s="202"/>
    </row>
    <row r="879" spans="1:8" ht="31.5">
      <c r="A879" s="26" t="s">
        <v>226</v>
      </c>
      <c r="B879" s="17">
        <v>908</v>
      </c>
      <c r="C879" s="21" t="s">
        <v>275</v>
      </c>
      <c r="D879" s="21" t="s">
        <v>256</v>
      </c>
      <c r="E879" s="21" t="s">
        <v>227</v>
      </c>
      <c r="F879" s="21"/>
      <c r="G879" s="27">
        <f>G880+G883+G886+G889</f>
        <v>12033.199999999999</v>
      </c>
      <c r="H879" s="202"/>
    </row>
    <row r="880" spans="1:8" ht="31.5">
      <c r="A880" s="26" t="s">
        <v>603</v>
      </c>
      <c r="B880" s="17">
        <v>908</v>
      </c>
      <c r="C880" s="21" t="s">
        <v>275</v>
      </c>
      <c r="D880" s="21" t="s">
        <v>256</v>
      </c>
      <c r="E880" s="21" t="s">
        <v>604</v>
      </c>
      <c r="F880" s="21"/>
      <c r="G880" s="27">
        <f>G881</f>
        <v>6302.4</v>
      </c>
      <c r="H880" s="202"/>
    </row>
    <row r="881" spans="1:8" ht="31.5">
      <c r="A881" s="26" t="s">
        <v>172</v>
      </c>
      <c r="B881" s="17">
        <v>908</v>
      </c>
      <c r="C881" s="21" t="s">
        <v>275</v>
      </c>
      <c r="D881" s="21" t="s">
        <v>256</v>
      </c>
      <c r="E881" s="21" t="s">
        <v>604</v>
      </c>
      <c r="F881" s="21" t="s">
        <v>173</v>
      </c>
      <c r="G881" s="27">
        <f>G882</f>
        <v>6302.4</v>
      </c>
      <c r="H881" s="202"/>
    </row>
    <row r="882" spans="1:9" ht="47.25">
      <c r="A882" s="26" t="s">
        <v>174</v>
      </c>
      <c r="B882" s="17">
        <v>908</v>
      </c>
      <c r="C882" s="21" t="s">
        <v>275</v>
      </c>
      <c r="D882" s="21" t="s">
        <v>256</v>
      </c>
      <c r="E882" s="21" t="s">
        <v>604</v>
      </c>
      <c r="F882" s="21" t="s">
        <v>175</v>
      </c>
      <c r="G882" s="27">
        <f>3907.3-814.9+3210</f>
        <v>6302.4</v>
      </c>
      <c r="H882" s="127"/>
      <c r="I882" s="136"/>
    </row>
    <row r="883" spans="1:8" ht="47.25">
      <c r="A883" s="26" t="s">
        <v>755</v>
      </c>
      <c r="B883" s="17">
        <v>908</v>
      </c>
      <c r="C883" s="21" t="s">
        <v>275</v>
      </c>
      <c r="D883" s="21" t="s">
        <v>256</v>
      </c>
      <c r="E883" s="21" t="s">
        <v>756</v>
      </c>
      <c r="F883" s="21"/>
      <c r="G883" s="27">
        <f>G884</f>
        <v>2132</v>
      </c>
      <c r="H883" s="202"/>
    </row>
    <row r="884" spans="1:8" ht="31.5">
      <c r="A884" s="26" t="s">
        <v>172</v>
      </c>
      <c r="B884" s="17">
        <v>908</v>
      </c>
      <c r="C884" s="21" t="s">
        <v>275</v>
      </c>
      <c r="D884" s="21" t="s">
        <v>256</v>
      </c>
      <c r="E884" s="21" t="s">
        <v>756</v>
      </c>
      <c r="F884" s="21" t="s">
        <v>173</v>
      </c>
      <c r="G884" s="27">
        <f>G885</f>
        <v>2132</v>
      </c>
      <c r="H884" s="202"/>
    </row>
    <row r="885" spans="1:8" ht="47.25">
      <c r="A885" s="26" t="s">
        <v>174</v>
      </c>
      <c r="B885" s="17">
        <v>908</v>
      </c>
      <c r="C885" s="21" t="s">
        <v>275</v>
      </c>
      <c r="D885" s="21" t="s">
        <v>256</v>
      </c>
      <c r="E885" s="21" t="s">
        <v>756</v>
      </c>
      <c r="F885" s="21" t="s">
        <v>175</v>
      </c>
      <c r="G885" s="27">
        <v>2132</v>
      </c>
      <c r="H885" s="127"/>
    </row>
    <row r="886" spans="1:8" ht="47.25">
      <c r="A886" s="26" t="s">
        <v>757</v>
      </c>
      <c r="B886" s="17">
        <v>908</v>
      </c>
      <c r="C886" s="21" t="s">
        <v>275</v>
      </c>
      <c r="D886" s="21" t="s">
        <v>256</v>
      </c>
      <c r="E886" s="21" t="s">
        <v>605</v>
      </c>
      <c r="F886" s="21"/>
      <c r="G886" s="27">
        <f>G887</f>
        <v>2000</v>
      </c>
      <c r="H886" s="202"/>
    </row>
    <row r="887" spans="1:8" ht="31.5">
      <c r="A887" s="26" t="s">
        <v>172</v>
      </c>
      <c r="B887" s="17">
        <v>908</v>
      </c>
      <c r="C887" s="21" t="s">
        <v>275</v>
      </c>
      <c r="D887" s="21" t="s">
        <v>256</v>
      </c>
      <c r="E887" s="21" t="s">
        <v>605</v>
      </c>
      <c r="F887" s="21" t="s">
        <v>173</v>
      </c>
      <c r="G887" s="27">
        <f>G888</f>
        <v>2000</v>
      </c>
      <c r="H887" s="202"/>
    </row>
    <row r="888" spans="1:8" ht="47.25">
      <c r="A888" s="26" t="s">
        <v>174</v>
      </c>
      <c r="B888" s="17">
        <v>908</v>
      </c>
      <c r="C888" s="21" t="s">
        <v>275</v>
      </c>
      <c r="D888" s="21" t="s">
        <v>256</v>
      </c>
      <c r="E888" s="21" t="s">
        <v>605</v>
      </c>
      <c r="F888" s="21" t="s">
        <v>175</v>
      </c>
      <c r="G888" s="27">
        <v>2000</v>
      </c>
      <c r="H888" s="127"/>
    </row>
    <row r="889" spans="1:8" ht="63">
      <c r="A889" s="26" t="s">
        <v>758</v>
      </c>
      <c r="B889" s="17">
        <v>908</v>
      </c>
      <c r="C889" s="21" t="s">
        <v>275</v>
      </c>
      <c r="D889" s="21" t="s">
        <v>256</v>
      </c>
      <c r="E889" s="21" t="s">
        <v>759</v>
      </c>
      <c r="F889" s="21"/>
      <c r="G889" s="27">
        <f>G890</f>
        <v>1598.8</v>
      </c>
      <c r="H889" s="129"/>
    </row>
    <row r="890" spans="1:8" ht="31.5">
      <c r="A890" s="26" t="s">
        <v>172</v>
      </c>
      <c r="B890" s="17">
        <v>908</v>
      </c>
      <c r="C890" s="21" t="s">
        <v>275</v>
      </c>
      <c r="D890" s="21" t="s">
        <v>256</v>
      </c>
      <c r="E890" s="21" t="s">
        <v>759</v>
      </c>
      <c r="F890" s="21" t="s">
        <v>173</v>
      </c>
      <c r="G890" s="27">
        <f>G891</f>
        <v>1598.8</v>
      </c>
      <c r="H890" s="129"/>
    </row>
    <row r="891" spans="1:8" ht="47.25">
      <c r="A891" s="26" t="s">
        <v>174</v>
      </c>
      <c r="B891" s="17">
        <v>908</v>
      </c>
      <c r="C891" s="21" t="s">
        <v>275</v>
      </c>
      <c r="D891" s="21" t="s">
        <v>256</v>
      </c>
      <c r="E891" s="21" t="s">
        <v>759</v>
      </c>
      <c r="F891" s="21" t="s">
        <v>175</v>
      </c>
      <c r="G891" s="27">
        <v>1598.8</v>
      </c>
      <c r="H891" s="129"/>
    </row>
    <row r="892" spans="1:8" ht="15.75">
      <c r="A892" s="26" t="s">
        <v>182</v>
      </c>
      <c r="B892" s="17">
        <v>908</v>
      </c>
      <c r="C892" s="21" t="s">
        <v>275</v>
      </c>
      <c r="D892" s="21" t="s">
        <v>256</v>
      </c>
      <c r="E892" s="21" t="s">
        <v>183</v>
      </c>
      <c r="F892" s="21"/>
      <c r="G892" s="27">
        <f>G893</f>
        <v>455.9</v>
      </c>
      <c r="H892" s="202"/>
    </row>
    <row r="893" spans="1:8" ht="15.75">
      <c r="A893" s="26" t="s">
        <v>606</v>
      </c>
      <c r="B893" s="17">
        <v>908</v>
      </c>
      <c r="C893" s="21" t="s">
        <v>275</v>
      </c>
      <c r="D893" s="21" t="s">
        <v>256</v>
      </c>
      <c r="E893" s="21" t="s">
        <v>607</v>
      </c>
      <c r="F893" s="21"/>
      <c r="G893" s="27">
        <f>G894</f>
        <v>455.9</v>
      </c>
      <c r="H893" s="202"/>
    </row>
    <row r="894" spans="1:8" ht="31.5">
      <c r="A894" s="26" t="s">
        <v>172</v>
      </c>
      <c r="B894" s="17">
        <v>908</v>
      </c>
      <c r="C894" s="21" t="s">
        <v>275</v>
      </c>
      <c r="D894" s="21" t="s">
        <v>256</v>
      </c>
      <c r="E894" s="21" t="s">
        <v>607</v>
      </c>
      <c r="F894" s="21" t="s">
        <v>173</v>
      </c>
      <c r="G894" s="27">
        <f>G895</f>
        <v>455.9</v>
      </c>
      <c r="H894" s="202"/>
    </row>
    <row r="895" spans="1:8" ht="47.25">
      <c r="A895" s="26" t="s">
        <v>174</v>
      </c>
      <c r="B895" s="17">
        <v>908</v>
      </c>
      <c r="C895" s="21" t="s">
        <v>275</v>
      </c>
      <c r="D895" s="21" t="s">
        <v>256</v>
      </c>
      <c r="E895" s="21" t="s">
        <v>607</v>
      </c>
      <c r="F895" s="21" t="s">
        <v>175</v>
      </c>
      <c r="G895" s="28">
        <v>455.9</v>
      </c>
      <c r="H895" s="202"/>
    </row>
    <row r="896" spans="1:8" ht="15.75" hidden="1">
      <c r="A896" s="26" t="s">
        <v>608</v>
      </c>
      <c r="B896" s="17">
        <v>908</v>
      </c>
      <c r="C896" s="21" t="s">
        <v>275</v>
      </c>
      <c r="D896" s="21" t="s">
        <v>256</v>
      </c>
      <c r="E896" s="21" t="s">
        <v>609</v>
      </c>
      <c r="F896" s="21"/>
      <c r="G896" s="28">
        <f>G897</f>
        <v>0</v>
      </c>
      <c r="H896" s="202"/>
    </row>
    <row r="897" spans="1:8" ht="15.75" hidden="1">
      <c r="A897" s="26" t="s">
        <v>176</v>
      </c>
      <c r="B897" s="17">
        <v>908</v>
      </c>
      <c r="C897" s="21" t="s">
        <v>275</v>
      </c>
      <c r="D897" s="21" t="s">
        <v>256</v>
      </c>
      <c r="E897" s="21" t="s">
        <v>609</v>
      </c>
      <c r="F897" s="21" t="s">
        <v>186</v>
      </c>
      <c r="G897" s="28">
        <f>G898</f>
        <v>0</v>
      </c>
      <c r="H897" s="202"/>
    </row>
    <row r="898" spans="1:8" ht="15.75" hidden="1">
      <c r="A898" s="26" t="s">
        <v>610</v>
      </c>
      <c r="B898" s="17">
        <v>908</v>
      </c>
      <c r="C898" s="21" t="s">
        <v>275</v>
      </c>
      <c r="D898" s="21" t="s">
        <v>256</v>
      </c>
      <c r="E898" s="21" t="s">
        <v>609</v>
      </c>
      <c r="F898" s="21" t="s">
        <v>179</v>
      </c>
      <c r="G898" s="28">
        <v>0</v>
      </c>
      <c r="H898" s="202"/>
    </row>
    <row r="899" spans="1:8" ht="31.5">
      <c r="A899" s="24" t="s">
        <v>611</v>
      </c>
      <c r="B899" s="20">
        <v>908</v>
      </c>
      <c r="C899" s="25" t="s">
        <v>275</v>
      </c>
      <c r="D899" s="25" t="s">
        <v>275</v>
      </c>
      <c r="E899" s="25"/>
      <c r="F899" s="25"/>
      <c r="G899" s="22">
        <f>G900</f>
        <v>21124.69</v>
      </c>
      <c r="H899" s="202"/>
    </row>
    <row r="900" spans="1:8" ht="15.75">
      <c r="A900" s="26" t="s">
        <v>162</v>
      </c>
      <c r="B900" s="17">
        <v>908</v>
      </c>
      <c r="C900" s="21" t="s">
        <v>275</v>
      </c>
      <c r="D900" s="21" t="s">
        <v>275</v>
      </c>
      <c r="E900" s="21" t="s">
        <v>163</v>
      </c>
      <c r="F900" s="21"/>
      <c r="G900" s="27">
        <f>G901+G909</f>
        <v>21124.69</v>
      </c>
      <c r="H900" s="202"/>
    </row>
    <row r="901" spans="1:8" ht="31.5">
      <c r="A901" s="26" t="s">
        <v>164</v>
      </c>
      <c r="B901" s="17">
        <v>908</v>
      </c>
      <c r="C901" s="21" t="s">
        <v>275</v>
      </c>
      <c r="D901" s="21" t="s">
        <v>275</v>
      </c>
      <c r="E901" s="21" t="s">
        <v>165</v>
      </c>
      <c r="F901" s="21"/>
      <c r="G901" s="27">
        <f>G902</f>
        <v>13501.699999999999</v>
      </c>
      <c r="H901" s="202"/>
    </row>
    <row r="902" spans="1:8" ht="47.25">
      <c r="A902" s="26" t="s">
        <v>166</v>
      </c>
      <c r="B902" s="17">
        <v>908</v>
      </c>
      <c r="C902" s="21" t="s">
        <v>275</v>
      </c>
      <c r="D902" s="21" t="s">
        <v>275</v>
      </c>
      <c r="E902" s="21" t="s">
        <v>167</v>
      </c>
      <c r="F902" s="21"/>
      <c r="G902" s="27">
        <f>G903+G907+G905</f>
        <v>13501.699999999999</v>
      </c>
      <c r="H902" s="202"/>
    </row>
    <row r="903" spans="1:8" ht="94.5">
      <c r="A903" s="26" t="s">
        <v>168</v>
      </c>
      <c r="B903" s="17">
        <v>908</v>
      </c>
      <c r="C903" s="21" t="s">
        <v>275</v>
      </c>
      <c r="D903" s="21" t="s">
        <v>275</v>
      </c>
      <c r="E903" s="21" t="s">
        <v>167</v>
      </c>
      <c r="F903" s="21" t="s">
        <v>169</v>
      </c>
      <c r="G903" s="27">
        <f>G904</f>
        <v>13327.8</v>
      </c>
      <c r="H903" s="202"/>
    </row>
    <row r="904" spans="1:10" ht="31.5">
      <c r="A904" s="26" t="s">
        <v>170</v>
      </c>
      <c r="B904" s="17">
        <v>908</v>
      </c>
      <c r="C904" s="21" t="s">
        <v>275</v>
      </c>
      <c r="D904" s="21" t="s">
        <v>275</v>
      </c>
      <c r="E904" s="21" t="s">
        <v>167</v>
      </c>
      <c r="F904" s="21" t="s">
        <v>171</v>
      </c>
      <c r="G904" s="191">
        <f>13259.3+28.4+100-59.9</f>
        <v>13327.8</v>
      </c>
      <c r="H904" s="127" t="s">
        <v>822</v>
      </c>
      <c r="I904" s="147"/>
      <c r="J904" s="196" t="s">
        <v>831</v>
      </c>
    </row>
    <row r="905" spans="1:8" ht="31.5">
      <c r="A905" s="26" t="s">
        <v>172</v>
      </c>
      <c r="B905" s="17">
        <v>908</v>
      </c>
      <c r="C905" s="21" t="s">
        <v>275</v>
      </c>
      <c r="D905" s="21" t="s">
        <v>275</v>
      </c>
      <c r="E905" s="21" t="s">
        <v>167</v>
      </c>
      <c r="F905" s="21" t="s">
        <v>173</v>
      </c>
      <c r="G905" s="27">
        <f>G906</f>
        <v>25</v>
      </c>
      <c r="H905" s="202"/>
    </row>
    <row r="906" spans="1:9" ht="47.25">
      <c r="A906" s="26" t="s">
        <v>174</v>
      </c>
      <c r="B906" s="17">
        <v>908</v>
      </c>
      <c r="C906" s="21" t="s">
        <v>275</v>
      </c>
      <c r="D906" s="21" t="s">
        <v>275</v>
      </c>
      <c r="E906" s="21" t="s">
        <v>167</v>
      </c>
      <c r="F906" s="21" t="s">
        <v>175</v>
      </c>
      <c r="G906" s="28">
        <v>25</v>
      </c>
      <c r="H906" s="127"/>
      <c r="I906" s="147"/>
    </row>
    <row r="907" spans="1:8" ht="15.75">
      <c r="A907" s="26" t="s">
        <v>176</v>
      </c>
      <c r="B907" s="17">
        <v>908</v>
      </c>
      <c r="C907" s="21" t="s">
        <v>275</v>
      </c>
      <c r="D907" s="21" t="s">
        <v>275</v>
      </c>
      <c r="E907" s="21" t="s">
        <v>167</v>
      </c>
      <c r="F907" s="21" t="s">
        <v>186</v>
      </c>
      <c r="G907" s="27">
        <f>G908</f>
        <v>148.9</v>
      </c>
      <c r="H907" s="202"/>
    </row>
    <row r="908" spans="1:8" ht="15.75">
      <c r="A908" s="26" t="s">
        <v>610</v>
      </c>
      <c r="B908" s="17">
        <v>908</v>
      </c>
      <c r="C908" s="21" t="s">
        <v>275</v>
      </c>
      <c r="D908" s="21" t="s">
        <v>275</v>
      </c>
      <c r="E908" s="21" t="s">
        <v>167</v>
      </c>
      <c r="F908" s="21" t="s">
        <v>179</v>
      </c>
      <c r="G908" s="187">
        <f>89+59.9</f>
        <v>148.9</v>
      </c>
      <c r="H908" s="182" t="s">
        <v>821</v>
      </c>
    </row>
    <row r="909" spans="1:8" ht="15.75">
      <c r="A909" s="26" t="s">
        <v>182</v>
      </c>
      <c r="B909" s="17">
        <v>908</v>
      </c>
      <c r="C909" s="21" t="s">
        <v>275</v>
      </c>
      <c r="D909" s="21" t="s">
        <v>275</v>
      </c>
      <c r="E909" s="21" t="s">
        <v>183</v>
      </c>
      <c r="F909" s="21"/>
      <c r="G909" s="27">
        <f>G913+G910</f>
        <v>7622.99</v>
      </c>
      <c r="H909" s="202"/>
    </row>
    <row r="910" spans="1:8" ht="31.5">
      <c r="A910" s="26" t="s">
        <v>612</v>
      </c>
      <c r="B910" s="17">
        <v>908</v>
      </c>
      <c r="C910" s="21" t="s">
        <v>275</v>
      </c>
      <c r="D910" s="21" t="s">
        <v>275</v>
      </c>
      <c r="E910" s="21" t="s">
        <v>613</v>
      </c>
      <c r="F910" s="21"/>
      <c r="G910" s="28">
        <f>G911</f>
        <v>1461</v>
      </c>
      <c r="H910" s="202"/>
    </row>
    <row r="911" spans="1:8" ht="15.75">
      <c r="A911" s="26" t="s">
        <v>176</v>
      </c>
      <c r="B911" s="17">
        <v>908</v>
      </c>
      <c r="C911" s="21" t="s">
        <v>275</v>
      </c>
      <c r="D911" s="21" t="s">
        <v>275</v>
      </c>
      <c r="E911" s="21" t="s">
        <v>613</v>
      </c>
      <c r="F911" s="21" t="s">
        <v>186</v>
      </c>
      <c r="G911" s="28">
        <f>G912</f>
        <v>1461</v>
      </c>
      <c r="H911" s="202"/>
    </row>
    <row r="912" spans="1:8" ht="63">
      <c r="A912" s="26" t="s">
        <v>225</v>
      </c>
      <c r="B912" s="17">
        <v>908</v>
      </c>
      <c r="C912" s="21" t="s">
        <v>275</v>
      </c>
      <c r="D912" s="21" t="s">
        <v>275</v>
      </c>
      <c r="E912" s="21" t="s">
        <v>613</v>
      </c>
      <c r="F912" s="21" t="s">
        <v>201</v>
      </c>
      <c r="G912" s="28">
        <v>1461</v>
      </c>
      <c r="H912" s="202"/>
    </row>
    <row r="913" spans="1:8" ht="31.5">
      <c r="A913" s="26" t="s">
        <v>381</v>
      </c>
      <c r="B913" s="17">
        <v>908</v>
      </c>
      <c r="C913" s="21" t="s">
        <v>275</v>
      </c>
      <c r="D913" s="21" t="s">
        <v>275</v>
      </c>
      <c r="E913" s="21" t="s">
        <v>382</v>
      </c>
      <c r="F913" s="21"/>
      <c r="G913" s="27">
        <f>G914+G916</f>
        <v>6161.99</v>
      </c>
      <c r="H913" s="202"/>
    </row>
    <row r="914" spans="1:8" ht="94.5">
      <c r="A914" s="26" t="s">
        <v>168</v>
      </c>
      <c r="B914" s="17">
        <v>908</v>
      </c>
      <c r="C914" s="21" t="s">
        <v>275</v>
      </c>
      <c r="D914" s="21" t="s">
        <v>275</v>
      </c>
      <c r="E914" s="21" t="s">
        <v>382</v>
      </c>
      <c r="F914" s="21" t="s">
        <v>169</v>
      </c>
      <c r="G914" s="27">
        <f>G915</f>
        <v>4505.49</v>
      </c>
      <c r="H914" s="202"/>
    </row>
    <row r="915" spans="1:10" ht="31.5">
      <c r="A915" s="26" t="s">
        <v>383</v>
      </c>
      <c r="B915" s="17">
        <v>908</v>
      </c>
      <c r="C915" s="21" t="s">
        <v>275</v>
      </c>
      <c r="D915" s="21" t="s">
        <v>275</v>
      </c>
      <c r="E915" s="21" t="s">
        <v>382</v>
      </c>
      <c r="F915" s="21" t="s">
        <v>250</v>
      </c>
      <c r="G915" s="181">
        <f>6196.89-1411.4-100-180</f>
        <v>4505.49</v>
      </c>
      <c r="H915" s="127" t="s">
        <v>837</v>
      </c>
      <c r="I915" s="147"/>
      <c r="J915" s="195" t="s">
        <v>836</v>
      </c>
    </row>
    <row r="916" spans="1:8" ht="31.5">
      <c r="A916" s="26" t="s">
        <v>172</v>
      </c>
      <c r="B916" s="17">
        <v>908</v>
      </c>
      <c r="C916" s="21" t="s">
        <v>275</v>
      </c>
      <c r="D916" s="21" t="s">
        <v>275</v>
      </c>
      <c r="E916" s="21" t="s">
        <v>382</v>
      </c>
      <c r="F916" s="21" t="s">
        <v>173</v>
      </c>
      <c r="G916" s="27">
        <f>G917</f>
        <v>1656.5</v>
      </c>
      <c r="H916" s="202"/>
    </row>
    <row r="917" spans="1:10" ht="47.25">
      <c r="A917" s="26" t="s">
        <v>174</v>
      </c>
      <c r="B917" s="17">
        <v>908</v>
      </c>
      <c r="C917" s="21" t="s">
        <v>275</v>
      </c>
      <c r="D917" s="21" t="s">
        <v>275</v>
      </c>
      <c r="E917" s="21" t="s">
        <v>382</v>
      </c>
      <c r="F917" s="21" t="s">
        <v>175</v>
      </c>
      <c r="G917" s="181">
        <f>1341.9+928.5-198.8-595.1+180</f>
        <v>1656.5</v>
      </c>
      <c r="H917" s="127" t="s">
        <v>838</v>
      </c>
      <c r="I917" s="148"/>
      <c r="J917" s="195"/>
    </row>
    <row r="918" spans="1:8" ht="15.75">
      <c r="A918" s="24" t="s">
        <v>284</v>
      </c>
      <c r="B918" s="20">
        <v>908</v>
      </c>
      <c r="C918" s="25" t="s">
        <v>285</v>
      </c>
      <c r="D918" s="25"/>
      <c r="E918" s="25"/>
      <c r="F918" s="25"/>
      <c r="G918" s="22">
        <f aca="true" t="shared" si="5" ref="G918:G923">G919</f>
        <v>87.1</v>
      </c>
      <c r="H918" s="202"/>
    </row>
    <row r="919" spans="1:8" ht="31.5">
      <c r="A919" s="24" t="s">
        <v>299</v>
      </c>
      <c r="B919" s="20">
        <v>908</v>
      </c>
      <c r="C919" s="25" t="s">
        <v>285</v>
      </c>
      <c r="D919" s="25" t="s">
        <v>161</v>
      </c>
      <c r="E919" s="25"/>
      <c r="F919" s="25"/>
      <c r="G919" s="22">
        <f t="shared" si="5"/>
        <v>87.1</v>
      </c>
      <c r="H919" s="202"/>
    </row>
    <row r="920" spans="1:8" ht="15.75">
      <c r="A920" s="26" t="s">
        <v>162</v>
      </c>
      <c r="B920" s="17">
        <v>908</v>
      </c>
      <c r="C920" s="21" t="s">
        <v>285</v>
      </c>
      <c r="D920" s="21" t="s">
        <v>161</v>
      </c>
      <c r="E920" s="21" t="s">
        <v>163</v>
      </c>
      <c r="F920" s="21"/>
      <c r="G920" s="22">
        <f t="shared" si="5"/>
        <v>87.1</v>
      </c>
      <c r="H920" s="202"/>
    </row>
    <row r="921" spans="1:8" ht="15.75">
      <c r="A921" s="26" t="s">
        <v>182</v>
      </c>
      <c r="B921" s="17">
        <v>908</v>
      </c>
      <c r="C921" s="21" t="s">
        <v>285</v>
      </c>
      <c r="D921" s="21" t="s">
        <v>161</v>
      </c>
      <c r="E921" s="21" t="s">
        <v>183</v>
      </c>
      <c r="F921" s="21"/>
      <c r="G921" s="27">
        <f t="shared" si="5"/>
        <v>87.1</v>
      </c>
      <c r="H921" s="202"/>
    </row>
    <row r="922" spans="1:8" ht="15.75">
      <c r="A922" s="26" t="s">
        <v>614</v>
      </c>
      <c r="B922" s="17">
        <v>908</v>
      </c>
      <c r="C922" s="21" t="s">
        <v>285</v>
      </c>
      <c r="D922" s="21" t="s">
        <v>161</v>
      </c>
      <c r="E922" s="21" t="s">
        <v>615</v>
      </c>
      <c r="F922" s="21"/>
      <c r="G922" s="27">
        <f t="shared" si="5"/>
        <v>87.1</v>
      </c>
      <c r="H922" s="202"/>
    </row>
    <row r="923" spans="1:8" ht="15.75">
      <c r="A923" s="26" t="s">
        <v>176</v>
      </c>
      <c r="B923" s="17">
        <v>908</v>
      </c>
      <c r="C923" s="21" t="s">
        <v>285</v>
      </c>
      <c r="D923" s="21" t="s">
        <v>161</v>
      </c>
      <c r="E923" s="21" t="s">
        <v>615</v>
      </c>
      <c r="F923" s="21" t="s">
        <v>186</v>
      </c>
      <c r="G923" s="27">
        <f t="shared" si="5"/>
        <v>87.1</v>
      </c>
      <c r="H923" s="202"/>
    </row>
    <row r="924" spans="1:8" ht="63">
      <c r="A924" s="26" t="s">
        <v>225</v>
      </c>
      <c r="B924" s="17">
        <v>908</v>
      </c>
      <c r="C924" s="21" t="s">
        <v>285</v>
      </c>
      <c r="D924" s="21" t="s">
        <v>161</v>
      </c>
      <c r="E924" s="21" t="s">
        <v>615</v>
      </c>
      <c r="F924" s="21" t="s">
        <v>201</v>
      </c>
      <c r="G924" s="27">
        <v>87.1</v>
      </c>
      <c r="H924" s="202"/>
    </row>
    <row r="925" spans="1:8" ht="31.5">
      <c r="A925" s="20" t="s">
        <v>616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2"/>
    </row>
    <row r="926" spans="1:8" ht="15.75">
      <c r="A926" s="24" t="s">
        <v>158</v>
      </c>
      <c r="B926" s="20">
        <v>910</v>
      </c>
      <c r="C926" s="25" t="s">
        <v>159</v>
      </c>
      <c r="D926" s="25"/>
      <c r="E926" s="25"/>
      <c r="F926" s="25"/>
      <c r="G926" s="22">
        <f>G927+G935+G945+G953</f>
        <v>7042.5</v>
      </c>
      <c r="H926" s="202"/>
    </row>
    <row r="927" spans="1:8" ht="47.25">
      <c r="A927" s="24" t="s">
        <v>617</v>
      </c>
      <c r="B927" s="20">
        <v>910</v>
      </c>
      <c r="C927" s="25" t="s">
        <v>159</v>
      </c>
      <c r="D927" s="25" t="s">
        <v>254</v>
      </c>
      <c r="E927" s="25"/>
      <c r="F927" s="25"/>
      <c r="G927" s="22">
        <f>G928</f>
        <v>4188.8</v>
      </c>
      <c r="H927" s="202"/>
    </row>
    <row r="928" spans="1:8" ht="15.75">
      <c r="A928" s="26" t="s">
        <v>162</v>
      </c>
      <c r="B928" s="17">
        <v>910</v>
      </c>
      <c r="C928" s="21" t="s">
        <v>159</v>
      </c>
      <c r="D928" s="21" t="s">
        <v>254</v>
      </c>
      <c r="E928" s="21" t="s">
        <v>163</v>
      </c>
      <c r="F928" s="21"/>
      <c r="G928" s="27">
        <f>G929</f>
        <v>4188.8</v>
      </c>
      <c r="H928" s="202"/>
    </row>
    <row r="929" spans="1:8" ht="31.5">
      <c r="A929" s="26" t="s">
        <v>164</v>
      </c>
      <c r="B929" s="17">
        <v>910</v>
      </c>
      <c r="C929" s="21" t="s">
        <v>159</v>
      </c>
      <c r="D929" s="21" t="s">
        <v>254</v>
      </c>
      <c r="E929" s="21" t="s">
        <v>165</v>
      </c>
      <c r="F929" s="21"/>
      <c r="G929" s="27">
        <f>G930</f>
        <v>4188.8</v>
      </c>
      <c r="H929" s="202"/>
    </row>
    <row r="930" spans="1:8" ht="47.25">
      <c r="A930" s="26" t="s">
        <v>618</v>
      </c>
      <c r="B930" s="17">
        <v>910</v>
      </c>
      <c r="C930" s="21" t="s">
        <v>159</v>
      </c>
      <c r="D930" s="21" t="s">
        <v>254</v>
      </c>
      <c r="E930" s="21" t="s">
        <v>619</v>
      </c>
      <c r="F930" s="21"/>
      <c r="G930" s="27">
        <f>G931+G933</f>
        <v>4188.8</v>
      </c>
      <c r="H930" s="202"/>
    </row>
    <row r="931" spans="1:8" ht="94.5">
      <c r="A931" s="26" t="s">
        <v>168</v>
      </c>
      <c r="B931" s="17">
        <v>910</v>
      </c>
      <c r="C931" s="21" t="s">
        <v>159</v>
      </c>
      <c r="D931" s="21" t="s">
        <v>254</v>
      </c>
      <c r="E931" s="21" t="s">
        <v>619</v>
      </c>
      <c r="F931" s="21" t="s">
        <v>169</v>
      </c>
      <c r="G931" s="27">
        <f>G932+G933</f>
        <v>4188.8</v>
      </c>
      <c r="H931" s="202"/>
    </row>
    <row r="932" spans="1:10" ht="31.5">
      <c r="A932" s="26" t="s">
        <v>170</v>
      </c>
      <c r="B932" s="17">
        <v>910</v>
      </c>
      <c r="C932" s="21" t="s">
        <v>159</v>
      </c>
      <c r="D932" s="21" t="s">
        <v>254</v>
      </c>
      <c r="E932" s="21" t="s">
        <v>619</v>
      </c>
      <c r="F932" s="21" t="s">
        <v>171</v>
      </c>
      <c r="G932" s="28">
        <v>4188.8</v>
      </c>
      <c r="H932" s="202"/>
      <c r="J932" s="195" t="s">
        <v>832</v>
      </c>
    </row>
    <row r="933" spans="1:8" ht="47.25" hidden="1">
      <c r="A933" s="26" t="s">
        <v>239</v>
      </c>
      <c r="B933" s="17">
        <v>910</v>
      </c>
      <c r="C933" s="21" t="s">
        <v>159</v>
      </c>
      <c r="D933" s="21" t="s">
        <v>254</v>
      </c>
      <c r="E933" s="21" t="s">
        <v>619</v>
      </c>
      <c r="F933" s="21" t="s">
        <v>173</v>
      </c>
      <c r="G933" s="27">
        <f>G934</f>
        <v>0</v>
      </c>
      <c r="H933" s="202"/>
    </row>
    <row r="934" spans="1:8" ht="47.25" hidden="1">
      <c r="A934" s="26" t="s">
        <v>174</v>
      </c>
      <c r="B934" s="17">
        <v>910</v>
      </c>
      <c r="C934" s="21" t="s">
        <v>159</v>
      </c>
      <c r="D934" s="21" t="s">
        <v>254</v>
      </c>
      <c r="E934" s="21" t="s">
        <v>619</v>
      </c>
      <c r="F934" s="21" t="s">
        <v>175</v>
      </c>
      <c r="G934" s="27"/>
      <c r="H934" s="202"/>
    </row>
    <row r="935" spans="1:8" ht="78.75">
      <c r="A935" s="24" t="s">
        <v>620</v>
      </c>
      <c r="B935" s="20">
        <v>910</v>
      </c>
      <c r="C935" s="25" t="s">
        <v>159</v>
      </c>
      <c r="D935" s="25" t="s">
        <v>256</v>
      </c>
      <c r="E935" s="25"/>
      <c r="F935" s="25"/>
      <c r="G935" s="22">
        <f>G936</f>
        <v>1138.7</v>
      </c>
      <c r="H935" s="202"/>
    </row>
    <row r="936" spans="1:8" ht="15.75">
      <c r="A936" s="26" t="s">
        <v>162</v>
      </c>
      <c r="B936" s="17">
        <v>910</v>
      </c>
      <c r="C936" s="21" t="s">
        <v>159</v>
      </c>
      <c r="D936" s="21" t="s">
        <v>256</v>
      </c>
      <c r="E936" s="21" t="s">
        <v>163</v>
      </c>
      <c r="F936" s="25"/>
      <c r="G936" s="27">
        <f>G937</f>
        <v>1138.7</v>
      </c>
      <c r="H936" s="202"/>
    </row>
    <row r="937" spans="1:8" ht="31.5">
      <c r="A937" s="26" t="s">
        <v>164</v>
      </c>
      <c r="B937" s="17">
        <v>910</v>
      </c>
      <c r="C937" s="21" t="s">
        <v>159</v>
      </c>
      <c r="D937" s="21" t="s">
        <v>256</v>
      </c>
      <c r="E937" s="21" t="s">
        <v>165</v>
      </c>
      <c r="F937" s="25"/>
      <c r="G937" s="27">
        <f>G938</f>
        <v>1138.7</v>
      </c>
      <c r="H937" s="202"/>
    </row>
    <row r="938" spans="1:8" ht="47.25">
      <c r="A938" s="26" t="s">
        <v>621</v>
      </c>
      <c r="B938" s="17">
        <v>910</v>
      </c>
      <c r="C938" s="21" t="s">
        <v>159</v>
      </c>
      <c r="D938" s="21" t="s">
        <v>256</v>
      </c>
      <c r="E938" s="21" t="s">
        <v>622</v>
      </c>
      <c r="F938" s="21"/>
      <c r="G938" s="27">
        <f>G939+G941+G943</f>
        <v>1138.7</v>
      </c>
      <c r="H938" s="202"/>
    </row>
    <row r="939" spans="1:8" ht="94.5">
      <c r="A939" s="26" t="s">
        <v>168</v>
      </c>
      <c r="B939" s="17">
        <v>910</v>
      </c>
      <c r="C939" s="21" t="s">
        <v>159</v>
      </c>
      <c r="D939" s="21" t="s">
        <v>256</v>
      </c>
      <c r="E939" s="21" t="s">
        <v>622</v>
      </c>
      <c r="F939" s="21" t="s">
        <v>169</v>
      </c>
      <c r="G939" s="27">
        <f>G940</f>
        <v>1003.7</v>
      </c>
      <c r="H939" s="202"/>
    </row>
    <row r="940" spans="1:8" ht="31.5">
      <c r="A940" s="26" t="s">
        <v>170</v>
      </c>
      <c r="B940" s="17">
        <v>910</v>
      </c>
      <c r="C940" s="21" t="s">
        <v>159</v>
      </c>
      <c r="D940" s="21" t="s">
        <v>256</v>
      </c>
      <c r="E940" s="21" t="s">
        <v>622</v>
      </c>
      <c r="F940" s="21" t="s">
        <v>171</v>
      </c>
      <c r="G940" s="27">
        <v>1003.7</v>
      </c>
      <c r="H940" s="202"/>
    </row>
    <row r="941" spans="1:8" ht="47.25">
      <c r="A941" s="26" t="s">
        <v>239</v>
      </c>
      <c r="B941" s="17">
        <v>910</v>
      </c>
      <c r="C941" s="21" t="s">
        <v>159</v>
      </c>
      <c r="D941" s="21" t="s">
        <v>256</v>
      </c>
      <c r="E941" s="21" t="s">
        <v>622</v>
      </c>
      <c r="F941" s="21" t="s">
        <v>173</v>
      </c>
      <c r="G941" s="27">
        <f>G942</f>
        <v>135</v>
      </c>
      <c r="H941" s="202"/>
    </row>
    <row r="942" spans="1:8" ht="47.25">
      <c r="A942" s="26" t="s">
        <v>174</v>
      </c>
      <c r="B942" s="17">
        <v>910</v>
      </c>
      <c r="C942" s="21" t="s">
        <v>159</v>
      </c>
      <c r="D942" s="21" t="s">
        <v>256</v>
      </c>
      <c r="E942" s="21" t="s">
        <v>622</v>
      </c>
      <c r="F942" s="21" t="s">
        <v>175</v>
      </c>
      <c r="G942" s="27">
        <v>135</v>
      </c>
      <c r="H942" s="202"/>
    </row>
    <row r="943" spans="1:8" ht="15.75" hidden="1">
      <c r="A943" s="26" t="s">
        <v>176</v>
      </c>
      <c r="B943" s="17">
        <v>910</v>
      </c>
      <c r="C943" s="21" t="s">
        <v>159</v>
      </c>
      <c r="D943" s="21" t="s">
        <v>256</v>
      </c>
      <c r="E943" s="21" t="s">
        <v>622</v>
      </c>
      <c r="F943" s="21" t="s">
        <v>186</v>
      </c>
      <c r="G943" s="27">
        <f>G944</f>
        <v>0</v>
      </c>
      <c r="H943" s="202"/>
    </row>
    <row r="944" spans="1:8" ht="15.75" hidden="1">
      <c r="A944" s="26" t="s">
        <v>610</v>
      </c>
      <c r="B944" s="17">
        <v>910</v>
      </c>
      <c r="C944" s="21" t="s">
        <v>159</v>
      </c>
      <c r="D944" s="21" t="s">
        <v>256</v>
      </c>
      <c r="E944" s="21" t="s">
        <v>622</v>
      </c>
      <c r="F944" s="21" t="s">
        <v>179</v>
      </c>
      <c r="G944" s="27">
        <v>0</v>
      </c>
      <c r="H944" s="202"/>
    </row>
    <row r="945" spans="1:8" ht="63">
      <c r="A945" s="24" t="s">
        <v>160</v>
      </c>
      <c r="B945" s="20">
        <v>910</v>
      </c>
      <c r="C945" s="25" t="s">
        <v>159</v>
      </c>
      <c r="D945" s="25" t="s">
        <v>161</v>
      </c>
      <c r="E945" s="25"/>
      <c r="F945" s="25"/>
      <c r="G945" s="22">
        <f>G946</f>
        <v>1682.5</v>
      </c>
      <c r="H945" s="202"/>
    </row>
    <row r="946" spans="1:9" s="133" customFormat="1" ht="15.75">
      <c r="A946" s="26" t="s">
        <v>162</v>
      </c>
      <c r="B946" s="17">
        <v>910</v>
      </c>
      <c r="C946" s="21" t="s">
        <v>159</v>
      </c>
      <c r="D946" s="21" t="s">
        <v>161</v>
      </c>
      <c r="E946" s="21" t="s">
        <v>163</v>
      </c>
      <c r="F946" s="21"/>
      <c r="G946" s="27">
        <f>G947</f>
        <v>1682.5</v>
      </c>
      <c r="H946" s="202"/>
      <c r="I946" s="151"/>
    </row>
    <row r="947" spans="1:9" s="133" customFormat="1" ht="31.5">
      <c r="A947" s="26" t="s">
        <v>164</v>
      </c>
      <c r="B947" s="17">
        <v>910</v>
      </c>
      <c r="C947" s="21" t="s">
        <v>159</v>
      </c>
      <c r="D947" s="21" t="s">
        <v>161</v>
      </c>
      <c r="E947" s="21" t="s">
        <v>165</v>
      </c>
      <c r="F947" s="21"/>
      <c r="G947" s="27">
        <f>G948</f>
        <v>1682.5</v>
      </c>
      <c r="H947" s="202"/>
      <c r="I947" s="151"/>
    </row>
    <row r="948" spans="1:9" s="133" customFormat="1" ht="47.25">
      <c r="A948" s="26" t="s">
        <v>166</v>
      </c>
      <c r="B948" s="17">
        <v>910</v>
      </c>
      <c r="C948" s="21" t="s">
        <v>159</v>
      </c>
      <c r="D948" s="21" t="s">
        <v>161</v>
      </c>
      <c r="E948" s="21" t="s">
        <v>167</v>
      </c>
      <c r="F948" s="21"/>
      <c r="G948" s="27">
        <f>G949+G951</f>
        <v>1682.5</v>
      </c>
      <c r="H948" s="202"/>
      <c r="I948" s="151"/>
    </row>
    <row r="949" spans="1:8" ht="94.5">
      <c r="A949" s="26" t="s">
        <v>168</v>
      </c>
      <c r="B949" s="17">
        <v>910</v>
      </c>
      <c r="C949" s="21" t="s">
        <v>159</v>
      </c>
      <c r="D949" s="21" t="s">
        <v>161</v>
      </c>
      <c r="E949" s="21" t="s">
        <v>167</v>
      </c>
      <c r="F949" s="21" t="s">
        <v>169</v>
      </c>
      <c r="G949" s="27">
        <f>G950</f>
        <v>1664.2</v>
      </c>
      <c r="H949" s="202"/>
    </row>
    <row r="950" spans="1:10" ht="31.5">
      <c r="A950" s="26" t="s">
        <v>170</v>
      </c>
      <c r="B950" s="17">
        <v>910</v>
      </c>
      <c r="C950" s="21" t="s">
        <v>159</v>
      </c>
      <c r="D950" s="21" t="s">
        <v>161</v>
      </c>
      <c r="E950" s="21" t="s">
        <v>167</v>
      </c>
      <c r="F950" s="21" t="s">
        <v>171</v>
      </c>
      <c r="G950" s="27">
        <v>1664.2</v>
      </c>
      <c r="H950" s="202"/>
      <c r="J950" s="198" t="s">
        <v>833</v>
      </c>
    </row>
    <row r="951" spans="1:8" ht="47.25">
      <c r="A951" s="26" t="s">
        <v>239</v>
      </c>
      <c r="B951" s="17">
        <v>910</v>
      </c>
      <c r="C951" s="21" t="s">
        <v>159</v>
      </c>
      <c r="D951" s="21" t="s">
        <v>161</v>
      </c>
      <c r="E951" s="21" t="s">
        <v>167</v>
      </c>
      <c r="F951" s="21" t="s">
        <v>173</v>
      </c>
      <c r="G951" s="27">
        <f>G952</f>
        <v>18.3</v>
      </c>
      <c r="H951" s="202"/>
    </row>
    <row r="952" spans="1:8" ht="47.25">
      <c r="A952" s="26" t="s">
        <v>174</v>
      </c>
      <c r="B952" s="17">
        <v>910</v>
      </c>
      <c r="C952" s="21" t="s">
        <v>159</v>
      </c>
      <c r="D952" s="21" t="s">
        <v>161</v>
      </c>
      <c r="E952" s="21" t="s">
        <v>167</v>
      </c>
      <c r="F952" s="21" t="s">
        <v>175</v>
      </c>
      <c r="G952" s="27">
        <v>18.3</v>
      </c>
      <c r="H952" s="202"/>
    </row>
    <row r="953" spans="1:8" ht="15.75">
      <c r="A953" s="24" t="s">
        <v>180</v>
      </c>
      <c r="B953" s="20">
        <v>910</v>
      </c>
      <c r="C953" s="25" t="s">
        <v>159</v>
      </c>
      <c r="D953" s="25" t="s">
        <v>181</v>
      </c>
      <c r="E953" s="131"/>
      <c r="F953" s="21"/>
      <c r="G953" s="22">
        <f>G954+G958</f>
        <v>32.5</v>
      </c>
      <c r="H953" s="202"/>
    </row>
    <row r="954" spans="1:8" ht="47.25">
      <c r="A954" s="26" t="s">
        <v>202</v>
      </c>
      <c r="B954" s="17">
        <v>910</v>
      </c>
      <c r="C954" s="21" t="s">
        <v>159</v>
      </c>
      <c r="D954" s="21" t="s">
        <v>181</v>
      </c>
      <c r="E954" s="21" t="s">
        <v>203</v>
      </c>
      <c r="F954" s="21"/>
      <c r="G954" s="27">
        <f>G955</f>
        <v>0.5</v>
      </c>
      <c r="H954" s="202"/>
    </row>
    <row r="955" spans="1:8" ht="63">
      <c r="A955" s="33" t="s">
        <v>760</v>
      </c>
      <c r="B955" s="17">
        <v>910</v>
      </c>
      <c r="C955" s="21" t="s">
        <v>159</v>
      </c>
      <c r="D955" s="21" t="s">
        <v>181</v>
      </c>
      <c r="E955" s="42" t="s">
        <v>761</v>
      </c>
      <c r="F955" s="21"/>
      <c r="G955" s="27">
        <f>G956</f>
        <v>0.5</v>
      </c>
      <c r="H955" s="202"/>
    </row>
    <row r="956" spans="1:8" ht="31.5">
      <c r="A956" s="26" t="s">
        <v>172</v>
      </c>
      <c r="B956" s="17">
        <v>910</v>
      </c>
      <c r="C956" s="21" t="s">
        <v>159</v>
      </c>
      <c r="D956" s="21" t="s">
        <v>181</v>
      </c>
      <c r="E956" s="42" t="s">
        <v>761</v>
      </c>
      <c r="F956" s="21" t="s">
        <v>173</v>
      </c>
      <c r="G956" s="27">
        <f>G957</f>
        <v>0.5</v>
      </c>
      <c r="H956" s="202"/>
    </row>
    <row r="957" spans="1:8" ht="47.25">
      <c r="A957" s="26" t="s">
        <v>174</v>
      </c>
      <c r="B957" s="17">
        <v>910</v>
      </c>
      <c r="C957" s="21" t="s">
        <v>159</v>
      </c>
      <c r="D957" s="21" t="s">
        <v>181</v>
      </c>
      <c r="E957" s="42" t="s">
        <v>761</v>
      </c>
      <c r="F957" s="21" t="s">
        <v>175</v>
      </c>
      <c r="G957" s="27">
        <v>0.5</v>
      </c>
      <c r="H957" s="202"/>
    </row>
    <row r="958" spans="1:8" ht="15.75">
      <c r="A958" s="33" t="s">
        <v>162</v>
      </c>
      <c r="B958" s="17">
        <v>910</v>
      </c>
      <c r="C958" s="21" t="s">
        <v>159</v>
      </c>
      <c r="D958" s="21" t="s">
        <v>181</v>
      </c>
      <c r="E958" s="21" t="s">
        <v>163</v>
      </c>
      <c r="F958" s="21"/>
      <c r="G958" s="27">
        <f>G959</f>
        <v>32</v>
      </c>
      <c r="H958" s="202"/>
    </row>
    <row r="959" spans="1:8" ht="31.5">
      <c r="A959" s="33" t="s">
        <v>226</v>
      </c>
      <c r="B959" s="17">
        <v>910</v>
      </c>
      <c r="C959" s="21" t="s">
        <v>159</v>
      </c>
      <c r="D959" s="21" t="s">
        <v>181</v>
      </c>
      <c r="E959" s="21" t="s">
        <v>227</v>
      </c>
      <c r="F959" s="21"/>
      <c r="G959" s="27">
        <f>G960</f>
        <v>32</v>
      </c>
      <c r="H959" s="202"/>
    </row>
    <row r="960" spans="1:8" ht="63">
      <c r="A960" s="33" t="s">
        <v>760</v>
      </c>
      <c r="B960" s="17">
        <v>910</v>
      </c>
      <c r="C960" s="21" t="s">
        <v>159</v>
      </c>
      <c r="D960" s="21" t="s">
        <v>181</v>
      </c>
      <c r="E960" s="21" t="s">
        <v>762</v>
      </c>
      <c r="F960" s="21"/>
      <c r="G960" s="27">
        <f>G961</f>
        <v>32</v>
      </c>
      <c r="H960" s="202"/>
    </row>
    <row r="961" spans="1:8" ht="31.5">
      <c r="A961" s="26" t="s">
        <v>172</v>
      </c>
      <c r="B961" s="17">
        <v>910</v>
      </c>
      <c r="C961" s="21" t="s">
        <v>159</v>
      </c>
      <c r="D961" s="21" t="s">
        <v>181</v>
      </c>
      <c r="E961" s="21" t="s">
        <v>762</v>
      </c>
      <c r="F961" s="21" t="s">
        <v>173</v>
      </c>
      <c r="G961" s="27">
        <f>G962</f>
        <v>32</v>
      </c>
      <c r="H961" s="202"/>
    </row>
    <row r="962" spans="1:8" ht="47.25">
      <c r="A962" s="26" t="s">
        <v>174</v>
      </c>
      <c r="B962" s="17">
        <v>910</v>
      </c>
      <c r="C962" s="21" t="s">
        <v>159</v>
      </c>
      <c r="D962" s="21" t="s">
        <v>181</v>
      </c>
      <c r="E962" s="21" t="s">
        <v>762</v>
      </c>
      <c r="F962" s="21" t="s">
        <v>175</v>
      </c>
      <c r="G962" s="27">
        <v>32</v>
      </c>
      <c r="H962" s="132"/>
    </row>
    <row r="963" spans="1:8" ht="31.5">
      <c r="A963" s="24" t="s">
        <v>623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202"/>
    </row>
    <row r="964" spans="1:8" ht="15.75">
      <c r="A964" s="24" t="s">
        <v>624</v>
      </c>
      <c r="B964" s="20">
        <v>913</v>
      </c>
      <c r="C964" s="25" t="s">
        <v>279</v>
      </c>
      <c r="D964" s="21"/>
      <c r="E964" s="21"/>
      <c r="F964" s="21"/>
      <c r="G964" s="27">
        <f>G965</f>
        <v>6309.8</v>
      </c>
      <c r="H964" s="202"/>
    </row>
    <row r="965" spans="1:8" ht="15.75">
      <c r="A965" s="24" t="s">
        <v>625</v>
      </c>
      <c r="B965" s="20">
        <v>913</v>
      </c>
      <c r="C965" s="25" t="s">
        <v>279</v>
      </c>
      <c r="D965" s="25" t="s">
        <v>254</v>
      </c>
      <c r="E965" s="25"/>
      <c r="F965" s="25"/>
      <c r="G965" s="27">
        <f>G966</f>
        <v>6309.8</v>
      </c>
      <c r="H965" s="202"/>
    </row>
    <row r="966" spans="1:8" ht="15.75">
      <c r="A966" s="26" t="s">
        <v>162</v>
      </c>
      <c r="B966" s="17">
        <v>913</v>
      </c>
      <c r="C966" s="21" t="s">
        <v>279</v>
      </c>
      <c r="D966" s="21" t="s">
        <v>254</v>
      </c>
      <c r="E966" s="21" t="s">
        <v>163</v>
      </c>
      <c r="F966" s="21"/>
      <c r="G966" s="27">
        <f>G967</f>
        <v>6309.8</v>
      </c>
      <c r="H966" s="202"/>
    </row>
    <row r="967" spans="1:8" ht="31.5">
      <c r="A967" s="26" t="s">
        <v>626</v>
      </c>
      <c r="B967" s="17">
        <v>913</v>
      </c>
      <c r="C967" s="21" t="s">
        <v>279</v>
      </c>
      <c r="D967" s="21" t="s">
        <v>254</v>
      </c>
      <c r="E967" s="21" t="s">
        <v>627</v>
      </c>
      <c r="F967" s="21"/>
      <c r="G967" s="27">
        <f>G968</f>
        <v>6309.8</v>
      </c>
      <c r="H967" s="202"/>
    </row>
    <row r="968" spans="1:8" ht="31.5">
      <c r="A968" s="26" t="s">
        <v>351</v>
      </c>
      <c r="B968" s="17">
        <v>913</v>
      </c>
      <c r="C968" s="21" t="s">
        <v>279</v>
      </c>
      <c r="D968" s="21" t="s">
        <v>254</v>
      </c>
      <c r="E968" s="21" t="s">
        <v>628</v>
      </c>
      <c r="F968" s="21"/>
      <c r="G968" s="27">
        <f>G969+G971+G973</f>
        <v>6309.8</v>
      </c>
      <c r="H968" s="202"/>
    </row>
    <row r="969" spans="1:8" ht="94.5">
      <c r="A969" s="26" t="s">
        <v>168</v>
      </c>
      <c r="B969" s="17">
        <v>913</v>
      </c>
      <c r="C969" s="21" t="s">
        <v>279</v>
      </c>
      <c r="D969" s="21" t="s">
        <v>254</v>
      </c>
      <c r="E969" s="21" t="s">
        <v>628</v>
      </c>
      <c r="F969" s="21" t="s">
        <v>169</v>
      </c>
      <c r="G969" s="27">
        <f>G970</f>
        <v>5371.7</v>
      </c>
      <c r="H969" s="202"/>
    </row>
    <row r="970" spans="1:8" ht="31.5">
      <c r="A970" s="26" t="s">
        <v>249</v>
      </c>
      <c r="B970" s="17">
        <v>913</v>
      </c>
      <c r="C970" s="21" t="s">
        <v>279</v>
      </c>
      <c r="D970" s="21" t="s">
        <v>254</v>
      </c>
      <c r="E970" s="21" t="s">
        <v>628</v>
      </c>
      <c r="F970" s="21" t="s">
        <v>250</v>
      </c>
      <c r="G970" s="28">
        <v>5371.7</v>
      </c>
      <c r="H970" s="202"/>
    </row>
    <row r="971" spans="1:8" ht="31.5">
      <c r="A971" s="26" t="s">
        <v>172</v>
      </c>
      <c r="B971" s="17">
        <v>913</v>
      </c>
      <c r="C971" s="21" t="s">
        <v>279</v>
      </c>
      <c r="D971" s="21" t="s">
        <v>254</v>
      </c>
      <c r="E971" s="21" t="s">
        <v>628</v>
      </c>
      <c r="F971" s="21" t="s">
        <v>173</v>
      </c>
      <c r="G971" s="27">
        <f>G972</f>
        <v>928.1</v>
      </c>
      <c r="H971" s="202"/>
    </row>
    <row r="972" spans="1:9" ht="47.25">
      <c r="A972" s="26" t="s">
        <v>174</v>
      </c>
      <c r="B972" s="17">
        <v>913</v>
      </c>
      <c r="C972" s="21" t="s">
        <v>279</v>
      </c>
      <c r="D972" s="21" t="s">
        <v>254</v>
      </c>
      <c r="E972" s="21" t="s">
        <v>628</v>
      </c>
      <c r="F972" s="21" t="s">
        <v>175</v>
      </c>
      <c r="G972" s="28">
        <f>898.3+28.1+1.7</f>
        <v>928.1</v>
      </c>
      <c r="H972" s="127"/>
      <c r="I972" s="148"/>
    </row>
    <row r="973" spans="1:8" ht="15.75">
      <c r="A973" s="26" t="s">
        <v>176</v>
      </c>
      <c r="B973" s="17">
        <v>913</v>
      </c>
      <c r="C973" s="21" t="s">
        <v>279</v>
      </c>
      <c r="D973" s="21" t="s">
        <v>254</v>
      </c>
      <c r="E973" s="21" t="s">
        <v>628</v>
      </c>
      <c r="F973" s="21" t="s">
        <v>186</v>
      </c>
      <c r="G973" s="27">
        <f>G974</f>
        <v>10</v>
      </c>
      <c r="H973" s="202"/>
    </row>
    <row r="974" spans="1:8" ht="15.75">
      <c r="A974" s="26" t="s">
        <v>610</v>
      </c>
      <c r="B974" s="17">
        <v>913</v>
      </c>
      <c r="C974" s="21" t="s">
        <v>279</v>
      </c>
      <c r="D974" s="21" t="s">
        <v>254</v>
      </c>
      <c r="E974" s="21" t="s">
        <v>628</v>
      </c>
      <c r="F974" s="21" t="s">
        <v>179</v>
      </c>
      <c r="G974" s="27">
        <v>10</v>
      </c>
      <c r="H974" s="202"/>
    </row>
    <row r="975" spans="1:12" ht="18.75">
      <c r="A975" s="50" t="s">
        <v>629</v>
      </c>
      <c r="B975" s="50"/>
      <c r="C975" s="25"/>
      <c r="D975" s="25"/>
      <c r="E975" s="25"/>
      <c r="F975" s="25"/>
      <c r="G975" s="51">
        <f>G963+G925+G748+G673+G498+G459+G220+G27+G10</f>
        <v>665442.19</v>
      </c>
      <c r="H975" s="202"/>
      <c r="L975" s="137"/>
    </row>
    <row r="976" spans="1:9" ht="15">
      <c r="A976" s="52"/>
      <c r="B976" s="52"/>
      <c r="C976" s="52"/>
      <c r="D976" s="52"/>
      <c r="E976" s="52"/>
      <c r="F976" s="52"/>
      <c r="G976" s="52"/>
      <c r="I976" s="135"/>
    </row>
    <row r="977" spans="1:7" ht="18.75">
      <c r="A977" s="52"/>
      <c r="B977" s="52"/>
      <c r="C977" s="53"/>
      <c r="D977" s="53"/>
      <c r="E977" s="53"/>
      <c r="F977" s="123" t="s">
        <v>630</v>
      </c>
      <c r="G977" s="54">
        <f>G975-G978</f>
        <v>460911.0899999999</v>
      </c>
    </row>
    <row r="978" spans="1:9" ht="18.75">
      <c r="A978" s="52"/>
      <c r="B978" s="52"/>
      <c r="C978" s="53"/>
      <c r="D978" s="53"/>
      <c r="E978" s="53"/>
      <c r="F978" s="123" t="s">
        <v>631</v>
      </c>
      <c r="G978" s="54">
        <f>G98+G180+G186+G208+G214+G261+G273+G338+G444+G480+G494+G527+G581+G640+G694+G787+G827+G879+G623+G959</f>
        <v>204531.10000000003</v>
      </c>
      <c r="I978" s="139"/>
    </row>
    <row r="979" spans="1:7" ht="15.75">
      <c r="A979" s="52"/>
      <c r="B979" s="52"/>
      <c r="C979" s="53"/>
      <c r="D979" s="55"/>
      <c r="E979" s="55"/>
      <c r="F979" s="55"/>
      <c r="G979" s="124"/>
    </row>
    <row r="980" spans="1:7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6"/>
      <c r="I981" s="140" t="e">
        <f>'прил.№3 Рд,пр'!D10</f>
        <v>#REF!</v>
      </c>
      <c r="L981" s="126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6"/>
      <c r="I982" s="140">
        <v>0</v>
      </c>
      <c r="L982" s="126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7209.400000000001</v>
      </c>
      <c r="H983" s="126"/>
      <c r="I983" s="140" t="e">
        <f>'прил.№3 Рд,пр'!D19</f>
        <v>#REF!</v>
      </c>
      <c r="L983" s="126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6"/>
      <c r="I984" s="140" t="e">
        <f>'прил.№3 Рд,пр'!D21</f>
        <v>#REF!</v>
      </c>
      <c r="L984" s="126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6"/>
      <c r="I985" s="140" t="e">
        <f>'прил.№3 Рд,пр'!D26</f>
        <v>#REF!</v>
      </c>
      <c r="L985" s="126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6"/>
      <c r="I986" s="140" t="e">
        <f>'прил.№3 Рд,пр'!D31</f>
        <v>#REF!</v>
      </c>
      <c r="L986" s="126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6"/>
      <c r="I987" s="140" t="e">
        <f>'прил.№3 Рд,пр'!D37</f>
        <v>#REF!</v>
      </c>
      <c r="L987" s="126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6"/>
      <c r="I988" s="140" t="e">
        <f>'прил.№3 Рд,пр'!D40</f>
        <v>#REF!</v>
      </c>
      <c r="L988" s="126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34702.7</v>
      </c>
      <c r="H989" s="126"/>
      <c r="I989" s="140" t="e">
        <f>'прил.№3 Рд,пр'!D45</f>
        <v>#REF!</v>
      </c>
      <c r="L989" s="126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6"/>
      <c r="I990" s="140" t="e">
        <f>'прил.№3 Рд,пр'!D48</f>
        <v>#REF!</v>
      </c>
      <c r="L990" s="126"/>
    </row>
    <row r="991" spans="1:12" ht="15.75">
      <c r="A991" s="52"/>
      <c r="B991" s="52"/>
      <c r="C991" s="57"/>
      <c r="D991" s="55"/>
      <c r="E991" s="55"/>
      <c r="F991" s="55"/>
      <c r="G991" s="125">
        <f>SUM(G981:G990)</f>
        <v>665442.1900000002</v>
      </c>
      <c r="H991" s="126"/>
      <c r="I991" s="140" t="e">
        <f>'прил.№3 Рд,пр'!D50</f>
        <v>#REF!</v>
      </c>
      <c r="L991" s="126"/>
    </row>
    <row r="992" spans="7:9" ht="15">
      <c r="G992" s="126"/>
      <c r="H992" s="126"/>
      <c r="I992" s="140"/>
    </row>
    <row r="993" spans="4:9" ht="15">
      <c r="D993" s="1" t="s">
        <v>632</v>
      </c>
      <c r="E993" s="1">
        <v>50</v>
      </c>
      <c r="G993" s="126">
        <f>G778</f>
        <v>15124.1</v>
      </c>
      <c r="H993" s="126"/>
      <c r="I993" s="140"/>
    </row>
    <row r="994" spans="5:9" ht="15">
      <c r="E994" s="1">
        <v>51</v>
      </c>
      <c r="G994" s="126">
        <f>G390</f>
        <v>3693</v>
      </c>
      <c r="H994" s="126"/>
      <c r="I994" s="140"/>
    </row>
    <row r="995" spans="5:9" ht="15">
      <c r="E995" s="1">
        <v>52</v>
      </c>
      <c r="G995" s="126">
        <f>G508+G547+G634+G613</f>
        <v>89244.70000000001</v>
      </c>
      <c r="H995" s="126"/>
      <c r="I995" s="140"/>
    </row>
    <row r="996" spans="5:9" ht="15">
      <c r="E996" s="1">
        <v>53</v>
      </c>
      <c r="G996" s="126">
        <f>G57</f>
        <v>250</v>
      </c>
      <c r="H996" s="126"/>
      <c r="I996" s="140"/>
    </row>
    <row r="997" spans="5:9" ht="15">
      <c r="E997" s="1">
        <v>54</v>
      </c>
      <c r="G997" s="126">
        <f>G61+G954</f>
        <v>654</v>
      </c>
      <c r="H997" s="126"/>
      <c r="I997" s="140"/>
    </row>
    <row r="998" spans="5:9" ht="15">
      <c r="E998" s="1">
        <v>55</v>
      </c>
      <c r="G998" s="126">
        <f>G203</f>
        <v>10</v>
      </c>
      <c r="H998" s="126"/>
      <c r="I998" s="140"/>
    </row>
    <row r="999" spans="5:9" ht="15">
      <c r="E999" s="1">
        <v>56</v>
      </c>
      <c r="G999" s="126">
        <f>G73</f>
        <v>80</v>
      </c>
      <c r="H999" s="126"/>
      <c r="I999" s="140"/>
    </row>
    <row r="1000" spans="5:9" ht="15">
      <c r="E1000" s="1">
        <v>57</v>
      </c>
      <c r="G1000" s="126">
        <f>G726+G706+G676</f>
        <v>36478.9</v>
      </c>
      <c r="H1000" s="126"/>
      <c r="I1000" s="140"/>
    </row>
    <row r="1001" spans="5:9" ht="15">
      <c r="E1001" s="1">
        <v>58</v>
      </c>
      <c r="G1001" s="126">
        <f>G279+G237</f>
        <v>58528.700000000004</v>
      </c>
      <c r="H1001" s="126"/>
      <c r="I1001" s="140"/>
    </row>
    <row r="1002" spans="5:9" ht="15">
      <c r="E1002" s="1">
        <v>59</v>
      </c>
      <c r="G1002" s="126">
        <f>G333</f>
        <v>200</v>
      </c>
      <c r="H1002" s="126"/>
      <c r="I1002" s="140"/>
    </row>
    <row r="1003" spans="5:9" ht="15">
      <c r="E1003" s="1">
        <v>60</v>
      </c>
      <c r="G1003" s="126">
        <f>G848</f>
        <v>12375.499999999998</v>
      </c>
      <c r="H1003" s="126"/>
      <c r="I1003" s="140"/>
    </row>
    <row r="1004" spans="5:9" ht="15">
      <c r="E1004" s="1">
        <v>61</v>
      </c>
      <c r="G1004" s="126">
        <f>G86</f>
        <v>120</v>
      </c>
      <c r="H1004" s="126"/>
      <c r="I1004" s="140"/>
    </row>
    <row r="1005" spans="5:9" ht="15">
      <c r="E1005" s="1">
        <v>62</v>
      </c>
      <c r="G1005" s="126">
        <f>G801</f>
        <v>5567.900000000001</v>
      </c>
      <c r="H1005" s="126"/>
      <c r="I1005" s="140"/>
    </row>
    <row r="1006" spans="5:9" ht="15">
      <c r="E1006" s="1">
        <v>63</v>
      </c>
      <c r="G1006" s="126">
        <f>G359+G646</f>
        <v>145</v>
      </c>
      <c r="H1006" s="126"/>
      <c r="I1006" s="140"/>
    </row>
    <row r="1007" spans="5:9" ht="15">
      <c r="E1007" s="1">
        <v>64</v>
      </c>
      <c r="G1007" s="126">
        <f>G90+G369</f>
        <v>34</v>
      </c>
      <c r="H1007" s="126"/>
      <c r="I1007" s="140"/>
    </row>
    <row r="1008" spans="5:9" ht="15">
      <c r="E1008" s="1">
        <v>65</v>
      </c>
      <c r="G1008" s="126">
        <f>G874</f>
        <v>600</v>
      </c>
      <c r="H1008" s="126"/>
      <c r="I1008" s="140"/>
    </row>
    <row r="1009" spans="7:9" ht="15">
      <c r="G1009" s="126">
        <f>SUM(G993:G1008)</f>
        <v>223105.80000000002</v>
      </c>
      <c r="H1009" s="126"/>
      <c r="I1009" s="140"/>
    </row>
    <row r="1010" spans="7:9" ht="15">
      <c r="G1010" s="126"/>
      <c r="H1010" s="126"/>
      <c r="I1010" s="140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2"/>
  <sheetViews>
    <sheetView workbookViewId="0" topLeftCell="A1">
      <selection activeCell="B6" sqref="B6"/>
    </sheetView>
  </sheetViews>
  <sheetFormatPr defaultColWidth="9.140625" defaultRowHeight="15"/>
  <cols>
    <col min="1" max="1" width="56.281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6" max="6" width="9.140625" style="1" customWidth="1"/>
    <col min="7" max="7" width="10.8515625" style="1" hidden="1" customWidth="1"/>
    <col min="8" max="8" width="11.28125" style="0" hidden="1" customWidth="1"/>
    <col min="9" max="9" width="11.57421875" style="128" hidden="1" customWidth="1"/>
    <col min="10" max="10" width="10.00390625" style="0" hidden="1" customWidth="1"/>
    <col min="11" max="11" width="10.140625" style="0" hidden="1" customWidth="1"/>
    <col min="12" max="12" width="15.8515625" style="286" customWidth="1"/>
    <col min="13" max="13" width="13.140625" style="286" hidden="1" customWidth="1"/>
    <col min="14" max="15" width="9.140625" style="0" hidden="1" customWidth="1"/>
  </cols>
  <sheetData>
    <row r="1" spans="4:12" ht="15.75">
      <c r="D1" s="1"/>
      <c r="F1" s="432" t="s">
        <v>676</v>
      </c>
      <c r="G1" s="432"/>
      <c r="H1" s="432"/>
      <c r="I1" s="432"/>
      <c r="J1" s="432"/>
      <c r="K1" s="432"/>
      <c r="L1" s="432"/>
    </row>
    <row r="2" spans="4:12" ht="15.75">
      <c r="D2" s="1"/>
      <c r="F2" s="432" t="s">
        <v>633</v>
      </c>
      <c r="G2" s="432"/>
      <c r="H2" s="432"/>
      <c r="I2" s="432"/>
      <c r="J2" s="432"/>
      <c r="K2" s="432"/>
      <c r="L2" s="432"/>
    </row>
    <row r="3" spans="4:12" ht="18.75" customHeight="1">
      <c r="D3" s="1"/>
      <c r="E3" s="1"/>
      <c r="F3" s="433" t="s">
        <v>1248</v>
      </c>
      <c r="G3" s="433"/>
      <c r="H3" s="433"/>
      <c r="I3" s="433"/>
      <c r="J3" s="433"/>
      <c r="K3" s="433"/>
      <c r="L3" s="433"/>
    </row>
    <row r="4" spans="1:13" s="285" customFormat="1" ht="18.75" customHeight="1">
      <c r="A4" s="286"/>
      <c r="B4" s="286"/>
      <c r="C4" s="286"/>
      <c r="D4" s="286"/>
      <c r="E4" s="286"/>
      <c r="F4" s="434"/>
      <c r="G4" s="434"/>
      <c r="H4" s="434"/>
      <c r="I4" s="434"/>
      <c r="J4" s="434"/>
      <c r="K4" s="434"/>
      <c r="L4" s="434"/>
      <c r="M4" s="286"/>
    </row>
    <row r="5" spans="1:12" ht="38.25" customHeight="1">
      <c r="A5" s="420" t="s">
        <v>1006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</row>
    <row r="6" spans="1:7" ht="16.5">
      <c r="A6" s="258"/>
      <c r="B6" s="144"/>
      <c r="C6" s="144"/>
      <c r="D6" s="73"/>
      <c r="E6" s="73"/>
      <c r="F6" s="258"/>
      <c r="G6" s="142"/>
    </row>
    <row r="7" spans="1:12" ht="15.75">
      <c r="A7" s="71"/>
      <c r="B7" s="71"/>
      <c r="C7" s="71"/>
      <c r="D7" s="71"/>
      <c r="E7" s="74"/>
      <c r="F7" s="74"/>
      <c r="G7" s="75" t="s">
        <v>3</v>
      </c>
      <c r="L7" s="241" t="s">
        <v>3</v>
      </c>
    </row>
    <row r="8" spans="1:12" ht="60">
      <c r="A8" s="76" t="s">
        <v>634</v>
      </c>
      <c r="B8" s="76" t="s">
        <v>677</v>
      </c>
      <c r="C8" s="76" t="s">
        <v>678</v>
      </c>
      <c r="D8" s="76" t="s">
        <v>679</v>
      </c>
      <c r="E8" s="76" t="s">
        <v>680</v>
      </c>
      <c r="F8" s="76" t="s">
        <v>681</v>
      </c>
      <c r="G8" s="6" t="s">
        <v>6</v>
      </c>
      <c r="H8" s="205" t="s">
        <v>841</v>
      </c>
      <c r="I8" s="206" t="s">
        <v>852</v>
      </c>
      <c r="J8" s="206" t="s">
        <v>853</v>
      </c>
      <c r="K8" s="206" t="s">
        <v>854</v>
      </c>
      <c r="L8" s="205" t="s">
        <v>998</v>
      </c>
    </row>
    <row r="9" spans="1:12" ht="15.75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7</v>
      </c>
    </row>
    <row r="10" spans="1:12" ht="47.25">
      <c r="A10" s="63" t="s">
        <v>958</v>
      </c>
      <c r="B10" s="8" t="s">
        <v>552</v>
      </c>
      <c r="C10" s="8"/>
      <c r="D10" s="8"/>
      <c r="E10" s="8"/>
      <c r="F10" s="8"/>
      <c r="G10" s="4" t="e">
        <f aca="true" t="shared" si="0" ref="G10:L10">G13</f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 t="e">
        <f t="shared" si="0"/>
        <v>#REF!</v>
      </c>
      <c r="L10" s="4">
        <f t="shared" si="0"/>
        <v>4766.599999999999</v>
      </c>
    </row>
    <row r="11" spans="1:12" ht="15.75">
      <c r="A11" s="31" t="s">
        <v>273</v>
      </c>
      <c r="B11" s="42" t="s">
        <v>552</v>
      </c>
      <c r="C11" s="42" t="s">
        <v>191</v>
      </c>
      <c r="D11" s="42"/>
      <c r="E11" s="42"/>
      <c r="F11" s="42"/>
      <c r="G11" s="7" t="e">
        <f>G12</f>
        <v>#REF!</v>
      </c>
      <c r="H11" s="7" t="e">
        <f aca="true" t="shared" si="1" ref="H11:L12">H12</f>
        <v>#REF!</v>
      </c>
      <c r="I11" s="7" t="e">
        <f t="shared" si="1"/>
        <v>#REF!</v>
      </c>
      <c r="J11" s="7" t="e">
        <f t="shared" si="1"/>
        <v>#REF!</v>
      </c>
      <c r="K11" s="7" t="e">
        <f t="shared" si="1"/>
        <v>#REF!</v>
      </c>
      <c r="L11" s="7">
        <f t="shared" si="1"/>
        <v>4766.599999999999</v>
      </c>
    </row>
    <row r="12" spans="1:12" ht="15.75">
      <c r="A12" s="31" t="s">
        <v>550</v>
      </c>
      <c r="B12" s="42" t="s">
        <v>552</v>
      </c>
      <c r="C12" s="42" t="s">
        <v>191</v>
      </c>
      <c r="D12" s="42" t="s">
        <v>260</v>
      </c>
      <c r="E12" s="42"/>
      <c r="F12" s="42"/>
      <c r="G12" s="7" t="e">
        <f>G13</f>
        <v>#REF!</v>
      </c>
      <c r="H12" s="7" t="e">
        <f t="shared" si="1"/>
        <v>#REF!</v>
      </c>
      <c r="I12" s="7" t="e">
        <f t="shared" si="1"/>
        <v>#REF!</v>
      </c>
      <c r="J12" s="7" t="e">
        <f t="shared" si="1"/>
        <v>#REF!</v>
      </c>
      <c r="K12" s="7" t="e">
        <f t="shared" si="1"/>
        <v>#REF!</v>
      </c>
      <c r="L12" s="7">
        <f t="shared" si="1"/>
        <v>4766.599999999999</v>
      </c>
    </row>
    <row r="13" spans="1:12" ht="15.75">
      <c r="A13" s="31" t="s">
        <v>553</v>
      </c>
      <c r="B13" s="42" t="s">
        <v>554</v>
      </c>
      <c r="C13" s="42" t="s">
        <v>191</v>
      </c>
      <c r="D13" s="42" t="s">
        <v>260</v>
      </c>
      <c r="E13" s="42"/>
      <c r="F13" s="42"/>
      <c r="G13" s="7" t="e">
        <f aca="true" t="shared" si="2" ref="G13:L13">G14+G16</f>
        <v>#REF!</v>
      </c>
      <c r="H13" s="7" t="e">
        <f t="shared" si="2"/>
        <v>#REF!</v>
      </c>
      <c r="I13" s="7" t="e">
        <f t="shared" si="2"/>
        <v>#REF!</v>
      </c>
      <c r="J13" s="7" t="e">
        <f t="shared" si="2"/>
        <v>#REF!</v>
      </c>
      <c r="K13" s="7" t="e">
        <f t="shared" si="2"/>
        <v>#REF!</v>
      </c>
      <c r="L13" s="7">
        <f t="shared" si="2"/>
        <v>4766.599999999999</v>
      </c>
    </row>
    <row r="14" spans="1:12" ht="31.5">
      <c r="A14" s="31" t="s">
        <v>172</v>
      </c>
      <c r="B14" s="42" t="s">
        <v>554</v>
      </c>
      <c r="C14" s="42" t="s">
        <v>191</v>
      </c>
      <c r="D14" s="42" t="s">
        <v>260</v>
      </c>
      <c r="E14" s="42" t="s">
        <v>173</v>
      </c>
      <c r="F14" s="42"/>
      <c r="G14" s="7" t="e">
        <f aca="true" t="shared" si="3" ref="G14:L14">G15</f>
        <v>#REF!</v>
      </c>
      <c r="H14" s="7" t="e">
        <f t="shared" si="3"/>
        <v>#REF!</v>
      </c>
      <c r="I14" s="7" t="e">
        <f t="shared" si="3"/>
        <v>#REF!</v>
      </c>
      <c r="J14" s="7" t="e">
        <f t="shared" si="3"/>
        <v>#REF!</v>
      </c>
      <c r="K14" s="7" t="e">
        <f t="shared" si="3"/>
        <v>#REF!</v>
      </c>
      <c r="L14" s="7">
        <f t="shared" si="3"/>
        <v>4740.499999999999</v>
      </c>
    </row>
    <row r="15" spans="1:12" ht="31.5">
      <c r="A15" s="31" t="s">
        <v>174</v>
      </c>
      <c r="B15" s="42" t="s">
        <v>554</v>
      </c>
      <c r="C15" s="42" t="s">
        <v>191</v>
      </c>
      <c r="D15" s="42" t="s">
        <v>260</v>
      </c>
      <c r="E15" s="42" t="s">
        <v>175</v>
      </c>
      <c r="F15" s="42"/>
      <c r="G15" s="7" t="e">
        <f>#REF!</f>
        <v>#REF!</v>
      </c>
      <c r="H15" s="7" t="e">
        <f>#REF!</f>
        <v>#REF!</v>
      </c>
      <c r="I15" s="7" t="e">
        <f>#REF!</f>
        <v>#REF!</v>
      </c>
      <c r="J15" s="7" t="e">
        <f>#REF!</f>
        <v>#REF!</v>
      </c>
      <c r="K15" s="7" t="e">
        <f>#REF!</f>
        <v>#REF!</v>
      </c>
      <c r="L15" s="7">
        <f>'Прил.№5 ведомств.'!G1053</f>
        <v>4740.499999999999</v>
      </c>
    </row>
    <row r="16" spans="1:12" ht="15.75">
      <c r="A16" s="26" t="s">
        <v>176</v>
      </c>
      <c r="B16" s="42" t="s">
        <v>554</v>
      </c>
      <c r="C16" s="42" t="s">
        <v>191</v>
      </c>
      <c r="D16" s="42" t="s">
        <v>260</v>
      </c>
      <c r="E16" s="42" t="s">
        <v>186</v>
      </c>
      <c r="F16" s="42"/>
      <c r="G16" s="7" t="e">
        <f aca="true" t="shared" si="4" ref="G16:L16">G17</f>
        <v>#REF!</v>
      </c>
      <c r="H16" s="7" t="e">
        <f t="shared" si="4"/>
        <v>#REF!</v>
      </c>
      <c r="I16" s="7" t="e">
        <f t="shared" si="4"/>
        <v>#REF!</v>
      </c>
      <c r="J16" s="7" t="e">
        <f t="shared" si="4"/>
        <v>#REF!</v>
      </c>
      <c r="K16" s="7" t="e">
        <f t="shared" si="4"/>
        <v>#REF!</v>
      </c>
      <c r="L16" s="7">
        <f t="shared" si="4"/>
        <v>26.1</v>
      </c>
    </row>
    <row r="17" spans="1:12" ht="15.75">
      <c r="A17" s="26" t="s">
        <v>178</v>
      </c>
      <c r="B17" s="42" t="s">
        <v>554</v>
      </c>
      <c r="C17" s="42" t="s">
        <v>191</v>
      </c>
      <c r="D17" s="42" t="s">
        <v>260</v>
      </c>
      <c r="E17" s="42" t="s">
        <v>179</v>
      </c>
      <c r="F17" s="42"/>
      <c r="G17" s="7" t="e">
        <f>#REF!</f>
        <v>#REF!</v>
      </c>
      <c r="H17" s="7" t="e">
        <f>#REF!</f>
        <v>#REF!</v>
      </c>
      <c r="I17" s="7" t="e">
        <f>#REF!</f>
        <v>#REF!</v>
      </c>
      <c r="J17" s="7" t="e">
        <f>#REF!</f>
        <v>#REF!</v>
      </c>
      <c r="K17" s="7" t="e">
        <f>#REF!</f>
        <v>#REF!</v>
      </c>
      <c r="L17" s="7">
        <f>'Прил.№5 ведомств.'!G1055</f>
        <v>26.1</v>
      </c>
    </row>
    <row r="18" spans="1:12" ht="31.5">
      <c r="A18" s="47" t="s">
        <v>683</v>
      </c>
      <c r="B18" s="42" t="s">
        <v>552</v>
      </c>
      <c r="C18" s="42"/>
      <c r="D18" s="42"/>
      <c r="E18" s="42"/>
      <c r="F18" s="42" t="s">
        <v>684</v>
      </c>
      <c r="G18" s="7" t="e">
        <f aca="true" t="shared" si="5" ref="G18:L18">G13</f>
        <v>#REF!</v>
      </c>
      <c r="H18" s="7" t="e">
        <f t="shared" si="5"/>
        <v>#REF!</v>
      </c>
      <c r="I18" s="7" t="e">
        <f t="shared" si="5"/>
        <v>#REF!</v>
      </c>
      <c r="J18" s="7" t="e">
        <f t="shared" si="5"/>
        <v>#REF!</v>
      </c>
      <c r="K18" s="7" t="e">
        <f t="shared" si="5"/>
        <v>#REF!</v>
      </c>
      <c r="L18" s="7">
        <f t="shared" si="5"/>
        <v>4766.599999999999</v>
      </c>
    </row>
    <row r="19" spans="1:12" ht="47.25">
      <c r="A19" s="63" t="s">
        <v>384</v>
      </c>
      <c r="B19" s="8" t="s">
        <v>385</v>
      </c>
      <c r="C19" s="8"/>
      <c r="D19" s="8"/>
      <c r="E19" s="8"/>
      <c r="F19" s="8"/>
      <c r="G19" s="66" t="e">
        <f aca="true" t="shared" si="6" ref="G19:L19">G20+G35+G42+G49+G58+G65+G72+G98</f>
        <v>#REF!</v>
      </c>
      <c r="H19" s="66" t="e">
        <f t="shared" si="6"/>
        <v>#REF!</v>
      </c>
      <c r="I19" s="66" t="e">
        <f t="shared" si="6"/>
        <v>#REF!</v>
      </c>
      <c r="J19" s="66" t="e">
        <f t="shared" si="6"/>
        <v>#REF!</v>
      </c>
      <c r="K19" s="66" t="e">
        <f t="shared" si="6"/>
        <v>#REF!</v>
      </c>
      <c r="L19" s="66">
        <f t="shared" si="6"/>
        <v>3907</v>
      </c>
    </row>
    <row r="20" spans="1:12" ht="31.5">
      <c r="A20" s="63" t="s">
        <v>685</v>
      </c>
      <c r="B20" s="8" t="s">
        <v>387</v>
      </c>
      <c r="C20" s="8"/>
      <c r="D20" s="8"/>
      <c r="E20" s="8"/>
      <c r="F20" s="8"/>
      <c r="G20" s="66" t="e">
        <f>G21</f>
        <v>#REF!</v>
      </c>
      <c r="H20" s="66" t="e">
        <f aca="true" t="shared" si="7" ref="H20:L21">H21</f>
        <v>#REF!</v>
      </c>
      <c r="I20" s="66" t="e">
        <f t="shared" si="7"/>
        <v>#REF!</v>
      </c>
      <c r="J20" s="66" t="e">
        <f t="shared" si="7"/>
        <v>#REF!</v>
      </c>
      <c r="K20" s="66" t="e">
        <f t="shared" si="7"/>
        <v>#REF!</v>
      </c>
      <c r="L20" s="66">
        <f t="shared" si="7"/>
        <v>900</v>
      </c>
    </row>
    <row r="21" spans="1:12" ht="15.75">
      <c r="A21" s="47" t="s">
        <v>304</v>
      </c>
      <c r="B21" s="42" t="s">
        <v>387</v>
      </c>
      <c r="C21" s="42" t="s">
        <v>305</v>
      </c>
      <c r="D21" s="42"/>
      <c r="E21" s="42"/>
      <c r="F21" s="42"/>
      <c r="G21" s="11" t="e">
        <f>G22</f>
        <v>#REF!</v>
      </c>
      <c r="H21" s="11" t="e">
        <f t="shared" si="7"/>
        <v>#REF!</v>
      </c>
      <c r="I21" s="11" t="e">
        <f t="shared" si="7"/>
        <v>#REF!</v>
      </c>
      <c r="J21" s="11" t="e">
        <f t="shared" si="7"/>
        <v>#REF!</v>
      </c>
      <c r="K21" s="11" t="e">
        <f t="shared" si="7"/>
        <v>#REF!</v>
      </c>
      <c r="L21" s="11">
        <f t="shared" si="7"/>
        <v>900</v>
      </c>
    </row>
    <row r="22" spans="1:12" ht="15.75">
      <c r="A22" s="47" t="s">
        <v>508</v>
      </c>
      <c r="B22" s="42" t="s">
        <v>387</v>
      </c>
      <c r="C22" s="42" t="s">
        <v>305</v>
      </c>
      <c r="D22" s="42" t="s">
        <v>305</v>
      </c>
      <c r="E22" s="42"/>
      <c r="F22" s="42"/>
      <c r="G22" s="11" t="e">
        <f aca="true" t="shared" si="8" ref="G22:L22">G23+G31</f>
        <v>#REF!</v>
      </c>
      <c r="H22" s="11" t="e">
        <f t="shared" si="8"/>
        <v>#REF!</v>
      </c>
      <c r="I22" s="11" t="e">
        <f t="shared" si="8"/>
        <v>#REF!</v>
      </c>
      <c r="J22" s="11" t="e">
        <f t="shared" si="8"/>
        <v>#REF!</v>
      </c>
      <c r="K22" s="11" t="e">
        <f t="shared" si="8"/>
        <v>#REF!</v>
      </c>
      <c r="L22" s="11">
        <f t="shared" si="8"/>
        <v>900</v>
      </c>
    </row>
    <row r="23" spans="1:12" ht="31.5">
      <c r="A23" s="31" t="s">
        <v>198</v>
      </c>
      <c r="B23" s="21" t="s">
        <v>388</v>
      </c>
      <c r="C23" s="42" t="s">
        <v>305</v>
      </c>
      <c r="D23" s="42" t="s">
        <v>305</v>
      </c>
      <c r="E23" s="42"/>
      <c r="F23" s="42"/>
      <c r="G23" s="11" t="e">
        <f>G26+G29</f>
        <v>#REF!</v>
      </c>
      <c r="H23" s="11" t="e">
        <f>H26+H29</f>
        <v>#REF!</v>
      </c>
      <c r="I23" s="11" t="e">
        <f>I26+I29</f>
        <v>#REF!</v>
      </c>
      <c r="J23" s="11" t="e">
        <f>J26+J29</f>
        <v>#REF!</v>
      </c>
      <c r="K23" s="11" t="e">
        <f>K26+K29</f>
        <v>#REF!</v>
      </c>
      <c r="L23" s="11">
        <f>L26+L29+L24</f>
        <v>601.4</v>
      </c>
    </row>
    <row r="24" spans="1:12" ht="78.75">
      <c r="A24" s="26" t="s">
        <v>168</v>
      </c>
      <c r="B24" s="21" t="s">
        <v>388</v>
      </c>
      <c r="C24" s="42" t="s">
        <v>305</v>
      </c>
      <c r="D24" s="42" t="s">
        <v>305</v>
      </c>
      <c r="E24" s="42" t="s">
        <v>169</v>
      </c>
      <c r="F24" s="42"/>
      <c r="G24" s="11">
        <f aca="true" t="shared" si="9" ref="G24:L24">G25</f>
        <v>0</v>
      </c>
      <c r="H24" s="11">
        <f t="shared" si="9"/>
        <v>0</v>
      </c>
      <c r="I24" s="11">
        <f t="shared" si="9"/>
        <v>0</v>
      </c>
      <c r="J24" s="11">
        <f t="shared" si="9"/>
        <v>0</v>
      </c>
      <c r="K24" s="11">
        <f t="shared" si="9"/>
        <v>0</v>
      </c>
      <c r="L24" s="11">
        <f t="shared" si="9"/>
        <v>40</v>
      </c>
    </row>
    <row r="25" spans="1:12" ht="15.75">
      <c r="A25" s="26" t="s">
        <v>383</v>
      </c>
      <c r="B25" s="21" t="s">
        <v>388</v>
      </c>
      <c r="C25" s="42" t="s">
        <v>305</v>
      </c>
      <c r="D25" s="42" t="s">
        <v>305</v>
      </c>
      <c r="E25" s="42" t="s">
        <v>250</v>
      </c>
      <c r="F25" s="42"/>
      <c r="G25" s="11"/>
      <c r="H25" s="11"/>
      <c r="I25" s="11"/>
      <c r="J25" s="11"/>
      <c r="K25" s="11"/>
      <c r="L25" s="11">
        <f>'Прил.№5 ведомств.'!G371</f>
        <v>40</v>
      </c>
    </row>
    <row r="26" spans="1:12" ht="31.5">
      <c r="A26" s="31" t="s">
        <v>172</v>
      </c>
      <c r="B26" s="21" t="s">
        <v>388</v>
      </c>
      <c r="C26" s="42" t="s">
        <v>305</v>
      </c>
      <c r="D26" s="42" t="s">
        <v>305</v>
      </c>
      <c r="E26" s="42" t="s">
        <v>173</v>
      </c>
      <c r="F26" s="42"/>
      <c r="G26" s="11" t="e">
        <f aca="true" t="shared" si="10" ref="G26:L26">G27</f>
        <v>#REF!</v>
      </c>
      <c r="H26" s="11" t="e">
        <f t="shared" si="10"/>
        <v>#REF!</v>
      </c>
      <c r="I26" s="11" t="e">
        <f t="shared" si="10"/>
        <v>#REF!</v>
      </c>
      <c r="J26" s="11" t="e">
        <f t="shared" si="10"/>
        <v>#REF!</v>
      </c>
      <c r="K26" s="11" t="e">
        <f t="shared" si="10"/>
        <v>#REF!</v>
      </c>
      <c r="L26" s="11">
        <f t="shared" si="10"/>
        <v>536.4</v>
      </c>
    </row>
    <row r="27" spans="1:12" ht="31.5">
      <c r="A27" s="31" t="s">
        <v>174</v>
      </c>
      <c r="B27" s="21" t="s">
        <v>388</v>
      </c>
      <c r="C27" s="42" t="s">
        <v>305</v>
      </c>
      <c r="D27" s="42" t="s">
        <v>305</v>
      </c>
      <c r="E27" s="42" t="s">
        <v>175</v>
      </c>
      <c r="F27" s="42"/>
      <c r="G27" s="7" t="e">
        <f>#REF!</f>
        <v>#REF!</v>
      </c>
      <c r="H27" s="7" t="e">
        <f>#REF!</f>
        <v>#REF!</v>
      </c>
      <c r="I27" s="7" t="e">
        <f>#REF!</f>
        <v>#REF!</v>
      </c>
      <c r="J27" s="7" t="e">
        <f>#REF!</f>
        <v>#REF!</v>
      </c>
      <c r="K27" s="7" t="e">
        <f>#REF!</f>
        <v>#REF!</v>
      </c>
      <c r="L27" s="7">
        <f>'Прил.№5 ведомств.'!G373</f>
        <v>536.4</v>
      </c>
    </row>
    <row r="28" spans="1:12" ht="15.75" customHeight="1" hidden="1">
      <c r="A28" s="31"/>
      <c r="B28" s="42"/>
      <c r="C28" s="42"/>
      <c r="D28" s="42" t="s">
        <v>305</v>
      </c>
      <c r="E28" s="42"/>
      <c r="F28" s="42"/>
      <c r="G28" s="7"/>
      <c r="H28" s="7"/>
      <c r="I28" s="7"/>
      <c r="J28" s="7"/>
      <c r="K28" s="7"/>
      <c r="L28" s="7"/>
    </row>
    <row r="29" spans="1:12" ht="15.75">
      <c r="A29" s="26" t="s">
        <v>289</v>
      </c>
      <c r="B29" s="21" t="s">
        <v>388</v>
      </c>
      <c r="C29" s="42" t="s">
        <v>305</v>
      </c>
      <c r="D29" s="42" t="s">
        <v>305</v>
      </c>
      <c r="E29" s="21" t="s">
        <v>290</v>
      </c>
      <c r="F29" s="42"/>
      <c r="G29" s="7" t="e">
        <f aca="true" t="shared" si="11" ref="G29:L29">G30</f>
        <v>#REF!</v>
      </c>
      <c r="H29" s="7" t="e">
        <f t="shared" si="11"/>
        <v>#REF!</v>
      </c>
      <c r="I29" s="7" t="e">
        <f t="shared" si="11"/>
        <v>#REF!</v>
      </c>
      <c r="J29" s="7" t="e">
        <f t="shared" si="11"/>
        <v>#REF!</v>
      </c>
      <c r="K29" s="7" t="e">
        <f t="shared" si="11"/>
        <v>#REF!</v>
      </c>
      <c r="L29" s="7">
        <f t="shared" si="11"/>
        <v>25</v>
      </c>
    </row>
    <row r="30" spans="1:12" ht="31.5">
      <c r="A30" s="26" t="s">
        <v>389</v>
      </c>
      <c r="B30" s="21" t="s">
        <v>388</v>
      </c>
      <c r="C30" s="42" t="s">
        <v>305</v>
      </c>
      <c r="D30" s="42" t="s">
        <v>305</v>
      </c>
      <c r="E30" s="21" t="s">
        <v>390</v>
      </c>
      <c r="F30" s="42"/>
      <c r="G30" s="7" t="e">
        <f>#REF!</f>
        <v>#REF!</v>
      </c>
      <c r="H30" s="7" t="e">
        <f>#REF!</f>
        <v>#REF!</v>
      </c>
      <c r="I30" s="7" t="e">
        <f>#REF!</f>
        <v>#REF!</v>
      </c>
      <c r="J30" s="7" t="e">
        <f>#REF!</f>
        <v>#REF!</v>
      </c>
      <c r="K30" s="7" t="e">
        <f>#REF!</f>
        <v>#REF!</v>
      </c>
      <c r="L30" s="7">
        <f>'Прил.№5 ведомств.'!G375</f>
        <v>25</v>
      </c>
    </row>
    <row r="31" spans="1:12" ht="31.5">
      <c r="A31" s="120" t="s">
        <v>1052</v>
      </c>
      <c r="B31" s="21" t="s">
        <v>1051</v>
      </c>
      <c r="C31" s="42" t="s">
        <v>305</v>
      </c>
      <c r="D31" s="42" t="s">
        <v>305</v>
      </c>
      <c r="E31" s="42"/>
      <c r="F31" s="42"/>
      <c r="G31" s="11" t="e">
        <f>G32</f>
        <v>#REF!</v>
      </c>
      <c r="H31" s="11" t="e">
        <f aca="true" t="shared" si="12" ref="H31:L32">H32</f>
        <v>#REF!</v>
      </c>
      <c r="I31" s="11" t="e">
        <f t="shared" si="12"/>
        <v>#REF!</v>
      </c>
      <c r="J31" s="11" t="e">
        <f t="shared" si="12"/>
        <v>#REF!</v>
      </c>
      <c r="K31" s="11" t="e">
        <f t="shared" si="12"/>
        <v>#REF!</v>
      </c>
      <c r="L31" s="11">
        <f t="shared" si="12"/>
        <v>298.6</v>
      </c>
    </row>
    <row r="32" spans="1:12" ht="78.75">
      <c r="A32" s="26" t="s">
        <v>168</v>
      </c>
      <c r="B32" s="21" t="s">
        <v>1051</v>
      </c>
      <c r="C32" s="42" t="s">
        <v>305</v>
      </c>
      <c r="D32" s="42" t="s">
        <v>305</v>
      </c>
      <c r="E32" s="42" t="s">
        <v>169</v>
      </c>
      <c r="F32" s="42"/>
      <c r="G32" s="11" t="e">
        <f>G33</f>
        <v>#REF!</v>
      </c>
      <c r="H32" s="11" t="e">
        <f t="shared" si="12"/>
        <v>#REF!</v>
      </c>
      <c r="I32" s="11" t="e">
        <f t="shared" si="12"/>
        <v>#REF!</v>
      </c>
      <c r="J32" s="11" t="e">
        <f t="shared" si="12"/>
        <v>#REF!</v>
      </c>
      <c r="K32" s="11" t="e">
        <f t="shared" si="12"/>
        <v>#REF!</v>
      </c>
      <c r="L32" s="11">
        <f t="shared" si="12"/>
        <v>298.6</v>
      </c>
    </row>
    <row r="33" spans="1:12" ht="15.75">
      <c r="A33" s="26" t="s">
        <v>383</v>
      </c>
      <c r="B33" s="21" t="s">
        <v>1051</v>
      </c>
      <c r="C33" s="42" t="s">
        <v>305</v>
      </c>
      <c r="D33" s="42" t="s">
        <v>305</v>
      </c>
      <c r="E33" s="42" t="s">
        <v>250</v>
      </c>
      <c r="F33" s="42"/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>
        <f>'Прил.№5 ведомств.'!G378</f>
        <v>298.6</v>
      </c>
    </row>
    <row r="34" spans="1:12" ht="47.25">
      <c r="A34" s="47" t="s">
        <v>302</v>
      </c>
      <c r="B34" s="21" t="s">
        <v>387</v>
      </c>
      <c r="C34" s="42"/>
      <c r="D34" s="42"/>
      <c r="E34" s="42"/>
      <c r="F34" s="42" t="s">
        <v>687</v>
      </c>
      <c r="G34" s="7" t="e">
        <f aca="true" t="shared" si="13" ref="G34:L34">G20</f>
        <v>#REF!</v>
      </c>
      <c r="H34" s="7" t="e">
        <f t="shared" si="13"/>
        <v>#REF!</v>
      </c>
      <c r="I34" s="7" t="e">
        <f t="shared" si="13"/>
        <v>#REF!</v>
      </c>
      <c r="J34" s="7" t="e">
        <f t="shared" si="13"/>
        <v>#REF!</v>
      </c>
      <c r="K34" s="7" t="e">
        <f t="shared" si="13"/>
        <v>#REF!</v>
      </c>
      <c r="L34" s="7">
        <f t="shared" si="13"/>
        <v>900</v>
      </c>
    </row>
    <row r="35" spans="1:12" ht="31.5">
      <c r="A35" s="63" t="s">
        <v>688</v>
      </c>
      <c r="B35" s="8" t="s">
        <v>394</v>
      </c>
      <c r="C35" s="8"/>
      <c r="D35" s="8"/>
      <c r="E35" s="8"/>
      <c r="F35" s="8"/>
      <c r="G35" s="66" t="e">
        <f>G36</f>
        <v>#REF!</v>
      </c>
      <c r="H35" s="66" t="e">
        <f aca="true" t="shared" si="14" ref="H35:L39">H36</f>
        <v>#REF!</v>
      </c>
      <c r="I35" s="66" t="e">
        <f t="shared" si="14"/>
        <v>#REF!</v>
      </c>
      <c r="J35" s="66" t="e">
        <f t="shared" si="14"/>
        <v>#REF!</v>
      </c>
      <c r="K35" s="66" t="e">
        <f t="shared" si="14"/>
        <v>#REF!</v>
      </c>
      <c r="L35" s="66">
        <f t="shared" si="14"/>
        <v>434.8</v>
      </c>
    </row>
    <row r="36" spans="1:12" ht="15.75">
      <c r="A36" s="47" t="s">
        <v>284</v>
      </c>
      <c r="B36" s="42" t="s">
        <v>394</v>
      </c>
      <c r="C36" s="42" t="s">
        <v>285</v>
      </c>
      <c r="D36" s="42"/>
      <c r="E36" s="42"/>
      <c r="F36" s="42"/>
      <c r="G36" s="11" t="e">
        <f>G37</f>
        <v>#REF!</v>
      </c>
      <c r="H36" s="11" t="e">
        <f t="shared" si="14"/>
        <v>#REF!</v>
      </c>
      <c r="I36" s="11" t="e">
        <f t="shared" si="14"/>
        <v>#REF!</v>
      </c>
      <c r="J36" s="11" t="e">
        <f t="shared" si="14"/>
        <v>#REF!</v>
      </c>
      <c r="K36" s="11" t="e">
        <f t="shared" si="14"/>
        <v>#REF!</v>
      </c>
      <c r="L36" s="11">
        <f t="shared" si="14"/>
        <v>434.8</v>
      </c>
    </row>
    <row r="37" spans="1:12" ht="15.75">
      <c r="A37" s="47" t="s">
        <v>293</v>
      </c>
      <c r="B37" s="42" t="s">
        <v>394</v>
      </c>
      <c r="C37" s="42" t="s">
        <v>285</v>
      </c>
      <c r="D37" s="42" t="s">
        <v>256</v>
      </c>
      <c r="E37" s="42"/>
      <c r="F37" s="42"/>
      <c r="G37" s="11" t="e">
        <f>G38</f>
        <v>#REF!</v>
      </c>
      <c r="H37" s="11" t="e">
        <f t="shared" si="14"/>
        <v>#REF!</v>
      </c>
      <c r="I37" s="11" t="e">
        <f t="shared" si="14"/>
        <v>#REF!</v>
      </c>
      <c r="J37" s="11" t="e">
        <f t="shared" si="14"/>
        <v>#REF!</v>
      </c>
      <c r="K37" s="11" t="e">
        <f t="shared" si="14"/>
        <v>#REF!</v>
      </c>
      <c r="L37" s="11">
        <f t="shared" si="14"/>
        <v>434.8</v>
      </c>
    </row>
    <row r="38" spans="1:12" ht="31.5">
      <c r="A38" s="26" t="s">
        <v>1064</v>
      </c>
      <c r="B38" s="21" t="s">
        <v>995</v>
      </c>
      <c r="C38" s="42" t="s">
        <v>285</v>
      </c>
      <c r="D38" s="42" t="s">
        <v>256</v>
      </c>
      <c r="E38" s="42"/>
      <c r="F38" s="42"/>
      <c r="G38" s="11" t="e">
        <f>G39</f>
        <v>#REF!</v>
      </c>
      <c r="H38" s="11" t="e">
        <f t="shared" si="14"/>
        <v>#REF!</v>
      </c>
      <c r="I38" s="11" t="e">
        <f t="shared" si="14"/>
        <v>#REF!</v>
      </c>
      <c r="J38" s="11" t="e">
        <f t="shared" si="14"/>
        <v>#REF!</v>
      </c>
      <c r="K38" s="11" t="e">
        <f t="shared" si="14"/>
        <v>#REF!</v>
      </c>
      <c r="L38" s="11">
        <f t="shared" si="14"/>
        <v>434.8</v>
      </c>
    </row>
    <row r="39" spans="1:12" ht="15.75">
      <c r="A39" s="31" t="s">
        <v>289</v>
      </c>
      <c r="B39" s="21" t="s">
        <v>995</v>
      </c>
      <c r="C39" s="42" t="s">
        <v>285</v>
      </c>
      <c r="D39" s="42" t="s">
        <v>256</v>
      </c>
      <c r="E39" s="42" t="s">
        <v>290</v>
      </c>
      <c r="F39" s="42"/>
      <c r="G39" s="11" t="e">
        <f>G40</f>
        <v>#REF!</v>
      </c>
      <c r="H39" s="11" t="e">
        <f t="shared" si="14"/>
        <v>#REF!</v>
      </c>
      <c r="I39" s="11" t="e">
        <f t="shared" si="14"/>
        <v>#REF!</v>
      </c>
      <c r="J39" s="11" t="e">
        <f t="shared" si="14"/>
        <v>#REF!</v>
      </c>
      <c r="K39" s="11" t="e">
        <f t="shared" si="14"/>
        <v>#REF!</v>
      </c>
      <c r="L39" s="11">
        <f t="shared" si="14"/>
        <v>434.8</v>
      </c>
    </row>
    <row r="40" spans="1:12" ht="31.5">
      <c r="A40" s="31" t="s">
        <v>291</v>
      </c>
      <c r="B40" s="21" t="s">
        <v>995</v>
      </c>
      <c r="C40" s="42" t="s">
        <v>285</v>
      </c>
      <c r="D40" s="42" t="s">
        <v>256</v>
      </c>
      <c r="E40" s="42" t="s">
        <v>292</v>
      </c>
      <c r="F40" s="42"/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>
        <f>'Прил.№5 ведомств.'!G560</f>
        <v>434.8</v>
      </c>
    </row>
    <row r="41" spans="1:12" ht="47.25">
      <c r="A41" s="47" t="s">
        <v>302</v>
      </c>
      <c r="B41" s="21" t="s">
        <v>394</v>
      </c>
      <c r="C41" s="42"/>
      <c r="D41" s="42"/>
      <c r="E41" s="42"/>
      <c r="F41" s="42" t="s">
        <v>687</v>
      </c>
      <c r="G41" s="11" t="e">
        <f aca="true" t="shared" si="15" ref="G41:L41">G35</f>
        <v>#REF!</v>
      </c>
      <c r="H41" s="11" t="e">
        <f t="shared" si="15"/>
        <v>#REF!</v>
      </c>
      <c r="I41" s="11" t="e">
        <f t="shared" si="15"/>
        <v>#REF!</v>
      </c>
      <c r="J41" s="11" t="e">
        <f t="shared" si="15"/>
        <v>#REF!</v>
      </c>
      <c r="K41" s="11" t="e">
        <f t="shared" si="15"/>
        <v>#REF!</v>
      </c>
      <c r="L41" s="11">
        <f t="shared" si="15"/>
        <v>434.8</v>
      </c>
    </row>
    <row r="42" spans="1:12" ht="31.5">
      <c r="A42" s="63" t="s">
        <v>689</v>
      </c>
      <c r="B42" s="8" t="s">
        <v>397</v>
      </c>
      <c r="C42" s="8"/>
      <c r="D42" s="8"/>
      <c r="E42" s="8"/>
      <c r="F42" s="8"/>
      <c r="G42" s="66" t="e">
        <f>G43</f>
        <v>#REF!</v>
      </c>
      <c r="H42" s="66" t="e">
        <f aca="true" t="shared" si="16" ref="H42:L46">H43</f>
        <v>#REF!</v>
      </c>
      <c r="I42" s="66" t="e">
        <f t="shared" si="16"/>
        <v>#REF!</v>
      </c>
      <c r="J42" s="66" t="e">
        <f t="shared" si="16"/>
        <v>#REF!</v>
      </c>
      <c r="K42" s="66" t="e">
        <f t="shared" si="16"/>
        <v>#REF!</v>
      </c>
      <c r="L42" s="66">
        <f t="shared" si="16"/>
        <v>420</v>
      </c>
    </row>
    <row r="43" spans="1:12" ht="15.75">
      <c r="A43" s="47" t="s">
        <v>284</v>
      </c>
      <c r="B43" s="42" t="s">
        <v>397</v>
      </c>
      <c r="C43" s="42" t="s">
        <v>285</v>
      </c>
      <c r="D43" s="42"/>
      <c r="E43" s="42"/>
      <c r="F43" s="42"/>
      <c r="G43" s="11" t="e">
        <f>G44</f>
        <v>#REF!</v>
      </c>
      <c r="H43" s="11" t="e">
        <f t="shared" si="16"/>
        <v>#REF!</v>
      </c>
      <c r="I43" s="11" t="e">
        <f t="shared" si="16"/>
        <v>#REF!</v>
      </c>
      <c r="J43" s="11" t="e">
        <f t="shared" si="16"/>
        <v>#REF!</v>
      </c>
      <c r="K43" s="11" t="e">
        <f t="shared" si="16"/>
        <v>#REF!</v>
      </c>
      <c r="L43" s="11">
        <f t="shared" si="16"/>
        <v>420</v>
      </c>
    </row>
    <row r="44" spans="1:12" ht="15.75">
      <c r="A44" s="47" t="s">
        <v>293</v>
      </c>
      <c r="B44" s="42" t="s">
        <v>397</v>
      </c>
      <c r="C44" s="42" t="s">
        <v>285</v>
      </c>
      <c r="D44" s="42" t="s">
        <v>256</v>
      </c>
      <c r="E44" s="42"/>
      <c r="F44" s="42"/>
      <c r="G44" s="11" t="e">
        <f>G45</f>
        <v>#REF!</v>
      </c>
      <c r="H44" s="11" t="e">
        <f t="shared" si="16"/>
        <v>#REF!</v>
      </c>
      <c r="I44" s="11" t="e">
        <f t="shared" si="16"/>
        <v>#REF!</v>
      </c>
      <c r="J44" s="11" t="e">
        <f t="shared" si="16"/>
        <v>#REF!</v>
      </c>
      <c r="K44" s="11" t="e">
        <f t="shared" si="16"/>
        <v>#REF!</v>
      </c>
      <c r="L44" s="11">
        <f t="shared" si="16"/>
        <v>420</v>
      </c>
    </row>
    <row r="45" spans="1:12" ht="31.5">
      <c r="A45" s="31" t="s">
        <v>198</v>
      </c>
      <c r="B45" s="42" t="s">
        <v>398</v>
      </c>
      <c r="C45" s="42" t="s">
        <v>285</v>
      </c>
      <c r="D45" s="42" t="s">
        <v>256</v>
      </c>
      <c r="E45" s="42"/>
      <c r="F45" s="42"/>
      <c r="G45" s="11" t="e">
        <f>G46</f>
        <v>#REF!</v>
      </c>
      <c r="H45" s="11" t="e">
        <f t="shared" si="16"/>
        <v>#REF!</v>
      </c>
      <c r="I45" s="11" t="e">
        <f t="shared" si="16"/>
        <v>#REF!</v>
      </c>
      <c r="J45" s="11" t="e">
        <f t="shared" si="16"/>
        <v>#REF!</v>
      </c>
      <c r="K45" s="11" t="e">
        <f t="shared" si="16"/>
        <v>#REF!</v>
      </c>
      <c r="L45" s="11">
        <f t="shared" si="16"/>
        <v>420</v>
      </c>
    </row>
    <row r="46" spans="1:12" ht="15.75">
      <c r="A46" s="31" t="s">
        <v>289</v>
      </c>
      <c r="B46" s="42" t="s">
        <v>398</v>
      </c>
      <c r="C46" s="42" t="s">
        <v>285</v>
      </c>
      <c r="D46" s="42" t="s">
        <v>256</v>
      </c>
      <c r="E46" s="42" t="s">
        <v>290</v>
      </c>
      <c r="F46" s="42"/>
      <c r="G46" s="11" t="e">
        <f>G47</f>
        <v>#REF!</v>
      </c>
      <c r="H46" s="11" t="e">
        <f t="shared" si="16"/>
        <v>#REF!</v>
      </c>
      <c r="I46" s="11" t="e">
        <f t="shared" si="16"/>
        <v>#REF!</v>
      </c>
      <c r="J46" s="11" t="e">
        <f t="shared" si="16"/>
        <v>#REF!</v>
      </c>
      <c r="K46" s="11" t="e">
        <f t="shared" si="16"/>
        <v>#REF!</v>
      </c>
      <c r="L46" s="11">
        <f t="shared" si="16"/>
        <v>420</v>
      </c>
    </row>
    <row r="47" spans="1:12" ht="31.5">
      <c r="A47" s="31" t="s">
        <v>389</v>
      </c>
      <c r="B47" s="42" t="s">
        <v>398</v>
      </c>
      <c r="C47" s="42" t="s">
        <v>285</v>
      </c>
      <c r="D47" s="42" t="s">
        <v>256</v>
      </c>
      <c r="E47" s="42" t="s">
        <v>390</v>
      </c>
      <c r="F47" s="42"/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>
        <f>'Прил.№5 ведомств.'!G564</f>
        <v>420</v>
      </c>
    </row>
    <row r="48" spans="1:12" ht="47.25">
      <c r="A48" s="47" t="s">
        <v>302</v>
      </c>
      <c r="B48" s="42" t="s">
        <v>397</v>
      </c>
      <c r="C48" s="42"/>
      <c r="D48" s="42"/>
      <c r="E48" s="42"/>
      <c r="F48" s="42" t="s">
        <v>687</v>
      </c>
      <c r="G48" s="11" t="e">
        <f aca="true" t="shared" si="17" ref="G48:L48">G42</f>
        <v>#REF!</v>
      </c>
      <c r="H48" s="11" t="e">
        <f t="shared" si="17"/>
        <v>#REF!</v>
      </c>
      <c r="I48" s="11" t="e">
        <f t="shared" si="17"/>
        <v>#REF!</v>
      </c>
      <c r="J48" s="11" t="e">
        <f t="shared" si="17"/>
        <v>#REF!</v>
      </c>
      <c r="K48" s="11" t="e">
        <f t="shared" si="17"/>
        <v>#REF!</v>
      </c>
      <c r="L48" s="11">
        <f t="shared" si="17"/>
        <v>420</v>
      </c>
    </row>
    <row r="49" spans="1:12" ht="15.75">
      <c r="A49" s="63" t="s">
        <v>691</v>
      </c>
      <c r="B49" s="8" t="s">
        <v>400</v>
      </c>
      <c r="C49" s="8"/>
      <c r="D49" s="8"/>
      <c r="E49" s="8"/>
      <c r="F49" s="8"/>
      <c r="G49" s="66" t="e">
        <f>G50</f>
        <v>#REF!</v>
      </c>
      <c r="H49" s="66" t="e">
        <f aca="true" t="shared" si="18" ref="H49:L51">H50</f>
        <v>#REF!</v>
      </c>
      <c r="I49" s="66" t="e">
        <f t="shared" si="18"/>
        <v>#REF!</v>
      </c>
      <c r="J49" s="66" t="e">
        <f t="shared" si="18"/>
        <v>#REF!</v>
      </c>
      <c r="K49" s="66" t="e">
        <f t="shared" si="18"/>
        <v>#REF!</v>
      </c>
      <c r="L49" s="66">
        <f t="shared" si="18"/>
        <v>1272.2</v>
      </c>
    </row>
    <row r="50" spans="1:12" ht="15.75">
      <c r="A50" s="47" t="s">
        <v>284</v>
      </c>
      <c r="B50" s="42" t="s">
        <v>400</v>
      </c>
      <c r="C50" s="42" t="s">
        <v>285</v>
      </c>
      <c r="D50" s="42"/>
      <c r="E50" s="42"/>
      <c r="F50" s="42"/>
      <c r="G50" s="11" t="e">
        <f>G51</f>
        <v>#REF!</v>
      </c>
      <c r="H50" s="11" t="e">
        <f t="shared" si="18"/>
        <v>#REF!</v>
      </c>
      <c r="I50" s="11" t="e">
        <f t="shared" si="18"/>
        <v>#REF!</v>
      </c>
      <c r="J50" s="11" t="e">
        <f t="shared" si="18"/>
        <v>#REF!</v>
      </c>
      <c r="K50" s="11" t="e">
        <f t="shared" si="18"/>
        <v>#REF!</v>
      </c>
      <c r="L50" s="11">
        <f t="shared" si="18"/>
        <v>1272.2</v>
      </c>
    </row>
    <row r="51" spans="1:12" ht="15.75">
      <c r="A51" s="47" t="s">
        <v>293</v>
      </c>
      <c r="B51" s="42" t="s">
        <v>400</v>
      </c>
      <c r="C51" s="42" t="s">
        <v>285</v>
      </c>
      <c r="D51" s="42" t="s">
        <v>256</v>
      </c>
      <c r="E51" s="42"/>
      <c r="F51" s="42"/>
      <c r="G51" s="11" t="e">
        <f>G52</f>
        <v>#REF!</v>
      </c>
      <c r="H51" s="11" t="e">
        <f t="shared" si="18"/>
        <v>#REF!</v>
      </c>
      <c r="I51" s="11" t="e">
        <f t="shared" si="18"/>
        <v>#REF!</v>
      </c>
      <c r="J51" s="11" t="e">
        <f t="shared" si="18"/>
        <v>#REF!</v>
      </c>
      <c r="K51" s="11" t="e">
        <f t="shared" si="18"/>
        <v>#REF!</v>
      </c>
      <c r="L51" s="11">
        <f t="shared" si="18"/>
        <v>1272.2</v>
      </c>
    </row>
    <row r="52" spans="1:12" ht="31.5">
      <c r="A52" s="31" t="s">
        <v>198</v>
      </c>
      <c r="B52" s="42" t="s">
        <v>401</v>
      </c>
      <c r="C52" s="42" t="s">
        <v>285</v>
      </c>
      <c r="D52" s="42" t="s">
        <v>256</v>
      </c>
      <c r="E52" s="42"/>
      <c r="F52" s="42"/>
      <c r="G52" s="11" t="e">
        <f aca="true" t="shared" si="19" ref="G52:L52">G53+G55</f>
        <v>#REF!</v>
      </c>
      <c r="H52" s="11" t="e">
        <f t="shared" si="19"/>
        <v>#REF!</v>
      </c>
      <c r="I52" s="11" t="e">
        <f t="shared" si="19"/>
        <v>#REF!</v>
      </c>
      <c r="J52" s="11" t="e">
        <f t="shared" si="19"/>
        <v>#REF!</v>
      </c>
      <c r="K52" s="11" t="e">
        <f t="shared" si="19"/>
        <v>#REF!</v>
      </c>
      <c r="L52" s="11">
        <f t="shared" si="19"/>
        <v>1272.2</v>
      </c>
    </row>
    <row r="53" spans="1:12" ht="31.5">
      <c r="A53" s="31" t="s">
        <v>172</v>
      </c>
      <c r="B53" s="42" t="s">
        <v>401</v>
      </c>
      <c r="C53" s="42" t="s">
        <v>285</v>
      </c>
      <c r="D53" s="42" t="s">
        <v>256</v>
      </c>
      <c r="E53" s="42" t="s">
        <v>173</v>
      </c>
      <c r="F53" s="42"/>
      <c r="G53" s="11" t="e">
        <f aca="true" t="shared" si="20" ref="G53:L53">G54</f>
        <v>#REF!</v>
      </c>
      <c r="H53" s="11" t="e">
        <f t="shared" si="20"/>
        <v>#REF!</v>
      </c>
      <c r="I53" s="11" t="e">
        <f t="shared" si="20"/>
        <v>#REF!</v>
      </c>
      <c r="J53" s="11" t="e">
        <f t="shared" si="20"/>
        <v>#REF!</v>
      </c>
      <c r="K53" s="11" t="e">
        <f t="shared" si="20"/>
        <v>#REF!</v>
      </c>
      <c r="L53" s="11">
        <f t="shared" si="20"/>
        <v>356.6</v>
      </c>
    </row>
    <row r="54" spans="1:12" ht="31.5">
      <c r="A54" s="31" t="s">
        <v>174</v>
      </c>
      <c r="B54" s="42" t="s">
        <v>401</v>
      </c>
      <c r="C54" s="42" t="s">
        <v>285</v>
      </c>
      <c r="D54" s="42" t="s">
        <v>256</v>
      </c>
      <c r="E54" s="42" t="s">
        <v>175</v>
      </c>
      <c r="F54" s="42"/>
      <c r="G54" s="11" t="e">
        <f>#REF!</f>
        <v>#REF!</v>
      </c>
      <c r="H54" s="11" t="e">
        <f>#REF!</f>
        <v>#REF!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>
        <f>'Прил.№5 ведомств.'!G568</f>
        <v>356.6</v>
      </c>
    </row>
    <row r="55" spans="1:12" ht="15.75">
      <c r="A55" s="31" t="s">
        <v>289</v>
      </c>
      <c r="B55" s="42" t="s">
        <v>401</v>
      </c>
      <c r="C55" s="42" t="s">
        <v>285</v>
      </c>
      <c r="D55" s="42" t="s">
        <v>256</v>
      </c>
      <c r="E55" s="42" t="s">
        <v>290</v>
      </c>
      <c r="F55" s="42"/>
      <c r="G55" s="11" t="e">
        <f aca="true" t="shared" si="21" ref="G55:L55">G56</f>
        <v>#REF!</v>
      </c>
      <c r="H55" s="11" t="e">
        <f t="shared" si="21"/>
        <v>#REF!</v>
      </c>
      <c r="I55" s="11" t="e">
        <f t="shared" si="21"/>
        <v>#REF!</v>
      </c>
      <c r="J55" s="11" t="e">
        <f t="shared" si="21"/>
        <v>#REF!</v>
      </c>
      <c r="K55" s="11" t="e">
        <f t="shared" si="21"/>
        <v>#REF!</v>
      </c>
      <c r="L55" s="11">
        <f t="shared" si="21"/>
        <v>915.6</v>
      </c>
    </row>
    <row r="56" spans="1:12" ht="31.5">
      <c r="A56" s="31" t="s">
        <v>389</v>
      </c>
      <c r="B56" s="42" t="s">
        <v>401</v>
      </c>
      <c r="C56" s="42" t="s">
        <v>285</v>
      </c>
      <c r="D56" s="42" t="s">
        <v>256</v>
      </c>
      <c r="E56" s="42" t="s">
        <v>390</v>
      </c>
      <c r="F56" s="42"/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>
        <f>'Прил.№5 ведомств.'!G570</f>
        <v>915.6</v>
      </c>
    </row>
    <row r="57" spans="1:12" ht="47.25">
      <c r="A57" s="47" t="s">
        <v>302</v>
      </c>
      <c r="B57" s="42" t="s">
        <v>400</v>
      </c>
      <c r="C57" s="42"/>
      <c r="D57" s="42"/>
      <c r="E57" s="42"/>
      <c r="F57" s="42" t="s">
        <v>687</v>
      </c>
      <c r="G57" s="11" t="e">
        <f aca="true" t="shared" si="22" ref="G57:L57">G49</f>
        <v>#REF!</v>
      </c>
      <c r="H57" s="11" t="e">
        <f t="shared" si="22"/>
        <v>#REF!</v>
      </c>
      <c r="I57" s="11" t="e">
        <f t="shared" si="22"/>
        <v>#REF!</v>
      </c>
      <c r="J57" s="11" t="e">
        <f t="shared" si="22"/>
        <v>#REF!</v>
      </c>
      <c r="K57" s="11" t="e">
        <f t="shared" si="22"/>
        <v>#REF!</v>
      </c>
      <c r="L57" s="11">
        <f t="shared" si="22"/>
        <v>1272.2</v>
      </c>
    </row>
    <row r="58" spans="1:12" ht="31.5">
      <c r="A58" s="63" t="s">
        <v>693</v>
      </c>
      <c r="B58" s="8" t="s">
        <v>403</v>
      </c>
      <c r="C58" s="8"/>
      <c r="D58" s="8"/>
      <c r="E58" s="8"/>
      <c r="F58" s="8"/>
      <c r="G58" s="66" t="e">
        <f>G59</f>
        <v>#REF!</v>
      </c>
      <c r="H58" s="66" t="e">
        <f aca="true" t="shared" si="23" ref="H58:L62">H59</f>
        <v>#REF!</v>
      </c>
      <c r="I58" s="66" t="e">
        <f t="shared" si="23"/>
        <v>#REF!</v>
      </c>
      <c r="J58" s="66" t="e">
        <f t="shared" si="23"/>
        <v>#REF!</v>
      </c>
      <c r="K58" s="66" t="e">
        <f t="shared" si="23"/>
        <v>#REF!</v>
      </c>
      <c r="L58" s="66">
        <f t="shared" si="23"/>
        <v>250</v>
      </c>
    </row>
    <row r="59" spans="1:12" ht="15.75">
      <c r="A59" s="47" t="s">
        <v>284</v>
      </c>
      <c r="B59" s="42" t="s">
        <v>403</v>
      </c>
      <c r="C59" s="42" t="s">
        <v>285</v>
      </c>
      <c r="D59" s="42"/>
      <c r="E59" s="42"/>
      <c r="F59" s="42"/>
      <c r="G59" s="11" t="e">
        <f>G60</f>
        <v>#REF!</v>
      </c>
      <c r="H59" s="11" t="e">
        <f t="shared" si="23"/>
        <v>#REF!</v>
      </c>
      <c r="I59" s="11" t="e">
        <f t="shared" si="23"/>
        <v>#REF!</v>
      </c>
      <c r="J59" s="11" t="e">
        <f t="shared" si="23"/>
        <v>#REF!</v>
      </c>
      <c r="K59" s="11" t="e">
        <f t="shared" si="23"/>
        <v>#REF!</v>
      </c>
      <c r="L59" s="11">
        <f t="shared" si="23"/>
        <v>250</v>
      </c>
    </row>
    <row r="60" spans="1:12" ht="21.75" customHeight="1">
      <c r="A60" s="47" t="s">
        <v>293</v>
      </c>
      <c r="B60" s="42" t="s">
        <v>403</v>
      </c>
      <c r="C60" s="42" t="s">
        <v>285</v>
      </c>
      <c r="D60" s="42" t="s">
        <v>256</v>
      </c>
      <c r="E60" s="42"/>
      <c r="F60" s="42"/>
      <c r="G60" s="11" t="e">
        <f>G61</f>
        <v>#REF!</v>
      </c>
      <c r="H60" s="11" t="e">
        <f t="shared" si="23"/>
        <v>#REF!</v>
      </c>
      <c r="I60" s="11" t="e">
        <f t="shared" si="23"/>
        <v>#REF!</v>
      </c>
      <c r="J60" s="11" t="e">
        <f t="shared" si="23"/>
        <v>#REF!</v>
      </c>
      <c r="K60" s="11" t="e">
        <f t="shared" si="23"/>
        <v>#REF!</v>
      </c>
      <c r="L60" s="11">
        <f t="shared" si="23"/>
        <v>250</v>
      </c>
    </row>
    <row r="61" spans="1:12" ht="31.5">
      <c r="A61" s="31" t="s">
        <v>198</v>
      </c>
      <c r="B61" s="42" t="s">
        <v>404</v>
      </c>
      <c r="C61" s="42" t="s">
        <v>285</v>
      </c>
      <c r="D61" s="42" t="s">
        <v>256</v>
      </c>
      <c r="E61" s="42"/>
      <c r="F61" s="42"/>
      <c r="G61" s="11" t="e">
        <f>G62</f>
        <v>#REF!</v>
      </c>
      <c r="H61" s="11" t="e">
        <f t="shared" si="23"/>
        <v>#REF!</v>
      </c>
      <c r="I61" s="11" t="e">
        <f t="shared" si="23"/>
        <v>#REF!</v>
      </c>
      <c r="J61" s="11" t="e">
        <f t="shared" si="23"/>
        <v>#REF!</v>
      </c>
      <c r="K61" s="11" t="e">
        <f t="shared" si="23"/>
        <v>#REF!</v>
      </c>
      <c r="L61" s="11">
        <f t="shared" si="23"/>
        <v>250</v>
      </c>
    </row>
    <row r="62" spans="1:12" ht="15.75">
      <c r="A62" s="31" t="s">
        <v>289</v>
      </c>
      <c r="B62" s="42" t="s">
        <v>404</v>
      </c>
      <c r="C62" s="42" t="s">
        <v>285</v>
      </c>
      <c r="D62" s="42" t="s">
        <v>256</v>
      </c>
      <c r="E62" s="42" t="s">
        <v>290</v>
      </c>
      <c r="F62" s="42"/>
      <c r="G62" s="11" t="e">
        <f>G63</f>
        <v>#REF!</v>
      </c>
      <c r="H62" s="11" t="e">
        <f t="shared" si="23"/>
        <v>#REF!</v>
      </c>
      <c r="I62" s="11" t="e">
        <f t="shared" si="23"/>
        <v>#REF!</v>
      </c>
      <c r="J62" s="11" t="e">
        <f t="shared" si="23"/>
        <v>#REF!</v>
      </c>
      <c r="K62" s="11" t="e">
        <f t="shared" si="23"/>
        <v>#REF!</v>
      </c>
      <c r="L62" s="11">
        <f t="shared" si="23"/>
        <v>250</v>
      </c>
    </row>
    <row r="63" spans="1:12" ht="31.5">
      <c r="A63" s="31" t="s">
        <v>389</v>
      </c>
      <c r="B63" s="42" t="s">
        <v>404</v>
      </c>
      <c r="C63" s="42" t="s">
        <v>285</v>
      </c>
      <c r="D63" s="42" t="s">
        <v>256</v>
      </c>
      <c r="E63" s="42" t="s">
        <v>390</v>
      </c>
      <c r="F63" s="42"/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>
        <f>'Прил.№5 ведомств.'!G574</f>
        <v>250</v>
      </c>
    </row>
    <row r="64" spans="1:12" ht="47.25">
      <c r="A64" s="47" t="s">
        <v>302</v>
      </c>
      <c r="B64" s="42" t="s">
        <v>403</v>
      </c>
      <c r="C64" s="42"/>
      <c r="D64" s="42"/>
      <c r="E64" s="42"/>
      <c r="F64" s="42" t="s">
        <v>687</v>
      </c>
      <c r="G64" s="11" t="e">
        <f aca="true" t="shared" si="24" ref="G64:L64">G58</f>
        <v>#REF!</v>
      </c>
      <c r="H64" s="11" t="e">
        <f t="shared" si="24"/>
        <v>#REF!</v>
      </c>
      <c r="I64" s="11" t="e">
        <f t="shared" si="24"/>
        <v>#REF!</v>
      </c>
      <c r="J64" s="11" t="e">
        <f t="shared" si="24"/>
        <v>#REF!</v>
      </c>
      <c r="K64" s="11" t="e">
        <f t="shared" si="24"/>
        <v>#REF!</v>
      </c>
      <c r="L64" s="11">
        <f t="shared" si="24"/>
        <v>250</v>
      </c>
    </row>
    <row r="65" spans="1:12" ht="47.25">
      <c r="A65" s="63" t="s">
        <v>405</v>
      </c>
      <c r="B65" s="8" t="s">
        <v>406</v>
      </c>
      <c r="C65" s="8"/>
      <c r="D65" s="8"/>
      <c r="E65" s="8"/>
      <c r="F65" s="8"/>
      <c r="G65" s="66" t="e">
        <f>G66</f>
        <v>#REF!</v>
      </c>
      <c r="H65" s="66" t="e">
        <f aca="true" t="shared" si="25" ref="H65:L69">H66</f>
        <v>#REF!</v>
      </c>
      <c r="I65" s="66" t="e">
        <f t="shared" si="25"/>
        <v>#REF!</v>
      </c>
      <c r="J65" s="66" t="e">
        <f t="shared" si="25"/>
        <v>#REF!</v>
      </c>
      <c r="K65" s="66" t="e">
        <f t="shared" si="25"/>
        <v>#REF!</v>
      </c>
      <c r="L65" s="66">
        <f t="shared" si="25"/>
        <v>260</v>
      </c>
    </row>
    <row r="66" spans="1:12" ht="15.75">
      <c r="A66" s="47" t="s">
        <v>339</v>
      </c>
      <c r="B66" s="42" t="s">
        <v>406</v>
      </c>
      <c r="C66" s="42" t="s">
        <v>340</v>
      </c>
      <c r="D66" s="42"/>
      <c r="E66" s="42"/>
      <c r="F66" s="42"/>
      <c r="G66" s="11" t="e">
        <f>G67</f>
        <v>#REF!</v>
      </c>
      <c r="H66" s="11" t="e">
        <f t="shared" si="25"/>
        <v>#REF!</v>
      </c>
      <c r="I66" s="11" t="e">
        <f t="shared" si="25"/>
        <v>#REF!</v>
      </c>
      <c r="J66" s="11" t="e">
        <f t="shared" si="25"/>
        <v>#REF!</v>
      </c>
      <c r="K66" s="11" t="e">
        <f t="shared" si="25"/>
        <v>#REF!</v>
      </c>
      <c r="L66" s="11">
        <f t="shared" si="25"/>
        <v>260</v>
      </c>
    </row>
    <row r="67" spans="1:12" ht="15.75">
      <c r="A67" s="47" t="s">
        <v>374</v>
      </c>
      <c r="B67" s="42" t="s">
        <v>406</v>
      </c>
      <c r="C67" s="42" t="s">
        <v>340</v>
      </c>
      <c r="D67" s="42" t="s">
        <v>191</v>
      </c>
      <c r="E67" s="42"/>
      <c r="F67" s="42"/>
      <c r="G67" s="11" t="e">
        <f>G68</f>
        <v>#REF!</v>
      </c>
      <c r="H67" s="11" t="e">
        <f t="shared" si="25"/>
        <v>#REF!</v>
      </c>
      <c r="I67" s="11" t="e">
        <f t="shared" si="25"/>
        <v>#REF!</v>
      </c>
      <c r="J67" s="11" t="e">
        <f t="shared" si="25"/>
        <v>#REF!</v>
      </c>
      <c r="K67" s="11" t="e">
        <f t="shared" si="25"/>
        <v>#REF!</v>
      </c>
      <c r="L67" s="11">
        <f t="shared" si="25"/>
        <v>260</v>
      </c>
    </row>
    <row r="68" spans="1:12" ht="42.75" customHeight="1">
      <c r="A68" s="31" t="s">
        <v>198</v>
      </c>
      <c r="B68" s="42" t="s">
        <v>407</v>
      </c>
      <c r="C68" s="42" t="s">
        <v>340</v>
      </c>
      <c r="D68" s="42" t="s">
        <v>191</v>
      </c>
      <c r="E68" s="42"/>
      <c r="F68" s="42"/>
      <c r="G68" s="11" t="e">
        <f>G69</f>
        <v>#REF!</v>
      </c>
      <c r="H68" s="11" t="e">
        <f t="shared" si="25"/>
        <v>#REF!</v>
      </c>
      <c r="I68" s="11" t="e">
        <f t="shared" si="25"/>
        <v>#REF!</v>
      </c>
      <c r="J68" s="11" t="e">
        <f t="shared" si="25"/>
        <v>#REF!</v>
      </c>
      <c r="K68" s="11" t="e">
        <f t="shared" si="25"/>
        <v>#REF!</v>
      </c>
      <c r="L68" s="11">
        <f t="shared" si="25"/>
        <v>260</v>
      </c>
    </row>
    <row r="69" spans="1:12" ht="31.5">
      <c r="A69" s="31" t="s">
        <v>172</v>
      </c>
      <c r="B69" s="42" t="s">
        <v>407</v>
      </c>
      <c r="C69" s="42" t="s">
        <v>340</v>
      </c>
      <c r="D69" s="42" t="s">
        <v>191</v>
      </c>
      <c r="E69" s="42" t="s">
        <v>173</v>
      </c>
      <c r="F69" s="42"/>
      <c r="G69" s="11" t="e">
        <f>G70</f>
        <v>#REF!</v>
      </c>
      <c r="H69" s="11" t="e">
        <f t="shared" si="25"/>
        <v>#REF!</v>
      </c>
      <c r="I69" s="11" t="e">
        <f t="shared" si="25"/>
        <v>#REF!</v>
      </c>
      <c r="J69" s="11" t="e">
        <f t="shared" si="25"/>
        <v>#REF!</v>
      </c>
      <c r="K69" s="11" t="e">
        <f t="shared" si="25"/>
        <v>#REF!</v>
      </c>
      <c r="L69" s="11">
        <f t="shared" si="25"/>
        <v>260</v>
      </c>
    </row>
    <row r="70" spans="1:12" ht="31.5">
      <c r="A70" s="31" t="s">
        <v>174</v>
      </c>
      <c r="B70" s="42" t="s">
        <v>407</v>
      </c>
      <c r="C70" s="42" t="s">
        <v>340</v>
      </c>
      <c r="D70" s="42" t="s">
        <v>191</v>
      </c>
      <c r="E70" s="42" t="s">
        <v>175</v>
      </c>
      <c r="F70" s="42"/>
      <c r="G70" s="11" t="e">
        <f>#REF!</f>
        <v>#REF!</v>
      </c>
      <c r="H70" s="11" t="e">
        <f>#REF!</f>
        <v>#REF!</v>
      </c>
      <c r="I70" s="11" t="e">
        <f>#REF!</f>
        <v>#REF!</v>
      </c>
      <c r="J70" s="11" t="e">
        <f>#REF!</f>
        <v>#REF!</v>
      </c>
      <c r="K70" s="11" t="e">
        <f>#REF!</f>
        <v>#REF!</v>
      </c>
      <c r="L70" s="11">
        <f>'Прил.№5 ведомств.'!G527</f>
        <v>260</v>
      </c>
    </row>
    <row r="71" spans="1:12" ht="47.25">
      <c r="A71" s="47" t="s">
        <v>302</v>
      </c>
      <c r="B71" s="42" t="s">
        <v>406</v>
      </c>
      <c r="C71" s="42"/>
      <c r="D71" s="42"/>
      <c r="E71" s="42"/>
      <c r="F71" s="42" t="s">
        <v>687</v>
      </c>
      <c r="G71" s="11" t="e">
        <f aca="true" t="shared" si="26" ref="G71:L71">G65</f>
        <v>#REF!</v>
      </c>
      <c r="H71" s="11" t="e">
        <f t="shared" si="26"/>
        <v>#REF!</v>
      </c>
      <c r="I71" s="11" t="e">
        <f t="shared" si="26"/>
        <v>#REF!</v>
      </c>
      <c r="J71" s="11" t="e">
        <f t="shared" si="26"/>
        <v>#REF!</v>
      </c>
      <c r="K71" s="11" t="e">
        <f t="shared" si="26"/>
        <v>#REF!</v>
      </c>
      <c r="L71" s="11">
        <f t="shared" si="26"/>
        <v>260</v>
      </c>
    </row>
    <row r="72" spans="1:12" ht="47.25">
      <c r="A72" s="43" t="s">
        <v>408</v>
      </c>
      <c r="B72" s="8" t="s">
        <v>409</v>
      </c>
      <c r="C72" s="8"/>
      <c r="D72" s="8"/>
      <c r="E72" s="8"/>
      <c r="F72" s="8"/>
      <c r="G72" s="66" t="e">
        <f>G73</f>
        <v>#REF!</v>
      </c>
      <c r="H72" s="66" t="e">
        <f aca="true" t="shared" si="27" ref="H72:L73">H73</f>
        <v>#REF!</v>
      </c>
      <c r="I72" s="66" t="e">
        <f t="shared" si="27"/>
        <v>#REF!</v>
      </c>
      <c r="J72" s="66" t="e">
        <f t="shared" si="27"/>
        <v>#REF!</v>
      </c>
      <c r="K72" s="66" t="e">
        <f t="shared" si="27"/>
        <v>#REF!</v>
      </c>
      <c r="L72" s="66">
        <f t="shared" si="27"/>
        <v>20</v>
      </c>
    </row>
    <row r="73" spans="1:12" ht="15.75">
      <c r="A73" s="47" t="s">
        <v>273</v>
      </c>
      <c r="B73" s="42" t="s">
        <v>409</v>
      </c>
      <c r="C73" s="42" t="s">
        <v>191</v>
      </c>
      <c r="D73" s="42"/>
      <c r="E73" s="42"/>
      <c r="F73" s="42"/>
      <c r="G73" s="11" t="e">
        <f>G74</f>
        <v>#REF!</v>
      </c>
      <c r="H73" s="11" t="e">
        <f t="shared" si="27"/>
        <v>#REF!</v>
      </c>
      <c r="I73" s="11" t="e">
        <f t="shared" si="27"/>
        <v>#REF!</v>
      </c>
      <c r="J73" s="11" t="e">
        <f t="shared" si="27"/>
        <v>#REF!</v>
      </c>
      <c r="K73" s="11" t="e">
        <f t="shared" si="27"/>
        <v>#REF!</v>
      </c>
      <c r="L73" s="11">
        <f t="shared" si="27"/>
        <v>20</v>
      </c>
    </row>
    <row r="74" spans="1:12" ht="15.75">
      <c r="A74" s="47" t="s">
        <v>278</v>
      </c>
      <c r="B74" s="42" t="s">
        <v>409</v>
      </c>
      <c r="C74" s="42" t="s">
        <v>191</v>
      </c>
      <c r="D74" s="42" t="s">
        <v>279</v>
      </c>
      <c r="E74" s="42"/>
      <c r="F74" s="42"/>
      <c r="G74" s="11" t="e">
        <f aca="true" t="shared" si="28" ref="G74:L74">G75+G93+G84+G88+G80</f>
        <v>#REF!</v>
      </c>
      <c r="H74" s="11" t="e">
        <f t="shared" si="28"/>
        <v>#REF!</v>
      </c>
      <c r="I74" s="11" t="e">
        <f t="shared" si="28"/>
        <v>#REF!</v>
      </c>
      <c r="J74" s="11" t="e">
        <f t="shared" si="28"/>
        <v>#REF!</v>
      </c>
      <c r="K74" s="11" t="e">
        <f t="shared" si="28"/>
        <v>#REF!</v>
      </c>
      <c r="L74" s="11">
        <f t="shared" si="28"/>
        <v>20</v>
      </c>
    </row>
    <row r="75" spans="1:12" ht="45" customHeight="1">
      <c r="A75" s="31" t="s">
        <v>198</v>
      </c>
      <c r="B75" s="42" t="s">
        <v>411</v>
      </c>
      <c r="C75" s="42" t="s">
        <v>191</v>
      </c>
      <c r="D75" s="42" t="s">
        <v>279</v>
      </c>
      <c r="E75" s="42"/>
      <c r="F75" s="42"/>
      <c r="G75" s="11" t="e">
        <f aca="true" t="shared" si="29" ref="G75:L75">G78+G76</f>
        <v>#REF!</v>
      </c>
      <c r="H75" s="11" t="e">
        <f t="shared" si="29"/>
        <v>#REF!</v>
      </c>
      <c r="I75" s="11" t="e">
        <f t="shared" si="29"/>
        <v>#REF!</v>
      </c>
      <c r="J75" s="11" t="e">
        <f t="shared" si="29"/>
        <v>#REF!</v>
      </c>
      <c r="K75" s="11" t="e">
        <f t="shared" si="29"/>
        <v>#REF!</v>
      </c>
      <c r="L75" s="11">
        <f t="shared" si="29"/>
        <v>10</v>
      </c>
    </row>
    <row r="76" spans="1:12" ht="31.5" customHeight="1" hidden="1">
      <c r="A76" s="31" t="s">
        <v>172</v>
      </c>
      <c r="B76" s="42" t="s">
        <v>409</v>
      </c>
      <c r="C76" s="42" t="s">
        <v>191</v>
      </c>
      <c r="D76" s="42" t="s">
        <v>279</v>
      </c>
      <c r="E76" s="42" t="s">
        <v>173</v>
      </c>
      <c r="F76" s="42"/>
      <c r="G76" s="11">
        <f aca="true" t="shared" si="30" ref="G76:L76">G77</f>
        <v>0</v>
      </c>
      <c r="H76" s="11">
        <f t="shared" si="30"/>
        <v>0</v>
      </c>
      <c r="I76" s="11">
        <f t="shared" si="30"/>
        <v>0</v>
      </c>
      <c r="J76" s="11">
        <f t="shared" si="30"/>
        <v>0</v>
      </c>
      <c r="K76" s="11">
        <f t="shared" si="30"/>
        <v>0</v>
      </c>
      <c r="L76" s="11">
        <f t="shared" si="30"/>
        <v>0</v>
      </c>
    </row>
    <row r="77" spans="1:12" ht="31.5" customHeight="1" hidden="1">
      <c r="A77" s="31" t="s">
        <v>174</v>
      </c>
      <c r="B77" s="42" t="s">
        <v>409</v>
      </c>
      <c r="C77" s="42" t="s">
        <v>191</v>
      </c>
      <c r="D77" s="42" t="s">
        <v>279</v>
      </c>
      <c r="E77" s="42" t="s">
        <v>175</v>
      </c>
      <c r="F77" s="42"/>
      <c r="G77" s="11"/>
      <c r="H77" s="11"/>
      <c r="I77" s="11"/>
      <c r="J77" s="11"/>
      <c r="K77" s="11"/>
      <c r="L77" s="11"/>
    </row>
    <row r="78" spans="1:12" ht="31.5">
      <c r="A78" s="26" t="s">
        <v>313</v>
      </c>
      <c r="B78" s="42" t="s">
        <v>411</v>
      </c>
      <c r="C78" s="42" t="s">
        <v>191</v>
      </c>
      <c r="D78" s="42" t="s">
        <v>279</v>
      </c>
      <c r="E78" s="42" t="s">
        <v>314</v>
      </c>
      <c r="F78" s="42"/>
      <c r="G78" s="11" t="e">
        <f aca="true" t="shared" si="31" ref="G78:L78">G79</f>
        <v>#REF!</v>
      </c>
      <c r="H78" s="11" t="e">
        <f t="shared" si="31"/>
        <v>#REF!</v>
      </c>
      <c r="I78" s="11" t="e">
        <f t="shared" si="31"/>
        <v>#REF!</v>
      </c>
      <c r="J78" s="11" t="e">
        <f t="shared" si="31"/>
        <v>#REF!</v>
      </c>
      <c r="K78" s="11" t="e">
        <f t="shared" si="31"/>
        <v>#REF!</v>
      </c>
      <c r="L78" s="11">
        <f t="shared" si="31"/>
        <v>10</v>
      </c>
    </row>
    <row r="79" spans="1:12" ht="60.75" customHeight="1">
      <c r="A79" s="26" t="s">
        <v>412</v>
      </c>
      <c r="B79" s="42" t="s">
        <v>411</v>
      </c>
      <c r="C79" s="42" t="s">
        <v>191</v>
      </c>
      <c r="D79" s="42" t="s">
        <v>279</v>
      </c>
      <c r="E79" s="42" t="s">
        <v>413</v>
      </c>
      <c r="F79" s="42"/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>
        <f>'Прил.№5 ведомств.'!G298</f>
        <v>10</v>
      </c>
    </row>
    <row r="80" spans="1:12" ht="47.25">
      <c r="A80" s="26" t="s">
        <v>416</v>
      </c>
      <c r="B80" s="21" t="s">
        <v>417</v>
      </c>
      <c r="C80" s="42" t="s">
        <v>191</v>
      </c>
      <c r="D80" s="42" t="s">
        <v>279</v>
      </c>
      <c r="E80" s="42"/>
      <c r="F80" s="42"/>
      <c r="G80" s="11" t="e">
        <f>G81</f>
        <v>#REF!</v>
      </c>
      <c r="H80" s="11" t="e">
        <f aca="true" t="shared" si="32" ref="H80:L81">H81</f>
        <v>#REF!</v>
      </c>
      <c r="I80" s="11" t="e">
        <f t="shared" si="32"/>
        <v>#REF!</v>
      </c>
      <c r="J80" s="11" t="e">
        <f t="shared" si="32"/>
        <v>#REF!</v>
      </c>
      <c r="K80" s="11" t="e">
        <f t="shared" si="32"/>
        <v>#REF!</v>
      </c>
      <c r="L80" s="11">
        <f t="shared" si="32"/>
        <v>10</v>
      </c>
    </row>
    <row r="81" spans="1:12" ht="15.75">
      <c r="A81" s="26" t="s">
        <v>289</v>
      </c>
      <c r="B81" s="21" t="s">
        <v>417</v>
      </c>
      <c r="C81" s="42" t="s">
        <v>191</v>
      </c>
      <c r="D81" s="42" t="s">
        <v>279</v>
      </c>
      <c r="E81" s="42" t="s">
        <v>290</v>
      </c>
      <c r="F81" s="42"/>
      <c r="G81" s="11" t="e">
        <f>G82</f>
        <v>#REF!</v>
      </c>
      <c r="H81" s="11" t="e">
        <f t="shared" si="32"/>
        <v>#REF!</v>
      </c>
      <c r="I81" s="11" t="e">
        <f t="shared" si="32"/>
        <v>#REF!</v>
      </c>
      <c r="J81" s="11" t="e">
        <f t="shared" si="32"/>
        <v>#REF!</v>
      </c>
      <c r="K81" s="11" t="e">
        <f t="shared" si="32"/>
        <v>#REF!</v>
      </c>
      <c r="L81" s="11">
        <f t="shared" si="32"/>
        <v>10</v>
      </c>
    </row>
    <row r="82" spans="1:12" ht="31.5">
      <c r="A82" s="26" t="s">
        <v>291</v>
      </c>
      <c r="B82" s="21" t="s">
        <v>417</v>
      </c>
      <c r="C82" s="42" t="s">
        <v>191</v>
      </c>
      <c r="D82" s="42" t="s">
        <v>279</v>
      </c>
      <c r="E82" s="42" t="s">
        <v>292</v>
      </c>
      <c r="F82" s="42"/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>
        <f>'Прил.№5 ведомств.'!G301</f>
        <v>10</v>
      </c>
    </row>
    <row r="83" spans="1:12" ht="47.25">
      <c r="A83" s="47" t="s">
        <v>302</v>
      </c>
      <c r="B83" s="21" t="s">
        <v>409</v>
      </c>
      <c r="C83" s="42"/>
      <c r="D83" s="42"/>
      <c r="E83" s="42"/>
      <c r="F83" s="10" t="s">
        <v>687</v>
      </c>
      <c r="G83" s="11" t="e">
        <f aca="true" t="shared" si="33" ref="G83:L83">G72</f>
        <v>#REF!</v>
      </c>
      <c r="H83" s="11" t="e">
        <f t="shared" si="33"/>
        <v>#REF!</v>
      </c>
      <c r="I83" s="11" t="e">
        <f t="shared" si="33"/>
        <v>#REF!</v>
      </c>
      <c r="J83" s="11" t="e">
        <f t="shared" si="33"/>
        <v>#REF!</v>
      </c>
      <c r="K83" s="11" t="e">
        <f t="shared" si="33"/>
        <v>#REF!</v>
      </c>
      <c r="L83" s="11">
        <f t="shared" si="33"/>
        <v>20</v>
      </c>
    </row>
    <row r="84" spans="1:12" ht="110.25" customHeight="1" hidden="1">
      <c r="A84" s="26" t="s">
        <v>414</v>
      </c>
      <c r="B84" s="21" t="s">
        <v>415</v>
      </c>
      <c r="C84" s="42" t="s">
        <v>285</v>
      </c>
      <c r="D84" s="42" t="s">
        <v>256</v>
      </c>
      <c r="E84" s="42"/>
      <c r="F84" s="10"/>
      <c r="G84" s="11">
        <f>G85</f>
        <v>0</v>
      </c>
      <c r="H84" s="11">
        <f aca="true" t="shared" si="34" ref="H84:L85">H85</f>
        <v>0</v>
      </c>
      <c r="I84" s="11">
        <f t="shared" si="34"/>
        <v>0</v>
      </c>
      <c r="J84" s="11">
        <f t="shared" si="34"/>
        <v>0</v>
      </c>
      <c r="K84" s="11">
        <f t="shared" si="34"/>
        <v>0</v>
      </c>
      <c r="L84" s="11">
        <f t="shared" si="34"/>
        <v>0</v>
      </c>
    </row>
    <row r="85" spans="1:12" ht="15.75" customHeight="1" hidden="1">
      <c r="A85" s="26" t="s">
        <v>176</v>
      </c>
      <c r="B85" s="21" t="s">
        <v>415</v>
      </c>
      <c r="C85" s="42" t="s">
        <v>285</v>
      </c>
      <c r="D85" s="42" t="s">
        <v>256</v>
      </c>
      <c r="E85" s="42" t="s">
        <v>186</v>
      </c>
      <c r="F85" s="10"/>
      <c r="G85" s="11">
        <f>G86</f>
        <v>0</v>
      </c>
      <c r="H85" s="11">
        <f t="shared" si="34"/>
        <v>0</v>
      </c>
      <c r="I85" s="11">
        <f t="shared" si="34"/>
        <v>0</v>
      </c>
      <c r="J85" s="11">
        <f t="shared" si="34"/>
        <v>0</v>
      </c>
      <c r="K85" s="11">
        <f t="shared" si="34"/>
        <v>0</v>
      </c>
      <c r="L85" s="11">
        <f t="shared" si="34"/>
        <v>0</v>
      </c>
    </row>
    <row r="86" spans="1:12" ht="47.25" customHeight="1" hidden="1">
      <c r="A86" s="26" t="s">
        <v>225</v>
      </c>
      <c r="B86" s="21" t="s">
        <v>415</v>
      </c>
      <c r="C86" s="42" t="s">
        <v>285</v>
      </c>
      <c r="D86" s="42" t="s">
        <v>256</v>
      </c>
      <c r="E86" s="42" t="s">
        <v>201</v>
      </c>
      <c r="F86" s="10"/>
      <c r="G86" s="11"/>
      <c r="H86" s="11"/>
      <c r="I86" s="11"/>
      <c r="J86" s="11"/>
      <c r="K86" s="11"/>
      <c r="L86" s="11"/>
    </row>
    <row r="87" spans="1:12" ht="47.25" customHeight="1" hidden="1">
      <c r="A87" s="47" t="s">
        <v>302</v>
      </c>
      <c r="B87" s="21" t="s">
        <v>415</v>
      </c>
      <c r="C87" s="42" t="s">
        <v>285</v>
      </c>
      <c r="D87" s="42" t="s">
        <v>256</v>
      </c>
      <c r="E87" s="42"/>
      <c r="F87" s="10" t="s">
        <v>687</v>
      </c>
      <c r="G87" s="11">
        <f aca="true" t="shared" si="35" ref="G87:L87">G86</f>
        <v>0</v>
      </c>
      <c r="H87" s="11">
        <f t="shared" si="35"/>
        <v>0</v>
      </c>
      <c r="I87" s="11">
        <f t="shared" si="35"/>
        <v>0</v>
      </c>
      <c r="J87" s="11">
        <f t="shared" si="35"/>
        <v>0</v>
      </c>
      <c r="K87" s="11">
        <f t="shared" si="35"/>
        <v>0</v>
      </c>
      <c r="L87" s="11">
        <f t="shared" si="35"/>
        <v>0</v>
      </c>
    </row>
    <row r="88" spans="1:12" ht="47.25" customHeight="1" hidden="1">
      <c r="A88" s="26" t="s">
        <v>416</v>
      </c>
      <c r="B88" s="21" t="s">
        <v>417</v>
      </c>
      <c r="C88" s="42" t="s">
        <v>285</v>
      </c>
      <c r="D88" s="42" t="s">
        <v>256</v>
      </c>
      <c r="E88" s="42"/>
      <c r="F88" s="10"/>
      <c r="G88" s="11">
        <f>G89</f>
        <v>0</v>
      </c>
      <c r="H88" s="11">
        <f aca="true" t="shared" si="36" ref="H88:L89">H89</f>
        <v>0</v>
      </c>
      <c r="I88" s="11">
        <f t="shared" si="36"/>
        <v>0</v>
      </c>
      <c r="J88" s="11">
        <f t="shared" si="36"/>
        <v>0</v>
      </c>
      <c r="K88" s="11">
        <f t="shared" si="36"/>
        <v>0</v>
      </c>
      <c r="L88" s="11">
        <f t="shared" si="36"/>
        <v>0</v>
      </c>
    </row>
    <row r="89" spans="1:12" ht="15.75" customHeight="1" hidden="1">
      <c r="A89" s="31" t="s">
        <v>289</v>
      </c>
      <c r="B89" s="21" t="s">
        <v>417</v>
      </c>
      <c r="C89" s="42" t="s">
        <v>285</v>
      </c>
      <c r="D89" s="42" t="s">
        <v>256</v>
      </c>
      <c r="E89" s="42" t="s">
        <v>290</v>
      </c>
      <c r="F89" s="10"/>
      <c r="G89" s="11">
        <f>G90</f>
        <v>0</v>
      </c>
      <c r="H89" s="11">
        <f t="shared" si="36"/>
        <v>0</v>
      </c>
      <c r="I89" s="11">
        <f t="shared" si="36"/>
        <v>0</v>
      </c>
      <c r="J89" s="11">
        <f t="shared" si="36"/>
        <v>0</v>
      </c>
      <c r="K89" s="11">
        <f t="shared" si="36"/>
        <v>0</v>
      </c>
      <c r="L89" s="11">
        <f t="shared" si="36"/>
        <v>0</v>
      </c>
    </row>
    <row r="90" spans="1:12" ht="31.5" customHeight="1" hidden="1">
      <c r="A90" s="31" t="s">
        <v>291</v>
      </c>
      <c r="B90" s="21" t="s">
        <v>417</v>
      </c>
      <c r="C90" s="42" t="s">
        <v>285</v>
      </c>
      <c r="D90" s="42" t="s">
        <v>256</v>
      </c>
      <c r="E90" s="42" t="s">
        <v>292</v>
      </c>
      <c r="F90" s="10"/>
      <c r="G90" s="11"/>
      <c r="H90" s="11"/>
      <c r="I90" s="11"/>
      <c r="J90" s="11"/>
      <c r="K90" s="11"/>
      <c r="L90" s="11"/>
    </row>
    <row r="91" spans="1:12" ht="47.25" customHeight="1" hidden="1">
      <c r="A91" s="47" t="s">
        <v>302</v>
      </c>
      <c r="B91" s="21" t="s">
        <v>417</v>
      </c>
      <c r="C91" s="42" t="s">
        <v>285</v>
      </c>
      <c r="D91" s="42" t="s">
        <v>256</v>
      </c>
      <c r="E91" s="42"/>
      <c r="F91" s="10" t="s">
        <v>687</v>
      </c>
      <c r="G91" s="11">
        <f aca="true" t="shared" si="37" ref="G91:L91">G88</f>
        <v>0</v>
      </c>
      <c r="H91" s="11">
        <f t="shared" si="37"/>
        <v>0</v>
      </c>
      <c r="I91" s="11">
        <f t="shared" si="37"/>
        <v>0</v>
      </c>
      <c r="J91" s="11">
        <f t="shared" si="37"/>
        <v>0</v>
      </c>
      <c r="K91" s="11">
        <f t="shared" si="37"/>
        <v>0</v>
      </c>
      <c r="L91" s="11">
        <f t="shared" si="37"/>
        <v>0</v>
      </c>
    </row>
    <row r="92" spans="1:12" ht="31.5" customHeight="1" hidden="1">
      <c r="A92" s="31" t="s">
        <v>418</v>
      </c>
      <c r="B92" s="21" t="s">
        <v>419</v>
      </c>
      <c r="C92" s="42" t="s">
        <v>285</v>
      </c>
      <c r="D92" s="42" t="s">
        <v>256</v>
      </c>
      <c r="E92" s="42"/>
      <c r="F92" s="42"/>
      <c r="G92" s="11">
        <f>G93</f>
        <v>0</v>
      </c>
      <c r="H92" s="11">
        <f aca="true" t="shared" si="38" ref="H92:L93">H93</f>
        <v>0</v>
      </c>
      <c r="I92" s="11">
        <f t="shared" si="38"/>
        <v>0</v>
      </c>
      <c r="J92" s="11">
        <f t="shared" si="38"/>
        <v>0</v>
      </c>
      <c r="K92" s="11">
        <f t="shared" si="38"/>
        <v>0</v>
      </c>
      <c r="L92" s="11">
        <f t="shared" si="38"/>
        <v>0</v>
      </c>
    </row>
    <row r="93" spans="1:12" ht="31.5" customHeight="1" hidden="1">
      <c r="A93" s="31" t="s">
        <v>172</v>
      </c>
      <c r="B93" s="21" t="s">
        <v>419</v>
      </c>
      <c r="C93" s="42" t="s">
        <v>285</v>
      </c>
      <c r="D93" s="42" t="s">
        <v>256</v>
      </c>
      <c r="E93" s="42" t="s">
        <v>173</v>
      </c>
      <c r="F93" s="42"/>
      <c r="G93" s="11">
        <f>G94</f>
        <v>0</v>
      </c>
      <c r="H93" s="11">
        <f t="shared" si="38"/>
        <v>0</v>
      </c>
      <c r="I93" s="11">
        <f t="shared" si="38"/>
        <v>0</v>
      </c>
      <c r="J93" s="11">
        <f t="shared" si="38"/>
        <v>0</v>
      </c>
      <c r="K93" s="11">
        <f t="shared" si="38"/>
        <v>0</v>
      </c>
      <c r="L93" s="11">
        <f t="shared" si="38"/>
        <v>0</v>
      </c>
    </row>
    <row r="94" spans="1:12" ht="31.5" customHeight="1" hidden="1">
      <c r="A94" s="31" t="s">
        <v>174</v>
      </c>
      <c r="B94" s="21" t="s">
        <v>419</v>
      </c>
      <c r="C94" s="42" t="s">
        <v>285</v>
      </c>
      <c r="D94" s="42" t="s">
        <v>256</v>
      </c>
      <c r="E94" s="42" t="s">
        <v>175</v>
      </c>
      <c r="F94" s="42"/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ht="15.75" customHeight="1" hidden="1">
      <c r="A95" s="31" t="s">
        <v>176</v>
      </c>
      <c r="B95" s="21" t="s">
        <v>419</v>
      </c>
      <c r="C95" s="42" t="s">
        <v>285</v>
      </c>
      <c r="D95" s="42" t="s">
        <v>256</v>
      </c>
      <c r="E95" s="42" t="s">
        <v>186</v>
      </c>
      <c r="F95" s="42"/>
      <c r="G95" s="11"/>
      <c r="H95" s="11"/>
      <c r="I95" s="11"/>
      <c r="J95" s="11"/>
      <c r="K95" s="11"/>
      <c r="L95" s="11"/>
    </row>
    <row r="96" spans="1:12" ht="47.25" customHeight="1" hidden="1">
      <c r="A96" s="31" t="s">
        <v>225</v>
      </c>
      <c r="B96" s="21" t="s">
        <v>419</v>
      </c>
      <c r="C96" s="42" t="s">
        <v>285</v>
      </c>
      <c r="D96" s="42" t="s">
        <v>256</v>
      </c>
      <c r="E96" s="42" t="s">
        <v>201</v>
      </c>
      <c r="F96" s="42"/>
      <c r="G96" s="11"/>
      <c r="H96" s="11"/>
      <c r="I96" s="11"/>
      <c r="J96" s="11"/>
      <c r="K96" s="11"/>
      <c r="L96" s="11"/>
    </row>
    <row r="97" spans="1:12" ht="47.25" customHeight="1" hidden="1">
      <c r="A97" s="47" t="s">
        <v>302</v>
      </c>
      <c r="B97" s="21" t="s">
        <v>419</v>
      </c>
      <c r="C97" s="42" t="s">
        <v>285</v>
      </c>
      <c r="D97" s="42" t="s">
        <v>256</v>
      </c>
      <c r="E97" s="42"/>
      <c r="F97" s="10" t="s">
        <v>687</v>
      </c>
      <c r="G97" s="11">
        <f aca="true" t="shared" si="39" ref="G97:L97">G92</f>
        <v>0</v>
      </c>
      <c r="H97" s="11">
        <f t="shared" si="39"/>
        <v>0</v>
      </c>
      <c r="I97" s="11">
        <f t="shared" si="39"/>
        <v>0</v>
      </c>
      <c r="J97" s="11">
        <f t="shared" si="39"/>
        <v>0</v>
      </c>
      <c r="K97" s="11">
        <f t="shared" si="39"/>
        <v>0</v>
      </c>
      <c r="L97" s="11">
        <f t="shared" si="39"/>
        <v>0</v>
      </c>
    </row>
    <row r="98" spans="1:12" ht="94.5">
      <c r="A98" s="43" t="s">
        <v>421</v>
      </c>
      <c r="B98" s="8" t="s">
        <v>422</v>
      </c>
      <c r="C98" s="8"/>
      <c r="D98" s="8"/>
      <c r="E98" s="8"/>
      <c r="F98" s="9"/>
      <c r="G98" s="66" t="e">
        <f>G99</f>
        <v>#REF!</v>
      </c>
      <c r="H98" s="66" t="e">
        <f aca="true" t="shared" si="40" ref="H98:L102">H99</f>
        <v>#REF!</v>
      </c>
      <c r="I98" s="66" t="e">
        <f t="shared" si="40"/>
        <v>#REF!</v>
      </c>
      <c r="J98" s="66" t="e">
        <f t="shared" si="40"/>
        <v>#REF!</v>
      </c>
      <c r="K98" s="66" t="e">
        <f t="shared" si="40"/>
        <v>#REF!</v>
      </c>
      <c r="L98" s="66">
        <f t="shared" si="40"/>
        <v>350</v>
      </c>
    </row>
    <row r="99" spans="1:12" ht="15.75">
      <c r="A99" s="47" t="s">
        <v>158</v>
      </c>
      <c r="B99" s="42" t="s">
        <v>422</v>
      </c>
      <c r="C99" s="42" t="s">
        <v>159</v>
      </c>
      <c r="D99" s="42"/>
      <c r="E99" s="42"/>
      <c r="F99" s="10"/>
      <c r="G99" s="11" t="e">
        <f>G100</f>
        <v>#REF!</v>
      </c>
      <c r="H99" s="11" t="e">
        <f t="shared" si="40"/>
        <v>#REF!</v>
      </c>
      <c r="I99" s="11" t="e">
        <f t="shared" si="40"/>
        <v>#REF!</v>
      </c>
      <c r="J99" s="11" t="e">
        <f t="shared" si="40"/>
        <v>#REF!</v>
      </c>
      <c r="K99" s="11" t="e">
        <f t="shared" si="40"/>
        <v>#REF!</v>
      </c>
      <c r="L99" s="11">
        <f t="shared" si="40"/>
        <v>350</v>
      </c>
    </row>
    <row r="100" spans="1:12" ht="24.75" customHeight="1">
      <c r="A100" s="47" t="s">
        <v>180</v>
      </c>
      <c r="B100" s="42" t="s">
        <v>422</v>
      </c>
      <c r="C100" s="42" t="s">
        <v>159</v>
      </c>
      <c r="D100" s="42" t="s">
        <v>181</v>
      </c>
      <c r="E100" s="42"/>
      <c r="F100" s="10"/>
      <c r="G100" s="11" t="e">
        <f>G101</f>
        <v>#REF!</v>
      </c>
      <c r="H100" s="11" t="e">
        <f t="shared" si="40"/>
        <v>#REF!</v>
      </c>
      <c r="I100" s="11" t="e">
        <f t="shared" si="40"/>
        <v>#REF!</v>
      </c>
      <c r="J100" s="11" t="e">
        <f t="shared" si="40"/>
        <v>#REF!</v>
      </c>
      <c r="K100" s="11" t="e">
        <f t="shared" si="40"/>
        <v>#REF!</v>
      </c>
      <c r="L100" s="11">
        <f>L101+L104</f>
        <v>350</v>
      </c>
    </row>
    <row r="101" spans="1:12" ht="31.5">
      <c r="A101" s="31" t="s">
        <v>198</v>
      </c>
      <c r="B101" s="42" t="s">
        <v>423</v>
      </c>
      <c r="C101" s="42" t="s">
        <v>159</v>
      </c>
      <c r="D101" s="42" t="s">
        <v>181</v>
      </c>
      <c r="E101" s="42"/>
      <c r="F101" s="10"/>
      <c r="G101" s="11" t="e">
        <f>G102</f>
        <v>#REF!</v>
      </c>
      <c r="H101" s="11" t="e">
        <f t="shared" si="40"/>
        <v>#REF!</v>
      </c>
      <c r="I101" s="11" t="e">
        <f t="shared" si="40"/>
        <v>#REF!</v>
      </c>
      <c r="J101" s="11" t="e">
        <f t="shared" si="40"/>
        <v>#REF!</v>
      </c>
      <c r="K101" s="11" t="e">
        <f t="shared" si="40"/>
        <v>#REF!</v>
      </c>
      <c r="L101" s="11">
        <f t="shared" si="40"/>
        <v>342.8</v>
      </c>
    </row>
    <row r="102" spans="1:12" ht="31.5">
      <c r="A102" s="31" t="s">
        <v>172</v>
      </c>
      <c r="B102" s="42" t="s">
        <v>423</v>
      </c>
      <c r="C102" s="42" t="s">
        <v>159</v>
      </c>
      <c r="D102" s="42" t="s">
        <v>181</v>
      </c>
      <c r="E102" s="42" t="s">
        <v>173</v>
      </c>
      <c r="F102" s="10"/>
      <c r="G102" s="11" t="e">
        <f>G103</f>
        <v>#REF!</v>
      </c>
      <c r="H102" s="11" t="e">
        <f t="shared" si="40"/>
        <v>#REF!</v>
      </c>
      <c r="I102" s="11" t="e">
        <f t="shared" si="40"/>
        <v>#REF!</v>
      </c>
      <c r="J102" s="11" t="e">
        <f t="shared" si="40"/>
        <v>#REF!</v>
      </c>
      <c r="K102" s="11" t="e">
        <f t="shared" si="40"/>
        <v>#REF!</v>
      </c>
      <c r="L102" s="11">
        <f t="shared" si="40"/>
        <v>342.8</v>
      </c>
    </row>
    <row r="103" spans="1:13" ht="30.75" customHeight="1">
      <c r="A103" s="31" t="s">
        <v>174</v>
      </c>
      <c r="B103" s="42" t="s">
        <v>423</v>
      </c>
      <c r="C103" s="42" t="s">
        <v>159</v>
      </c>
      <c r="D103" s="42" t="s">
        <v>181</v>
      </c>
      <c r="E103" s="42" t="s">
        <v>175</v>
      </c>
      <c r="F103" s="10"/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>
        <f>'Прил.№5 ведомств.'!G252</f>
        <v>342.8</v>
      </c>
      <c r="M103" s="286" t="s">
        <v>1133</v>
      </c>
    </row>
    <row r="104" spans="1:13" s="285" customFormat="1" ht="30.75" customHeight="1">
      <c r="A104" s="31" t="s">
        <v>1134</v>
      </c>
      <c r="B104" s="42" t="s">
        <v>1135</v>
      </c>
      <c r="C104" s="42" t="s">
        <v>159</v>
      </c>
      <c r="D104" s="42" t="s">
        <v>181</v>
      </c>
      <c r="E104" s="42"/>
      <c r="F104" s="10"/>
      <c r="G104" s="11"/>
      <c r="H104" s="11"/>
      <c r="I104" s="11"/>
      <c r="J104" s="11"/>
      <c r="K104" s="11"/>
      <c r="L104" s="11">
        <f>L105</f>
        <v>7.2</v>
      </c>
      <c r="M104" s="286"/>
    </row>
    <row r="105" spans="1:13" s="285" customFormat="1" ht="30.75" customHeight="1">
      <c r="A105" s="31" t="s">
        <v>172</v>
      </c>
      <c r="B105" s="42" t="s">
        <v>1135</v>
      </c>
      <c r="C105" s="42" t="s">
        <v>159</v>
      </c>
      <c r="D105" s="42" t="s">
        <v>181</v>
      </c>
      <c r="E105" s="42" t="s">
        <v>173</v>
      </c>
      <c r="F105" s="10"/>
      <c r="G105" s="11"/>
      <c r="H105" s="11"/>
      <c r="I105" s="11"/>
      <c r="J105" s="11"/>
      <c r="K105" s="11"/>
      <c r="L105" s="11">
        <f>L106</f>
        <v>7.2</v>
      </c>
      <c r="M105" s="286"/>
    </row>
    <row r="106" spans="1:13" s="285" customFormat="1" ht="30.75" customHeight="1">
      <c r="A106" s="31" t="s">
        <v>174</v>
      </c>
      <c r="B106" s="42" t="s">
        <v>1135</v>
      </c>
      <c r="C106" s="42" t="s">
        <v>159</v>
      </c>
      <c r="D106" s="42" t="s">
        <v>181</v>
      </c>
      <c r="E106" s="42" t="s">
        <v>175</v>
      </c>
      <c r="F106" s="10"/>
      <c r="G106" s="11"/>
      <c r="H106" s="11"/>
      <c r="I106" s="11"/>
      <c r="J106" s="11"/>
      <c r="K106" s="11"/>
      <c r="L106" s="11">
        <f>'Прил.№5 ведомств.'!G255</f>
        <v>7.2</v>
      </c>
      <c r="M106" s="286" t="s">
        <v>1136</v>
      </c>
    </row>
    <row r="107" spans="1:12" ht="47.25">
      <c r="A107" s="47" t="s">
        <v>302</v>
      </c>
      <c r="B107" s="42" t="s">
        <v>422</v>
      </c>
      <c r="C107" s="42"/>
      <c r="D107" s="42"/>
      <c r="E107" s="42"/>
      <c r="F107" s="10" t="s">
        <v>687</v>
      </c>
      <c r="G107" s="11" t="e">
        <f aca="true" t="shared" si="41" ref="G107:L107">G98</f>
        <v>#REF!</v>
      </c>
      <c r="H107" s="11" t="e">
        <f t="shared" si="41"/>
        <v>#REF!</v>
      </c>
      <c r="I107" s="11" t="e">
        <f t="shared" si="41"/>
        <v>#REF!</v>
      </c>
      <c r="J107" s="11" t="e">
        <f t="shared" si="41"/>
        <v>#REF!</v>
      </c>
      <c r="K107" s="11" t="e">
        <f t="shared" si="41"/>
        <v>#REF!</v>
      </c>
      <c r="L107" s="11">
        <f t="shared" si="41"/>
        <v>350</v>
      </c>
    </row>
    <row r="108" spans="1:12" ht="47.25">
      <c r="A108" s="63" t="s">
        <v>468</v>
      </c>
      <c r="B108" s="8" t="s">
        <v>448</v>
      </c>
      <c r="C108" s="8"/>
      <c r="D108" s="8"/>
      <c r="E108" s="8"/>
      <c r="F108" s="8"/>
      <c r="G108" s="66" t="e">
        <f aca="true" t="shared" si="42" ref="G108:L108">G109+G124+G175+G212+G236</f>
        <v>#REF!</v>
      </c>
      <c r="H108" s="66" t="e">
        <f t="shared" si="42"/>
        <v>#REF!</v>
      </c>
      <c r="I108" s="66" t="e">
        <f t="shared" si="42"/>
        <v>#REF!</v>
      </c>
      <c r="J108" s="66" t="e">
        <f t="shared" si="42"/>
        <v>#REF!</v>
      </c>
      <c r="K108" s="66" t="e">
        <f t="shared" si="42"/>
        <v>#REF!</v>
      </c>
      <c r="L108" s="66">
        <f t="shared" si="42"/>
        <v>98139.00000000001</v>
      </c>
    </row>
    <row r="109" spans="1:12" ht="31.5">
      <c r="A109" s="43" t="s">
        <v>449</v>
      </c>
      <c r="B109" s="8" t="s">
        <v>450</v>
      </c>
      <c r="C109" s="8"/>
      <c r="D109" s="8"/>
      <c r="E109" s="8"/>
      <c r="F109" s="8"/>
      <c r="G109" s="66" t="e">
        <f aca="true" t="shared" si="43" ref="G109:L109">G110</f>
        <v>#REF!</v>
      </c>
      <c r="H109" s="66" t="e">
        <f t="shared" si="43"/>
        <v>#REF!</v>
      </c>
      <c r="I109" s="66" t="e">
        <f t="shared" si="43"/>
        <v>#REF!</v>
      </c>
      <c r="J109" s="66" t="e">
        <f t="shared" si="43"/>
        <v>#REF!</v>
      </c>
      <c r="K109" s="66" t="e">
        <f t="shared" si="43"/>
        <v>#REF!</v>
      </c>
      <c r="L109" s="66">
        <f t="shared" si="43"/>
        <v>74097.8</v>
      </c>
    </row>
    <row r="110" spans="1:12" ht="15.75">
      <c r="A110" s="31" t="s">
        <v>304</v>
      </c>
      <c r="B110" s="42" t="s">
        <v>450</v>
      </c>
      <c r="C110" s="42" t="s">
        <v>305</v>
      </c>
      <c r="D110" s="42"/>
      <c r="E110" s="42"/>
      <c r="F110" s="42"/>
      <c r="G110" s="11" t="e">
        <f aca="true" t="shared" si="44" ref="G110:L110">G111+G115+G119</f>
        <v>#REF!</v>
      </c>
      <c r="H110" s="11" t="e">
        <f t="shared" si="44"/>
        <v>#REF!</v>
      </c>
      <c r="I110" s="11" t="e">
        <f t="shared" si="44"/>
        <v>#REF!</v>
      </c>
      <c r="J110" s="11" t="e">
        <f t="shared" si="44"/>
        <v>#REF!</v>
      </c>
      <c r="K110" s="11" t="e">
        <f t="shared" si="44"/>
        <v>#REF!</v>
      </c>
      <c r="L110" s="11">
        <f t="shared" si="44"/>
        <v>74097.8</v>
      </c>
    </row>
    <row r="111" spans="1:12" ht="15.75">
      <c r="A111" s="47" t="s">
        <v>446</v>
      </c>
      <c r="B111" s="42" t="s">
        <v>450</v>
      </c>
      <c r="C111" s="42" t="s">
        <v>305</v>
      </c>
      <c r="D111" s="42" t="s">
        <v>159</v>
      </c>
      <c r="E111" s="42"/>
      <c r="F111" s="42"/>
      <c r="G111" s="11" t="e">
        <f>G112</f>
        <v>#REF!</v>
      </c>
      <c r="H111" s="11" t="e">
        <f aca="true" t="shared" si="45" ref="H111:L113">H112</f>
        <v>#REF!</v>
      </c>
      <c r="I111" s="11" t="e">
        <f t="shared" si="45"/>
        <v>#REF!</v>
      </c>
      <c r="J111" s="11" t="e">
        <f t="shared" si="45"/>
        <v>#REF!</v>
      </c>
      <c r="K111" s="11" t="e">
        <f t="shared" si="45"/>
        <v>#REF!</v>
      </c>
      <c r="L111" s="11">
        <f t="shared" si="45"/>
        <v>13527.000000000002</v>
      </c>
    </row>
    <row r="112" spans="1:12" ht="31.5">
      <c r="A112" s="31" t="s">
        <v>451</v>
      </c>
      <c r="B112" s="42" t="s">
        <v>452</v>
      </c>
      <c r="C112" s="42" t="s">
        <v>305</v>
      </c>
      <c r="D112" s="42" t="s">
        <v>159</v>
      </c>
      <c r="E112" s="42"/>
      <c r="F112" s="42"/>
      <c r="G112" s="11" t="e">
        <f>G113</f>
        <v>#REF!</v>
      </c>
      <c r="H112" s="11" t="e">
        <f t="shared" si="45"/>
        <v>#REF!</v>
      </c>
      <c r="I112" s="11" t="e">
        <f t="shared" si="45"/>
        <v>#REF!</v>
      </c>
      <c r="J112" s="11" t="e">
        <f t="shared" si="45"/>
        <v>#REF!</v>
      </c>
      <c r="K112" s="11" t="e">
        <f t="shared" si="45"/>
        <v>#REF!</v>
      </c>
      <c r="L112" s="11">
        <f t="shared" si="45"/>
        <v>13527.000000000002</v>
      </c>
    </row>
    <row r="113" spans="1:12" ht="31.5">
      <c r="A113" s="31" t="s">
        <v>313</v>
      </c>
      <c r="B113" s="42" t="s">
        <v>452</v>
      </c>
      <c r="C113" s="42" t="s">
        <v>305</v>
      </c>
      <c r="D113" s="42" t="s">
        <v>159</v>
      </c>
      <c r="E113" s="42" t="s">
        <v>314</v>
      </c>
      <c r="F113" s="42"/>
      <c r="G113" s="11" t="e">
        <f>G114</f>
        <v>#REF!</v>
      </c>
      <c r="H113" s="11" t="e">
        <f t="shared" si="45"/>
        <v>#REF!</v>
      </c>
      <c r="I113" s="11" t="e">
        <f t="shared" si="45"/>
        <v>#REF!</v>
      </c>
      <c r="J113" s="11" t="e">
        <f t="shared" si="45"/>
        <v>#REF!</v>
      </c>
      <c r="K113" s="11" t="e">
        <f t="shared" si="45"/>
        <v>#REF!</v>
      </c>
      <c r="L113" s="11">
        <f t="shared" si="45"/>
        <v>13527.000000000002</v>
      </c>
    </row>
    <row r="114" spans="1:12" ht="15.75">
      <c r="A114" s="31" t="s">
        <v>315</v>
      </c>
      <c r="B114" s="42" t="s">
        <v>452</v>
      </c>
      <c r="C114" s="42" t="s">
        <v>305</v>
      </c>
      <c r="D114" s="42" t="s">
        <v>159</v>
      </c>
      <c r="E114" s="42" t="s">
        <v>316</v>
      </c>
      <c r="F114" s="42"/>
      <c r="G114" s="7" t="e">
        <f>#REF!</f>
        <v>#REF!</v>
      </c>
      <c r="H114" s="7" t="e">
        <f>#REF!</f>
        <v>#REF!</v>
      </c>
      <c r="I114" s="7" t="e">
        <f>#REF!</f>
        <v>#REF!</v>
      </c>
      <c r="J114" s="7" t="e">
        <f>#REF!</f>
        <v>#REF!</v>
      </c>
      <c r="K114" s="7" t="e">
        <f>#REF!</f>
        <v>#REF!</v>
      </c>
      <c r="L114" s="7">
        <f>'Прил.№5 ведомств.'!G698</f>
        <v>13527.000000000002</v>
      </c>
    </row>
    <row r="115" spans="1:12" ht="15.75">
      <c r="A115" s="31" t="s">
        <v>467</v>
      </c>
      <c r="B115" s="42" t="s">
        <v>450</v>
      </c>
      <c r="C115" s="42" t="s">
        <v>305</v>
      </c>
      <c r="D115" s="42" t="s">
        <v>254</v>
      </c>
      <c r="E115" s="42"/>
      <c r="F115" s="42"/>
      <c r="G115" s="11" t="e">
        <f>G116</f>
        <v>#REF!</v>
      </c>
      <c r="H115" s="11" t="e">
        <f aca="true" t="shared" si="46" ref="H115:L117">H116</f>
        <v>#REF!</v>
      </c>
      <c r="I115" s="11" t="e">
        <f t="shared" si="46"/>
        <v>#REF!</v>
      </c>
      <c r="J115" s="11" t="e">
        <f t="shared" si="46"/>
        <v>#REF!</v>
      </c>
      <c r="K115" s="11" t="e">
        <f t="shared" si="46"/>
        <v>#REF!</v>
      </c>
      <c r="L115" s="11">
        <f t="shared" si="46"/>
        <v>29802.399999999998</v>
      </c>
    </row>
    <row r="116" spans="1:12" ht="30.75" customHeight="1">
      <c r="A116" s="31" t="s">
        <v>469</v>
      </c>
      <c r="B116" s="42" t="s">
        <v>470</v>
      </c>
      <c r="C116" s="42" t="s">
        <v>305</v>
      </c>
      <c r="D116" s="42" t="s">
        <v>254</v>
      </c>
      <c r="E116" s="42"/>
      <c r="F116" s="42"/>
      <c r="G116" s="11" t="e">
        <f>G117</f>
        <v>#REF!</v>
      </c>
      <c r="H116" s="11" t="e">
        <f t="shared" si="46"/>
        <v>#REF!</v>
      </c>
      <c r="I116" s="11" t="e">
        <f t="shared" si="46"/>
        <v>#REF!</v>
      </c>
      <c r="J116" s="11" t="e">
        <f t="shared" si="46"/>
        <v>#REF!</v>
      </c>
      <c r="K116" s="11" t="e">
        <f t="shared" si="46"/>
        <v>#REF!</v>
      </c>
      <c r="L116" s="11">
        <f t="shared" si="46"/>
        <v>29802.399999999998</v>
      </c>
    </row>
    <row r="117" spans="1:12" ht="37.5" customHeight="1">
      <c r="A117" s="31" t="s">
        <v>313</v>
      </c>
      <c r="B117" s="42" t="s">
        <v>470</v>
      </c>
      <c r="C117" s="42" t="s">
        <v>305</v>
      </c>
      <c r="D117" s="42" t="s">
        <v>254</v>
      </c>
      <c r="E117" s="42" t="s">
        <v>314</v>
      </c>
      <c r="F117" s="42"/>
      <c r="G117" s="11" t="e">
        <f>G118</f>
        <v>#REF!</v>
      </c>
      <c r="H117" s="11" t="e">
        <f t="shared" si="46"/>
        <v>#REF!</v>
      </c>
      <c r="I117" s="11" t="e">
        <f t="shared" si="46"/>
        <v>#REF!</v>
      </c>
      <c r="J117" s="11" t="e">
        <f t="shared" si="46"/>
        <v>#REF!</v>
      </c>
      <c r="K117" s="11" t="e">
        <f t="shared" si="46"/>
        <v>#REF!</v>
      </c>
      <c r="L117" s="11">
        <f t="shared" si="46"/>
        <v>29802.399999999998</v>
      </c>
    </row>
    <row r="118" spans="1:12" ht="15.75">
      <c r="A118" s="31" t="s">
        <v>315</v>
      </c>
      <c r="B118" s="42" t="s">
        <v>470</v>
      </c>
      <c r="C118" s="42" t="s">
        <v>305</v>
      </c>
      <c r="D118" s="42" t="s">
        <v>254</v>
      </c>
      <c r="E118" s="42" t="s">
        <v>316</v>
      </c>
      <c r="F118" s="42"/>
      <c r="G118" s="7" t="e">
        <f>#REF!</f>
        <v>#REF!</v>
      </c>
      <c r="H118" s="7" t="e">
        <f>#REF!</f>
        <v>#REF!</v>
      </c>
      <c r="I118" s="7" t="e">
        <f>#REF!</f>
        <v>#REF!</v>
      </c>
      <c r="J118" s="7" t="e">
        <f>#REF!</f>
        <v>#REF!</v>
      </c>
      <c r="K118" s="7" t="e">
        <f>#REF!</f>
        <v>#REF!</v>
      </c>
      <c r="L118" s="7">
        <f>'Прил.№5 ведомств.'!G757</f>
        <v>29802.399999999998</v>
      </c>
    </row>
    <row r="119" spans="1:12" ht="15.75">
      <c r="A119" s="31" t="s">
        <v>306</v>
      </c>
      <c r="B119" s="42" t="s">
        <v>450</v>
      </c>
      <c r="C119" s="42" t="s">
        <v>305</v>
      </c>
      <c r="D119" s="42" t="s">
        <v>256</v>
      </c>
      <c r="E119" s="42"/>
      <c r="F119" s="42"/>
      <c r="G119" s="7" t="e">
        <f>G120</f>
        <v>#REF!</v>
      </c>
      <c r="H119" s="7" t="e">
        <f aca="true" t="shared" si="47" ref="H119:L121">H120</f>
        <v>#REF!</v>
      </c>
      <c r="I119" s="7" t="e">
        <f t="shared" si="47"/>
        <v>#REF!</v>
      </c>
      <c r="J119" s="7" t="e">
        <f t="shared" si="47"/>
        <v>#REF!</v>
      </c>
      <c r="K119" s="7" t="e">
        <f t="shared" si="47"/>
        <v>#REF!</v>
      </c>
      <c r="L119" s="7">
        <f t="shared" si="47"/>
        <v>30768.399999999998</v>
      </c>
    </row>
    <row r="120" spans="1:12" ht="47.25">
      <c r="A120" s="31" t="s">
        <v>311</v>
      </c>
      <c r="B120" s="42" t="s">
        <v>471</v>
      </c>
      <c r="C120" s="42" t="s">
        <v>305</v>
      </c>
      <c r="D120" s="42" t="s">
        <v>256</v>
      </c>
      <c r="E120" s="8"/>
      <c r="F120" s="8"/>
      <c r="G120" s="11" t="e">
        <f>G121</f>
        <v>#REF!</v>
      </c>
      <c r="H120" s="11" t="e">
        <f t="shared" si="47"/>
        <v>#REF!</v>
      </c>
      <c r="I120" s="11" t="e">
        <f t="shared" si="47"/>
        <v>#REF!</v>
      </c>
      <c r="J120" s="11" t="e">
        <f t="shared" si="47"/>
        <v>#REF!</v>
      </c>
      <c r="K120" s="11" t="e">
        <f t="shared" si="47"/>
        <v>#REF!</v>
      </c>
      <c r="L120" s="11">
        <f t="shared" si="47"/>
        <v>30768.399999999998</v>
      </c>
    </row>
    <row r="121" spans="1:12" ht="31.5">
      <c r="A121" s="31" t="s">
        <v>313</v>
      </c>
      <c r="B121" s="42" t="s">
        <v>471</v>
      </c>
      <c r="C121" s="42" t="s">
        <v>305</v>
      </c>
      <c r="D121" s="42" t="s">
        <v>256</v>
      </c>
      <c r="E121" s="42" t="s">
        <v>314</v>
      </c>
      <c r="F121" s="42"/>
      <c r="G121" s="11" t="e">
        <f>G122</f>
        <v>#REF!</v>
      </c>
      <c r="H121" s="11" t="e">
        <f t="shared" si="47"/>
        <v>#REF!</v>
      </c>
      <c r="I121" s="11" t="e">
        <f t="shared" si="47"/>
        <v>#REF!</v>
      </c>
      <c r="J121" s="11" t="e">
        <f t="shared" si="47"/>
        <v>#REF!</v>
      </c>
      <c r="K121" s="11" t="e">
        <f t="shared" si="47"/>
        <v>#REF!</v>
      </c>
      <c r="L121" s="11">
        <f t="shared" si="47"/>
        <v>30768.399999999998</v>
      </c>
    </row>
    <row r="122" spans="1:12" ht="15.75">
      <c r="A122" s="31" t="s">
        <v>315</v>
      </c>
      <c r="B122" s="42" t="s">
        <v>471</v>
      </c>
      <c r="C122" s="42" t="s">
        <v>305</v>
      </c>
      <c r="D122" s="42" t="s">
        <v>256</v>
      </c>
      <c r="E122" s="42" t="s">
        <v>316</v>
      </c>
      <c r="F122" s="42"/>
      <c r="G122" s="7" t="e">
        <f>#REF!</f>
        <v>#REF!</v>
      </c>
      <c r="H122" s="7" t="e">
        <f>#REF!</f>
        <v>#REF!</v>
      </c>
      <c r="I122" s="7" t="e">
        <f>#REF!</f>
        <v>#REF!</v>
      </c>
      <c r="J122" s="7" t="e">
        <f>#REF!</f>
        <v>#REF!</v>
      </c>
      <c r="K122" s="7" t="e">
        <f>#REF!</f>
        <v>#REF!</v>
      </c>
      <c r="L122" s="7">
        <f>'Прил.№5 ведомств.'!G837</f>
        <v>30768.399999999998</v>
      </c>
    </row>
    <row r="123" spans="1:12" ht="31.5">
      <c r="A123" s="31" t="s">
        <v>445</v>
      </c>
      <c r="B123" s="42" t="s">
        <v>450</v>
      </c>
      <c r="C123" s="42"/>
      <c r="D123" s="42"/>
      <c r="E123" s="42"/>
      <c r="F123" s="42" t="s">
        <v>696</v>
      </c>
      <c r="G123" s="7" t="e">
        <f aca="true" t="shared" si="48" ref="G123:L123">G109</f>
        <v>#REF!</v>
      </c>
      <c r="H123" s="7" t="e">
        <f t="shared" si="48"/>
        <v>#REF!</v>
      </c>
      <c r="I123" s="7" t="e">
        <f t="shared" si="48"/>
        <v>#REF!</v>
      </c>
      <c r="J123" s="7" t="e">
        <f t="shared" si="48"/>
        <v>#REF!</v>
      </c>
      <c r="K123" s="7" t="e">
        <f t="shared" si="48"/>
        <v>#REF!</v>
      </c>
      <c r="L123" s="7">
        <f t="shared" si="48"/>
        <v>74097.8</v>
      </c>
    </row>
    <row r="124" spans="1:12" ht="31.5">
      <c r="A124" s="43" t="s">
        <v>453</v>
      </c>
      <c r="B124" s="8" t="s">
        <v>454</v>
      </c>
      <c r="C124" s="8"/>
      <c r="D124" s="8"/>
      <c r="E124" s="8"/>
      <c r="F124" s="8"/>
      <c r="G124" s="66" t="e">
        <f aca="true" t="shared" si="49" ref="G124:L125">G125</f>
        <v>#REF!</v>
      </c>
      <c r="H124" s="66" t="e">
        <f t="shared" si="49"/>
        <v>#REF!</v>
      </c>
      <c r="I124" s="66" t="e">
        <f t="shared" si="49"/>
        <v>#REF!</v>
      </c>
      <c r="J124" s="66" t="e">
        <f t="shared" si="49"/>
        <v>#REF!</v>
      </c>
      <c r="K124" s="66" t="e">
        <f t="shared" si="49"/>
        <v>#REF!</v>
      </c>
      <c r="L124" s="66">
        <f t="shared" si="49"/>
        <v>10304.1</v>
      </c>
    </row>
    <row r="125" spans="1:12" ht="15.75">
      <c r="A125" s="31" t="s">
        <v>304</v>
      </c>
      <c r="B125" s="42" t="s">
        <v>454</v>
      </c>
      <c r="C125" s="42" t="s">
        <v>305</v>
      </c>
      <c r="D125" s="42"/>
      <c r="E125" s="42"/>
      <c r="F125" s="42"/>
      <c r="G125" s="11" t="e">
        <f t="shared" si="49"/>
        <v>#REF!</v>
      </c>
      <c r="H125" s="11" t="e">
        <f t="shared" si="49"/>
        <v>#REF!</v>
      </c>
      <c r="I125" s="11" t="e">
        <f t="shared" si="49"/>
        <v>#REF!</v>
      </c>
      <c r="J125" s="11" t="e">
        <f t="shared" si="49"/>
        <v>#REF!</v>
      </c>
      <c r="K125" s="11" t="e">
        <f t="shared" si="49"/>
        <v>#REF!</v>
      </c>
      <c r="L125" s="11">
        <f t="shared" si="49"/>
        <v>10304.1</v>
      </c>
    </row>
    <row r="126" spans="1:12" ht="15.75">
      <c r="A126" s="47" t="s">
        <v>446</v>
      </c>
      <c r="B126" s="42" t="s">
        <v>454</v>
      </c>
      <c r="C126" s="42" t="s">
        <v>305</v>
      </c>
      <c r="D126" s="42" t="s">
        <v>159</v>
      </c>
      <c r="E126" s="42"/>
      <c r="F126" s="42"/>
      <c r="G126" s="11" t="e">
        <f>G137+G135+G131+G140+G143+G146</f>
        <v>#REF!</v>
      </c>
      <c r="H126" s="11" t="e">
        <f>H137+H135+H131+H140+H143+H146</f>
        <v>#REF!</v>
      </c>
      <c r="I126" s="11" t="e">
        <f>I137+I135+I131+I140+I143+I146</f>
        <v>#REF!</v>
      </c>
      <c r="J126" s="11" t="e">
        <f>J137+J135+J131+J140+J143+J146</f>
        <v>#REF!</v>
      </c>
      <c r="K126" s="11" t="e">
        <f>K137+K135+K131+K140+K143+K146</f>
        <v>#REF!</v>
      </c>
      <c r="L126" s="11">
        <f>L137+L135+L131+L140+L143+L146+L149</f>
        <v>10304.1</v>
      </c>
    </row>
    <row r="127" spans="1:12" ht="57.75" customHeight="1" hidden="1">
      <c r="A127" s="31" t="s">
        <v>646</v>
      </c>
      <c r="B127" s="42" t="s">
        <v>647</v>
      </c>
      <c r="C127" s="42" t="s">
        <v>305</v>
      </c>
      <c r="D127" s="42" t="s">
        <v>159</v>
      </c>
      <c r="E127" s="42"/>
      <c r="F127" s="42"/>
      <c r="G127" s="11">
        <f>G128</f>
        <v>0</v>
      </c>
      <c r="H127" s="11">
        <f aca="true" t="shared" si="50" ref="H127:L128">H128</f>
        <v>0</v>
      </c>
      <c r="I127" s="11">
        <f t="shared" si="50"/>
        <v>0</v>
      </c>
      <c r="J127" s="11">
        <f t="shared" si="50"/>
        <v>0</v>
      </c>
      <c r="K127" s="11">
        <f t="shared" si="50"/>
        <v>0</v>
      </c>
      <c r="L127" s="11">
        <f t="shared" si="50"/>
        <v>0</v>
      </c>
    </row>
    <row r="128" spans="1:12" ht="31.5" customHeight="1" hidden="1">
      <c r="A128" s="31" t="s">
        <v>313</v>
      </c>
      <c r="B128" s="42" t="s">
        <v>647</v>
      </c>
      <c r="C128" s="42" t="s">
        <v>305</v>
      </c>
      <c r="D128" s="42" t="s">
        <v>159</v>
      </c>
      <c r="E128" s="42" t="s">
        <v>314</v>
      </c>
      <c r="F128" s="42"/>
      <c r="G128" s="11">
        <f>G129</f>
        <v>0</v>
      </c>
      <c r="H128" s="11">
        <f t="shared" si="50"/>
        <v>0</v>
      </c>
      <c r="I128" s="11">
        <f t="shared" si="50"/>
        <v>0</v>
      </c>
      <c r="J128" s="11">
        <f t="shared" si="50"/>
        <v>0</v>
      </c>
      <c r="K128" s="11">
        <f t="shared" si="50"/>
        <v>0</v>
      </c>
      <c r="L128" s="11">
        <f t="shared" si="50"/>
        <v>0</v>
      </c>
    </row>
    <row r="129" spans="1:12" ht="15.75" customHeight="1" hidden="1">
      <c r="A129" s="31" t="s">
        <v>315</v>
      </c>
      <c r="B129" s="42" t="s">
        <v>647</v>
      </c>
      <c r="C129" s="42" t="s">
        <v>305</v>
      </c>
      <c r="D129" s="42" t="s">
        <v>159</v>
      </c>
      <c r="E129" s="42" t="s">
        <v>316</v>
      </c>
      <c r="F129" s="42"/>
      <c r="G129" s="11"/>
      <c r="H129" s="11"/>
      <c r="I129" s="11"/>
      <c r="J129" s="11"/>
      <c r="K129" s="11"/>
      <c r="L129" s="11"/>
    </row>
    <row r="130" spans="1:12" ht="31.5" customHeight="1" hidden="1">
      <c r="A130" s="31" t="s">
        <v>445</v>
      </c>
      <c r="B130" s="42" t="s">
        <v>647</v>
      </c>
      <c r="C130" s="42" t="s">
        <v>305</v>
      </c>
      <c r="D130" s="42" t="s">
        <v>159</v>
      </c>
      <c r="E130" s="42"/>
      <c r="F130" s="42" t="s">
        <v>696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</row>
    <row r="131" spans="1:12" ht="31.5">
      <c r="A131" s="31" t="s">
        <v>319</v>
      </c>
      <c r="B131" s="42" t="s">
        <v>455</v>
      </c>
      <c r="C131" s="42" t="s">
        <v>305</v>
      </c>
      <c r="D131" s="42" t="s">
        <v>159</v>
      </c>
      <c r="E131" s="42"/>
      <c r="F131" s="42"/>
      <c r="G131" s="11" t="e">
        <f>G132</f>
        <v>#REF!</v>
      </c>
      <c r="H131" s="11" t="e">
        <f aca="true" t="shared" si="51" ref="H131:L132">H132</f>
        <v>#REF!</v>
      </c>
      <c r="I131" s="11" t="e">
        <f t="shared" si="51"/>
        <v>#REF!</v>
      </c>
      <c r="J131" s="11" t="e">
        <f t="shared" si="51"/>
        <v>#REF!</v>
      </c>
      <c r="K131" s="11" t="e">
        <f t="shared" si="51"/>
        <v>#REF!</v>
      </c>
      <c r="L131" s="11">
        <f t="shared" si="51"/>
        <v>503.8</v>
      </c>
    </row>
    <row r="132" spans="1:12" ht="31.5">
      <c r="A132" s="31" t="s">
        <v>313</v>
      </c>
      <c r="B132" s="42" t="s">
        <v>455</v>
      </c>
      <c r="C132" s="42" t="s">
        <v>305</v>
      </c>
      <c r="D132" s="42" t="s">
        <v>159</v>
      </c>
      <c r="E132" s="42" t="s">
        <v>314</v>
      </c>
      <c r="F132" s="42"/>
      <c r="G132" s="11" t="e">
        <f>G133</f>
        <v>#REF!</v>
      </c>
      <c r="H132" s="11" t="e">
        <f t="shared" si="51"/>
        <v>#REF!</v>
      </c>
      <c r="I132" s="11" t="e">
        <f t="shared" si="51"/>
        <v>#REF!</v>
      </c>
      <c r="J132" s="11" t="e">
        <f t="shared" si="51"/>
        <v>#REF!</v>
      </c>
      <c r="K132" s="11" t="e">
        <f t="shared" si="51"/>
        <v>#REF!</v>
      </c>
      <c r="L132" s="11">
        <f t="shared" si="51"/>
        <v>503.8</v>
      </c>
    </row>
    <row r="133" spans="1:12" ht="15.75">
      <c r="A133" s="31" t="s">
        <v>315</v>
      </c>
      <c r="B133" s="42" t="s">
        <v>455</v>
      </c>
      <c r="C133" s="42" t="s">
        <v>305</v>
      </c>
      <c r="D133" s="42" t="s">
        <v>159</v>
      </c>
      <c r="E133" s="42" t="s">
        <v>316</v>
      </c>
      <c r="F133" s="42"/>
      <c r="G133" s="11" t="e">
        <f>#REF!</f>
        <v>#REF!</v>
      </c>
      <c r="H133" s="11" t="e">
        <f>#REF!</f>
        <v>#REF!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>
        <f>'Прил.№5 ведомств.'!G702</f>
        <v>503.8</v>
      </c>
    </row>
    <row r="134" spans="1:12" ht="31.5" customHeight="1">
      <c r="A134" s="31" t="s">
        <v>321</v>
      </c>
      <c r="B134" s="42" t="s">
        <v>456</v>
      </c>
      <c r="C134" s="42" t="s">
        <v>305</v>
      </c>
      <c r="D134" s="42" t="s">
        <v>159</v>
      </c>
      <c r="E134" s="42"/>
      <c r="F134" s="42"/>
      <c r="G134" s="11" t="e">
        <f>G135</f>
        <v>#REF!</v>
      </c>
      <c r="H134" s="11" t="e">
        <f aca="true" t="shared" si="52" ref="H134:L135">H135</f>
        <v>#REF!</v>
      </c>
      <c r="I134" s="11" t="e">
        <f t="shared" si="52"/>
        <v>#REF!</v>
      </c>
      <c r="J134" s="11" t="e">
        <f t="shared" si="52"/>
        <v>#REF!</v>
      </c>
      <c r="K134" s="11" t="e">
        <f t="shared" si="52"/>
        <v>#REF!</v>
      </c>
      <c r="L134" s="11">
        <f t="shared" si="52"/>
        <v>291.6</v>
      </c>
    </row>
    <row r="135" spans="1:12" ht="31.5" customHeight="1">
      <c r="A135" s="31" t="s">
        <v>313</v>
      </c>
      <c r="B135" s="42" t="s">
        <v>456</v>
      </c>
      <c r="C135" s="42" t="s">
        <v>305</v>
      </c>
      <c r="D135" s="42" t="s">
        <v>159</v>
      </c>
      <c r="E135" s="42" t="s">
        <v>314</v>
      </c>
      <c r="F135" s="42"/>
      <c r="G135" s="11" t="e">
        <f>G136</f>
        <v>#REF!</v>
      </c>
      <c r="H135" s="11" t="e">
        <f t="shared" si="52"/>
        <v>#REF!</v>
      </c>
      <c r="I135" s="11" t="e">
        <f t="shared" si="52"/>
        <v>#REF!</v>
      </c>
      <c r="J135" s="11" t="e">
        <f t="shared" si="52"/>
        <v>#REF!</v>
      </c>
      <c r="K135" s="11" t="e">
        <f t="shared" si="52"/>
        <v>#REF!</v>
      </c>
      <c r="L135" s="11">
        <f t="shared" si="52"/>
        <v>291.6</v>
      </c>
    </row>
    <row r="136" spans="1:12" ht="15.75" customHeight="1">
      <c r="A136" s="31" t="s">
        <v>315</v>
      </c>
      <c r="B136" s="42" t="s">
        <v>456</v>
      </c>
      <c r="C136" s="42" t="s">
        <v>305</v>
      </c>
      <c r="D136" s="42" t="s">
        <v>159</v>
      </c>
      <c r="E136" s="42" t="s">
        <v>316</v>
      </c>
      <c r="F136" s="42"/>
      <c r="G136" s="11" t="e">
        <f>#REF!</f>
        <v>#REF!</v>
      </c>
      <c r="H136" s="11" t="e">
        <f>#REF!</f>
        <v>#REF!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>
        <f>'Прил.№5 ведомств.'!G705</f>
        <v>291.6</v>
      </c>
    </row>
    <row r="137" spans="1:12" ht="31.5">
      <c r="A137" s="31" t="s">
        <v>457</v>
      </c>
      <c r="B137" s="42" t="s">
        <v>458</v>
      </c>
      <c r="C137" s="42" t="s">
        <v>305</v>
      </c>
      <c r="D137" s="42" t="s">
        <v>159</v>
      </c>
      <c r="E137" s="42"/>
      <c r="F137" s="42"/>
      <c r="G137" s="11" t="e">
        <f>G138</f>
        <v>#REF!</v>
      </c>
      <c r="H137" s="11" t="e">
        <f aca="true" t="shared" si="53" ref="H137:L138">H138</f>
        <v>#REF!</v>
      </c>
      <c r="I137" s="11" t="e">
        <f t="shared" si="53"/>
        <v>#REF!</v>
      </c>
      <c r="J137" s="11" t="e">
        <f t="shared" si="53"/>
        <v>#REF!</v>
      </c>
      <c r="K137" s="11" t="e">
        <f t="shared" si="53"/>
        <v>#REF!</v>
      </c>
      <c r="L137" s="11">
        <f t="shared" si="53"/>
        <v>5142.8</v>
      </c>
    </row>
    <row r="138" spans="1:12" ht="65.25" customHeight="1">
      <c r="A138" s="31" t="s">
        <v>313</v>
      </c>
      <c r="B138" s="42" t="s">
        <v>458</v>
      </c>
      <c r="C138" s="42" t="s">
        <v>305</v>
      </c>
      <c r="D138" s="42" t="s">
        <v>159</v>
      </c>
      <c r="E138" s="42" t="s">
        <v>314</v>
      </c>
      <c r="F138" s="42"/>
      <c r="G138" s="11" t="e">
        <f>G139</f>
        <v>#REF!</v>
      </c>
      <c r="H138" s="11" t="e">
        <f t="shared" si="53"/>
        <v>#REF!</v>
      </c>
      <c r="I138" s="11" t="e">
        <f t="shared" si="53"/>
        <v>#REF!</v>
      </c>
      <c r="J138" s="11" t="e">
        <f t="shared" si="53"/>
        <v>#REF!</v>
      </c>
      <c r="K138" s="11" t="e">
        <f t="shared" si="53"/>
        <v>#REF!</v>
      </c>
      <c r="L138" s="11">
        <f t="shared" si="53"/>
        <v>5142.8</v>
      </c>
    </row>
    <row r="139" spans="1:12" ht="15.75">
      <c r="A139" s="31" t="s">
        <v>315</v>
      </c>
      <c r="B139" s="42" t="s">
        <v>458</v>
      </c>
      <c r="C139" s="42" t="s">
        <v>305</v>
      </c>
      <c r="D139" s="42" t="s">
        <v>159</v>
      </c>
      <c r="E139" s="42" t="s">
        <v>316</v>
      </c>
      <c r="F139" s="42"/>
      <c r="G139" s="7" t="e">
        <f>#REF!</f>
        <v>#REF!</v>
      </c>
      <c r="H139" s="7" t="e">
        <f>#REF!</f>
        <v>#REF!</v>
      </c>
      <c r="I139" s="7" t="e">
        <f>#REF!</f>
        <v>#REF!</v>
      </c>
      <c r="J139" s="7" t="e">
        <f>#REF!</f>
        <v>#REF!</v>
      </c>
      <c r="K139" s="7" t="e">
        <f>#REF!</f>
        <v>#REF!</v>
      </c>
      <c r="L139" s="7">
        <f>'Прил.№5 ведомств.'!G708</f>
        <v>5142.8</v>
      </c>
    </row>
    <row r="140" spans="1:12" ht="31.5" customHeight="1">
      <c r="A140" s="31" t="s">
        <v>325</v>
      </c>
      <c r="B140" s="42" t="s">
        <v>459</v>
      </c>
      <c r="C140" s="42" t="s">
        <v>305</v>
      </c>
      <c r="D140" s="42" t="s">
        <v>159</v>
      </c>
      <c r="E140" s="42"/>
      <c r="F140" s="42"/>
      <c r="G140" s="11" t="e">
        <f>G141</f>
        <v>#REF!</v>
      </c>
      <c r="H140" s="11" t="e">
        <f aca="true" t="shared" si="54" ref="H140:L141">H141</f>
        <v>#REF!</v>
      </c>
      <c r="I140" s="11" t="e">
        <f t="shared" si="54"/>
        <v>#REF!</v>
      </c>
      <c r="J140" s="11" t="e">
        <f t="shared" si="54"/>
        <v>#REF!</v>
      </c>
      <c r="K140" s="11" t="e">
        <f t="shared" si="54"/>
        <v>#REF!</v>
      </c>
      <c r="L140" s="11">
        <f t="shared" si="54"/>
        <v>26</v>
      </c>
    </row>
    <row r="141" spans="1:12" ht="31.5" customHeight="1">
      <c r="A141" s="31" t="s">
        <v>313</v>
      </c>
      <c r="B141" s="42" t="s">
        <v>459</v>
      </c>
      <c r="C141" s="42" t="s">
        <v>305</v>
      </c>
      <c r="D141" s="42" t="s">
        <v>159</v>
      </c>
      <c r="E141" s="42" t="s">
        <v>314</v>
      </c>
      <c r="F141" s="42"/>
      <c r="G141" s="11" t="e">
        <f>G142</f>
        <v>#REF!</v>
      </c>
      <c r="H141" s="11" t="e">
        <f t="shared" si="54"/>
        <v>#REF!</v>
      </c>
      <c r="I141" s="11" t="e">
        <f t="shared" si="54"/>
        <v>#REF!</v>
      </c>
      <c r="J141" s="11" t="e">
        <f t="shared" si="54"/>
        <v>#REF!</v>
      </c>
      <c r="K141" s="11" t="e">
        <f t="shared" si="54"/>
        <v>#REF!</v>
      </c>
      <c r="L141" s="11">
        <f t="shared" si="54"/>
        <v>26</v>
      </c>
    </row>
    <row r="142" spans="1:13" ht="15.75" customHeight="1">
      <c r="A142" s="31" t="s">
        <v>315</v>
      </c>
      <c r="B142" s="42" t="s">
        <v>459</v>
      </c>
      <c r="C142" s="42" t="s">
        <v>305</v>
      </c>
      <c r="D142" s="42" t="s">
        <v>159</v>
      </c>
      <c r="E142" s="42" t="s">
        <v>316</v>
      </c>
      <c r="F142" s="42"/>
      <c r="G142" s="11" t="e">
        <f>#REF!</f>
        <v>#REF!</v>
      </c>
      <c r="H142" s="11" t="e">
        <f>#REF!</f>
        <v>#REF!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>
        <f>'Прил.№5 ведомств.'!G711</f>
        <v>26</v>
      </c>
      <c r="M142" s="286" t="s">
        <v>1224</v>
      </c>
    </row>
    <row r="143" spans="1:12" ht="31.5">
      <c r="A143" s="31" t="s">
        <v>842</v>
      </c>
      <c r="B143" s="21" t="s">
        <v>845</v>
      </c>
      <c r="C143" s="21" t="s">
        <v>305</v>
      </c>
      <c r="D143" s="21" t="s">
        <v>159</v>
      </c>
      <c r="E143" s="21"/>
      <c r="F143" s="21"/>
      <c r="G143" s="11" t="e">
        <f>G144</f>
        <v>#REF!</v>
      </c>
      <c r="H143" s="11" t="e">
        <f aca="true" t="shared" si="55" ref="H143:L144">H144</f>
        <v>#REF!</v>
      </c>
      <c r="I143" s="11" t="e">
        <f t="shared" si="55"/>
        <v>#REF!</v>
      </c>
      <c r="J143" s="11" t="e">
        <f t="shared" si="55"/>
        <v>#REF!</v>
      </c>
      <c r="K143" s="11" t="e">
        <f t="shared" si="55"/>
        <v>#REF!</v>
      </c>
      <c r="L143" s="11">
        <f t="shared" si="55"/>
        <v>2850</v>
      </c>
    </row>
    <row r="144" spans="1:12" ht="31.5">
      <c r="A144" s="31" t="s">
        <v>313</v>
      </c>
      <c r="B144" s="21" t="s">
        <v>845</v>
      </c>
      <c r="C144" s="21" t="s">
        <v>305</v>
      </c>
      <c r="D144" s="21" t="s">
        <v>159</v>
      </c>
      <c r="E144" s="21" t="s">
        <v>314</v>
      </c>
      <c r="F144" s="21"/>
      <c r="G144" s="11" t="e">
        <f>G145</f>
        <v>#REF!</v>
      </c>
      <c r="H144" s="11" t="e">
        <f t="shared" si="55"/>
        <v>#REF!</v>
      </c>
      <c r="I144" s="11" t="e">
        <f t="shared" si="55"/>
        <v>#REF!</v>
      </c>
      <c r="J144" s="11" t="e">
        <f t="shared" si="55"/>
        <v>#REF!</v>
      </c>
      <c r="K144" s="11" t="e">
        <f t="shared" si="55"/>
        <v>#REF!</v>
      </c>
      <c r="L144" s="11">
        <f t="shared" si="55"/>
        <v>2850</v>
      </c>
    </row>
    <row r="145" spans="1:12" ht="15.75">
      <c r="A145" s="31" t="s">
        <v>315</v>
      </c>
      <c r="B145" s="21" t="s">
        <v>845</v>
      </c>
      <c r="C145" s="21" t="s">
        <v>305</v>
      </c>
      <c r="D145" s="21" t="s">
        <v>159</v>
      </c>
      <c r="E145" s="21" t="s">
        <v>316</v>
      </c>
      <c r="F145" s="21"/>
      <c r="G145" s="11" t="e">
        <f>#REF!</f>
        <v>#REF!</v>
      </c>
      <c r="H145" s="11" t="e">
        <f>#REF!</f>
        <v>#REF!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>
        <f>'Прил.№5 ведомств.'!G714</f>
        <v>2850</v>
      </c>
    </row>
    <row r="146" spans="1:12" ht="47.25">
      <c r="A146" s="31" t="s">
        <v>851</v>
      </c>
      <c r="B146" s="21" t="s">
        <v>846</v>
      </c>
      <c r="C146" s="21" t="s">
        <v>305</v>
      </c>
      <c r="D146" s="21" t="s">
        <v>159</v>
      </c>
      <c r="E146" s="21"/>
      <c r="F146" s="21"/>
      <c r="G146" s="11" t="e">
        <f>G147</f>
        <v>#REF!</v>
      </c>
      <c r="H146" s="11" t="e">
        <f aca="true" t="shared" si="56" ref="H146:L147">H147</f>
        <v>#REF!</v>
      </c>
      <c r="I146" s="11" t="e">
        <f t="shared" si="56"/>
        <v>#REF!</v>
      </c>
      <c r="J146" s="11" t="e">
        <f t="shared" si="56"/>
        <v>#REF!</v>
      </c>
      <c r="K146" s="11" t="e">
        <f t="shared" si="56"/>
        <v>#REF!</v>
      </c>
      <c r="L146" s="11">
        <f t="shared" si="56"/>
        <v>1365.4999999999998</v>
      </c>
    </row>
    <row r="147" spans="1:12" ht="31.5">
      <c r="A147" s="31" t="s">
        <v>313</v>
      </c>
      <c r="B147" s="21" t="s">
        <v>846</v>
      </c>
      <c r="C147" s="21" t="s">
        <v>305</v>
      </c>
      <c r="D147" s="21" t="s">
        <v>159</v>
      </c>
      <c r="E147" s="21" t="s">
        <v>314</v>
      </c>
      <c r="F147" s="21"/>
      <c r="G147" s="11" t="e">
        <f>G148</f>
        <v>#REF!</v>
      </c>
      <c r="H147" s="11" t="e">
        <f t="shared" si="56"/>
        <v>#REF!</v>
      </c>
      <c r="I147" s="11" t="e">
        <f t="shared" si="56"/>
        <v>#REF!</v>
      </c>
      <c r="J147" s="11" t="e">
        <f t="shared" si="56"/>
        <v>#REF!</v>
      </c>
      <c r="K147" s="11" t="e">
        <f t="shared" si="56"/>
        <v>#REF!</v>
      </c>
      <c r="L147" s="11">
        <f t="shared" si="56"/>
        <v>1365.4999999999998</v>
      </c>
    </row>
    <row r="148" spans="1:12" ht="15.75">
      <c r="A148" s="31" t="s">
        <v>315</v>
      </c>
      <c r="B148" s="21" t="s">
        <v>846</v>
      </c>
      <c r="C148" s="21" t="s">
        <v>305</v>
      </c>
      <c r="D148" s="21" t="s">
        <v>159</v>
      </c>
      <c r="E148" s="21" t="s">
        <v>316</v>
      </c>
      <c r="F148" s="21"/>
      <c r="G148" s="11" t="e">
        <f>#REF!</f>
        <v>#REF!</v>
      </c>
      <c r="H148" s="11" t="e">
        <f>#REF!</f>
        <v>#REF!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>
        <f>'Прил.№5 ведомств.'!G717</f>
        <v>1365.4999999999998</v>
      </c>
    </row>
    <row r="149" spans="1:12" ht="126">
      <c r="A149" s="26" t="s">
        <v>465</v>
      </c>
      <c r="B149" s="21" t="s">
        <v>984</v>
      </c>
      <c r="C149" s="21" t="s">
        <v>305</v>
      </c>
      <c r="D149" s="21" t="s">
        <v>159</v>
      </c>
      <c r="E149" s="21"/>
      <c r="F149" s="21"/>
      <c r="G149" s="11"/>
      <c r="H149" s="11"/>
      <c r="I149" s="11"/>
      <c r="J149" s="11"/>
      <c r="K149" s="11"/>
      <c r="L149" s="11">
        <f>L150</f>
        <v>124.4</v>
      </c>
    </row>
    <row r="150" spans="1:12" ht="31.5">
      <c r="A150" s="26" t="s">
        <v>313</v>
      </c>
      <c r="B150" s="21" t="s">
        <v>984</v>
      </c>
      <c r="C150" s="21" t="s">
        <v>305</v>
      </c>
      <c r="D150" s="21" t="s">
        <v>159</v>
      </c>
      <c r="E150" s="21" t="s">
        <v>314</v>
      </c>
      <c r="F150" s="21"/>
      <c r="G150" s="11"/>
      <c r="H150" s="11"/>
      <c r="I150" s="11"/>
      <c r="J150" s="11"/>
      <c r="K150" s="11"/>
      <c r="L150" s="11">
        <f>L151</f>
        <v>124.4</v>
      </c>
    </row>
    <row r="151" spans="1:12" ht="15.75">
      <c r="A151" s="26" t="s">
        <v>315</v>
      </c>
      <c r="B151" s="21" t="s">
        <v>984</v>
      </c>
      <c r="C151" s="21" t="s">
        <v>305</v>
      </c>
      <c r="D151" s="21" t="s">
        <v>159</v>
      </c>
      <c r="E151" s="21" t="s">
        <v>316</v>
      </c>
      <c r="F151" s="21"/>
      <c r="G151" s="11"/>
      <c r="H151" s="11"/>
      <c r="I151" s="11"/>
      <c r="J151" s="11"/>
      <c r="K151" s="11"/>
      <c r="L151" s="11">
        <f>'Прил.№5 ведомств.'!G720</f>
        <v>124.4</v>
      </c>
    </row>
    <row r="152" spans="1:12" ht="31.5">
      <c r="A152" s="31" t="s">
        <v>445</v>
      </c>
      <c r="B152" s="42" t="s">
        <v>454</v>
      </c>
      <c r="C152" s="42"/>
      <c r="D152" s="42"/>
      <c r="E152" s="42"/>
      <c r="F152" s="42" t="s">
        <v>696</v>
      </c>
      <c r="G152" s="11" t="e">
        <f aca="true" t="shared" si="57" ref="G152:L152">G124</f>
        <v>#REF!</v>
      </c>
      <c r="H152" s="11" t="e">
        <f t="shared" si="57"/>
        <v>#REF!</v>
      </c>
      <c r="I152" s="11" t="e">
        <f t="shared" si="57"/>
        <v>#REF!</v>
      </c>
      <c r="J152" s="11" t="e">
        <f t="shared" si="57"/>
        <v>#REF!</v>
      </c>
      <c r="K152" s="11" t="e">
        <f t="shared" si="57"/>
        <v>#REF!</v>
      </c>
      <c r="L152" s="11">
        <f t="shared" si="57"/>
        <v>10304.1</v>
      </c>
    </row>
    <row r="153" spans="1:12" ht="31.5">
      <c r="A153" s="43" t="s">
        <v>472</v>
      </c>
      <c r="B153" s="8" t="s">
        <v>473</v>
      </c>
      <c r="C153" s="8"/>
      <c r="D153" s="8"/>
      <c r="E153" s="8"/>
      <c r="F153" s="8"/>
      <c r="G153" s="4" t="e">
        <f aca="true" t="shared" si="58" ref="G153:L153">G174</f>
        <v>#REF!</v>
      </c>
      <c r="H153" s="4" t="e">
        <f t="shared" si="58"/>
        <v>#REF!</v>
      </c>
      <c r="I153" s="4" t="e">
        <f t="shared" si="58"/>
        <v>#REF!</v>
      </c>
      <c r="J153" s="4" t="e">
        <f t="shared" si="58"/>
        <v>#REF!</v>
      </c>
      <c r="K153" s="4" t="e">
        <f t="shared" si="58"/>
        <v>#REF!</v>
      </c>
      <c r="L153" s="4">
        <f t="shared" si="58"/>
        <v>9464.1</v>
      </c>
    </row>
    <row r="154" spans="1:12" ht="70.5" customHeight="1" hidden="1">
      <c r="A154" s="31" t="s">
        <v>646</v>
      </c>
      <c r="B154" s="42" t="s">
        <v>652</v>
      </c>
      <c r="C154" s="42" t="s">
        <v>305</v>
      </c>
      <c r="D154" s="42" t="s">
        <v>254</v>
      </c>
      <c r="E154" s="42"/>
      <c r="F154" s="42"/>
      <c r="G154" s="11">
        <f aca="true" t="shared" si="59" ref="G154:L154">G155</f>
        <v>0</v>
      </c>
      <c r="H154" s="11">
        <f t="shared" si="59"/>
        <v>0</v>
      </c>
      <c r="I154" s="11">
        <f t="shared" si="59"/>
        <v>0</v>
      </c>
      <c r="J154" s="11">
        <f t="shared" si="59"/>
        <v>0</v>
      </c>
      <c r="K154" s="11">
        <f t="shared" si="59"/>
        <v>0</v>
      </c>
      <c r="L154" s="11">
        <f t="shared" si="59"/>
        <v>0</v>
      </c>
    </row>
    <row r="155" spans="1:12" ht="31.5" customHeight="1" hidden="1">
      <c r="A155" s="31" t="s">
        <v>313</v>
      </c>
      <c r="B155" s="42" t="s">
        <v>652</v>
      </c>
      <c r="C155" s="42" t="s">
        <v>305</v>
      </c>
      <c r="D155" s="42" t="s">
        <v>254</v>
      </c>
      <c r="E155" s="42" t="s">
        <v>314</v>
      </c>
      <c r="F155" s="42"/>
      <c r="G155" s="11">
        <f aca="true" t="shared" si="60" ref="G155:L155">G157</f>
        <v>0</v>
      </c>
      <c r="H155" s="11">
        <f t="shared" si="60"/>
        <v>0</v>
      </c>
      <c r="I155" s="11">
        <f t="shared" si="60"/>
        <v>0</v>
      </c>
      <c r="J155" s="11">
        <f t="shared" si="60"/>
        <v>0</v>
      </c>
      <c r="K155" s="11">
        <f t="shared" si="60"/>
        <v>0</v>
      </c>
      <c r="L155" s="11">
        <f t="shared" si="60"/>
        <v>0</v>
      </c>
    </row>
    <row r="156" spans="1:12" ht="18.75" customHeight="1" hidden="1">
      <c r="A156" s="31" t="s">
        <v>315</v>
      </c>
      <c r="B156" s="42" t="s">
        <v>652</v>
      </c>
      <c r="C156" s="42" t="s">
        <v>305</v>
      </c>
      <c r="D156" s="42" t="s">
        <v>254</v>
      </c>
      <c r="E156" s="42" t="s">
        <v>316</v>
      </c>
      <c r="F156" s="42"/>
      <c r="G156" s="11"/>
      <c r="H156" s="11"/>
      <c r="I156" s="11"/>
      <c r="J156" s="11"/>
      <c r="K156" s="11"/>
      <c r="L156" s="11"/>
    </row>
    <row r="157" spans="1:12" ht="31.5" customHeight="1" hidden="1">
      <c r="A157" s="31" t="s">
        <v>445</v>
      </c>
      <c r="B157" s="42" t="s">
        <v>652</v>
      </c>
      <c r="C157" s="42" t="s">
        <v>305</v>
      </c>
      <c r="D157" s="42" t="s">
        <v>254</v>
      </c>
      <c r="E157" s="42"/>
      <c r="F157" s="42" t="s">
        <v>696</v>
      </c>
      <c r="G157" s="11"/>
      <c r="H157" s="11"/>
      <c r="I157" s="11"/>
      <c r="J157" s="11"/>
      <c r="K157" s="11"/>
      <c r="L157" s="11"/>
    </row>
    <row r="158" spans="1:12" ht="47.25" customHeight="1" hidden="1">
      <c r="A158" s="26" t="s">
        <v>474</v>
      </c>
      <c r="B158" s="42" t="s">
        <v>475</v>
      </c>
      <c r="C158" s="42" t="s">
        <v>305</v>
      </c>
      <c r="D158" s="42" t="s">
        <v>254</v>
      </c>
      <c r="E158" s="42"/>
      <c r="F158" s="42"/>
      <c r="G158" s="11">
        <f>G159</f>
        <v>0</v>
      </c>
      <c r="H158" s="11">
        <f aca="true" t="shared" si="61" ref="H158:L159">H159</f>
        <v>0</v>
      </c>
      <c r="I158" s="11">
        <f t="shared" si="61"/>
        <v>0</v>
      </c>
      <c r="J158" s="11">
        <f t="shared" si="61"/>
        <v>0</v>
      </c>
      <c r="K158" s="11">
        <f t="shared" si="61"/>
        <v>0</v>
      </c>
      <c r="L158" s="11">
        <f t="shared" si="61"/>
        <v>0</v>
      </c>
    </row>
    <row r="159" spans="1:12" ht="31.5" customHeight="1" hidden="1">
      <c r="A159" s="31" t="s">
        <v>313</v>
      </c>
      <c r="B159" s="42" t="s">
        <v>475</v>
      </c>
      <c r="C159" s="42" t="s">
        <v>305</v>
      </c>
      <c r="D159" s="42" t="s">
        <v>254</v>
      </c>
      <c r="E159" s="42" t="s">
        <v>314</v>
      </c>
      <c r="F159" s="42"/>
      <c r="G159" s="11">
        <f>G160</f>
        <v>0</v>
      </c>
      <c r="H159" s="11">
        <f t="shared" si="61"/>
        <v>0</v>
      </c>
      <c r="I159" s="11">
        <f t="shared" si="61"/>
        <v>0</v>
      </c>
      <c r="J159" s="11">
        <f t="shared" si="61"/>
        <v>0</v>
      </c>
      <c r="K159" s="11">
        <f t="shared" si="61"/>
        <v>0</v>
      </c>
      <c r="L159" s="11">
        <f t="shared" si="61"/>
        <v>0</v>
      </c>
    </row>
    <row r="160" spans="1:12" ht="15.75" customHeight="1" hidden="1">
      <c r="A160" s="31" t="s">
        <v>315</v>
      </c>
      <c r="B160" s="42" t="s">
        <v>475</v>
      </c>
      <c r="C160" s="42" t="s">
        <v>305</v>
      </c>
      <c r="D160" s="42" t="s">
        <v>254</v>
      </c>
      <c r="E160" s="42" t="s">
        <v>316</v>
      </c>
      <c r="F160" s="42"/>
      <c r="G160" s="11"/>
      <c r="H160" s="11"/>
      <c r="I160" s="11"/>
      <c r="J160" s="11"/>
      <c r="K160" s="11"/>
      <c r="L160" s="11"/>
    </row>
    <row r="161" spans="1:12" ht="54.75" customHeight="1" hidden="1">
      <c r="A161" s="31" t="s">
        <v>445</v>
      </c>
      <c r="B161" s="42" t="s">
        <v>475</v>
      </c>
      <c r="C161" s="42" t="s">
        <v>305</v>
      </c>
      <c r="D161" s="42" t="s">
        <v>254</v>
      </c>
      <c r="E161" s="42"/>
      <c r="F161" s="42" t="s">
        <v>696</v>
      </c>
      <c r="G161" s="11">
        <f aca="true" t="shared" si="62" ref="G161:L161">G158</f>
        <v>0</v>
      </c>
      <c r="H161" s="11">
        <f t="shared" si="62"/>
        <v>0</v>
      </c>
      <c r="I161" s="11">
        <f t="shared" si="62"/>
        <v>0</v>
      </c>
      <c r="J161" s="11">
        <f t="shared" si="62"/>
        <v>0</v>
      </c>
      <c r="K161" s="11">
        <f t="shared" si="62"/>
        <v>0</v>
      </c>
      <c r="L161" s="11">
        <f t="shared" si="62"/>
        <v>0</v>
      </c>
    </row>
    <row r="162" spans="1:12" ht="31.5" customHeight="1" hidden="1">
      <c r="A162" s="26" t="s">
        <v>476</v>
      </c>
      <c r="B162" s="21" t="s">
        <v>477</v>
      </c>
      <c r="C162" s="42" t="s">
        <v>305</v>
      </c>
      <c r="D162" s="42" t="s">
        <v>254</v>
      </c>
      <c r="E162" s="42"/>
      <c r="F162" s="42"/>
      <c r="G162" s="11">
        <f>G163</f>
        <v>0</v>
      </c>
      <c r="H162" s="11">
        <f aca="true" t="shared" si="63" ref="H162:L163">H163</f>
        <v>0</v>
      </c>
      <c r="I162" s="11">
        <f t="shared" si="63"/>
        <v>0</v>
      </c>
      <c r="J162" s="11">
        <f t="shared" si="63"/>
        <v>0</v>
      </c>
      <c r="K162" s="11">
        <f t="shared" si="63"/>
        <v>0</v>
      </c>
      <c r="L162" s="11">
        <f t="shared" si="63"/>
        <v>0</v>
      </c>
    </row>
    <row r="163" spans="1:12" ht="65.25" customHeight="1" hidden="1">
      <c r="A163" s="26" t="s">
        <v>313</v>
      </c>
      <c r="B163" s="21" t="s">
        <v>477</v>
      </c>
      <c r="C163" s="42" t="s">
        <v>305</v>
      </c>
      <c r="D163" s="42" t="s">
        <v>254</v>
      </c>
      <c r="E163" s="42" t="s">
        <v>314</v>
      </c>
      <c r="F163" s="42"/>
      <c r="G163" s="11">
        <f>G164</f>
        <v>0</v>
      </c>
      <c r="H163" s="11">
        <f t="shared" si="63"/>
        <v>0</v>
      </c>
      <c r="I163" s="11">
        <f t="shared" si="63"/>
        <v>0</v>
      </c>
      <c r="J163" s="11">
        <f t="shared" si="63"/>
        <v>0</v>
      </c>
      <c r="K163" s="11">
        <f t="shared" si="63"/>
        <v>0</v>
      </c>
      <c r="L163" s="11">
        <f t="shared" si="63"/>
        <v>0</v>
      </c>
    </row>
    <row r="164" spans="1:12" ht="15.75" customHeight="1" hidden="1">
      <c r="A164" s="26" t="s">
        <v>315</v>
      </c>
      <c r="B164" s="21" t="s">
        <v>477</v>
      </c>
      <c r="C164" s="42" t="s">
        <v>305</v>
      </c>
      <c r="D164" s="42" t="s">
        <v>254</v>
      </c>
      <c r="E164" s="42" t="s">
        <v>316</v>
      </c>
      <c r="F164" s="42"/>
      <c r="G164" s="11"/>
      <c r="H164" s="11"/>
      <c r="I164" s="11"/>
      <c r="J164" s="11"/>
      <c r="K164" s="11"/>
      <c r="L164" s="11"/>
    </row>
    <row r="165" spans="1:12" ht="31.5" customHeight="1" hidden="1">
      <c r="A165" s="31" t="s">
        <v>445</v>
      </c>
      <c r="B165" s="21" t="s">
        <v>477</v>
      </c>
      <c r="C165" s="42" t="s">
        <v>305</v>
      </c>
      <c r="D165" s="42" t="s">
        <v>254</v>
      </c>
      <c r="E165" s="42"/>
      <c r="F165" s="42" t="s">
        <v>696</v>
      </c>
      <c r="G165" s="11">
        <f aca="true" t="shared" si="64" ref="G165:L165">G162</f>
        <v>0</v>
      </c>
      <c r="H165" s="11">
        <f t="shared" si="64"/>
        <v>0</v>
      </c>
      <c r="I165" s="11">
        <f t="shared" si="64"/>
        <v>0</v>
      </c>
      <c r="J165" s="11">
        <f t="shared" si="64"/>
        <v>0</v>
      </c>
      <c r="K165" s="11">
        <f t="shared" si="64"/>
        <v>0</v>
      </c>
      <c r="L165" s="11">
        <f t="shared" si="64"/>
        <v>0</v>
      </c>
    </row>
    <row r="166" spans="1:12" ht="47.25" customHeight="1" hidden="1">
      <c r="A166" s="26" t="s">
        <v>480</v>
      </c>
      <c r="B166" s="21" t="s">
        <v>481</v>
      </c>
      <c r="C166" s="42" t="s">
        <v>305</v>
      </c>
      <c r="D166" s="42" t="s">
        <v>254</v>
      </c>
      <c r="E166" s="42"/>
      <c r="F166" s="42"/>
      <c r="G166" s="11">
        <f>G167</f>
        <v>0</v>
      </c>
      <c r="H166" s="11">
        <f aca="true" t="shared" si="65" ref="H166:L167">H167</f>
        <v>0</v>
      </c>
      <c r="I166" s="11">
        <f t="shared" si="65"/>
        <v>0</v>
      </c>
      <c r="J166" s="11">
        <f t="shared" si="65"/>
        <v>0</v>
      </c>
      <c r="K166" s="11">
        <f t="shared" si="65"/>
        <v>0</v>
      </c>
      <c r="L166" s="11">
        <f t="shared" si="65"/>
        <v>0</v>
      </c>
    </row>
    <row r="167" spans="1:12" ht="31.5" customHeight="1" hidden="1">
      <c r="A167" s="31" t="s">
        <v>313</v>
      </c>
      <c r="B167" s="21" t="s">
        <v>481</v>
      </c>
      <c r="C167" s="42" t="s">
        <v>305</v>
      </c>
      <c r="D167" s="42" t="s">
        <v>254</v>
      </c>
      <c r="E167" s="42" t="s">
        <v>314</v>
      </c>
      <c r="F167" s="42"/>
      <c r="G167" s="11">
        <f>G168</f>
        <v>0</v>
      </c>
      <c r="H167" s="11">
        <f t="shared" si="65"/>
        <v>0</v>
      </c>
      <c r="I167" s="11">
        <f t="shared" si="65"/>
        <v>0</v>
      </c>
      <c r="J167" s="11">
        <f t="shared" si="65"/>
        <v>0</v>
      </c>
      <c r="K167" s="11">
        <f t="shared" si="65"/>
        <v>0</v>
      </c>
      <c r="L167" s="11">
        <f t="shared" si="65"/>
        <v>0</v>
      </c>
    </row>
    <row r="168" spans="1:12" ht="15.75" customHeight="1" hidden="1">
      <c r="A168" s="31" t="s">
        <v>315</v>
      </c>
      <c r="B168" s="21" t="s">
        <v>481</v>
      </c>
      <c r="C168" s="42" t="s">
        <v>305</v>
      </c>
      <c r="D168" s="42" t="s">
        <v>254</v>
      </c>
      <c r="E168" s="42" t="s">
        <v>316</v>
      </c>
      <c r="F168" s="42"/>
      <c r="G168" s="11"/>
      <c r="H168" s="11"/>
      <c r="I168" s="11"/>
      <c r="J168" s="11"/>
      <c r="K168" s="11"/>
      <c r="L168" s="11"/>
    </row>
    <row r="169" spans="1:12" ht="31.5" customHeight="1" hidden="1">
      <c r="A169" s="31" t="s">
        <v>445</v>
      </c>
      <c r="B169" s="21" t="s">
        <v>481</v>
      </c>
      <c r="C169" s="42" t="s">
        <v>305</v>
      </c>
      <c r="D169" s="42" t="s">
        <v>254</v>
      </c>
      <c r="E169" s="42"/>
      <c r="F169" s="42" t="s">
        <v>696</v>
      </c>
      <c r="G169" s="11">
        <f aca="true" t="shared" si="66" ref="G169:L169">G168</f>
        <v>0</v>
      </c>
      <c r="H169" s="11">
        <f t="shared" si="66"/>
        <v>0</v>
      </c>
      <c r="I169" s="11">
        <f t="shared" si="66"/>
        <v>0</v>
      </c>
      <c r="J169" s="11">
        <f t="shared" si="66"/>
        <v>0</v>
      </c>
      <c r="K169" s="11">
        <f t="shared" si="66"/>
        <v>0</v>
      </c>
      <c r="L169" s="11">
        <f t="shared" si="66"/>
        <v>0</v>
      </c>
    </row>
    <row r="170" spans="1:12" ht="31.5" customHeight="1" hidden="1">
      <c r="A170" s="26" t="s">
        <v>655</v>
      </c>
      <c r="B170" s="21" t="s">
        <v>484</v>
      </c>
      <c r="C170" s="42" t="s">
        <v>305</v>
      </c>
      <c r="D170" s="42" t="s">
        <v>254</v>
      </c>
      <c r="E170" s="42"/>
      <c r="F170" s="42"/>
      <c r="G170" s="11">
        <f>G171</f>
        <v>0</v>
      </c>
      <c r="H170" s="11">
        <f aca="true" t="shared" si="67" ref="H170:L171">H171</f>
        <v>0</v>
      </c>
      <c r="I170" s="11">
        <f t="shared" si="67"/>
        <v>0</v>
      </c>
      <c r="J170" s="11">
        <f t="shared" si="67"/>
        <v>0</v>
      </c>
      <c r="K170" s="11">
        <f t="shared" si="67"/>
        <v>0</v>
      </c>
      <c r="L170" s="11">
        <f t="shared" si="67"/>
        <v>0</v>
      </c>
    </row>
    <row r="171" spans="1:12" ht="31.5" customHeight="1" hidden="1">
      <c r="A171" s="26" t="s">
        <v>313</v>
      </c>
      <c r="B171" s="21" t="s">
        <v>484</v>
      </c>
      <c r="C171" s="42" t="s">
        <v>305</v>
      </c>
      <c r="D171" s="42" t="s">
        <v>254</v>
      </c>
      <c r="E171" s="42" t="s">
        <v>314</v>
      </c>
      <c r="F171" s="42"/>
      <c r="G171" s="11">
        <f>G172</f>
        <v>0</v>
      </c>
      <c r="H171" s="11">
        <f t="shared" si="67"/>
        <v>0</v>
      </c>
      <c r="I171" s="11">
        <f t="shared" si="67"/>
        <v>0</v>
      </c>
      <c r="J171" s="11">
        <f t="shared" si="67"/>
        <v>0</v>
      </c>
      <c r="K171" s="11">
        <f t="shared" si="67"/>
        <v>0</v>
      </c>
      <c r="L171" s="11">
        <f t="shared" si="67"/>
        <v>0</v>
      </c>
    </row>
    <row r="172" spans="1:12" ht="15.75" customHeight="1" hidden="1">
      <c r="A172" s="26" t="s">
        <v>315</v>
      </c>
      <c r="B172" s="21" t="s">
        <v>484</v>
      </c>
      <c r="C172" s="42" t="s">
        <v>305</v>
      </c>
      <c r="D172" s="42" t="s">
        <v>254</v>
      </c>
      <c r="E172" s="42" t="s">
        <v>316</v>
      </c>
      <c r="F172" s="42"/>
      <c r="G172" s="11"/>
      <c r="H172" s="11"/>
      <c r="I172" s="11"/>
      <c r="J172" s="11"/>
      <c r="K172" s="11"/>
      <c r="L172" s="11"/>
    </row>
    <row r="173" spans="1:12" ht="31.5" customHeight="1" hidden="1">
      <c r="A173" s="31" t="s">
        <v>445</v>
      </c>
      <c r="B173" s="21" t="s">
        <v>484</v>
      </c>
      <c r="C173" s="42" t="s">
        <v>305</v>
      </c>
      <c r="D173" s="42" t="s">
        <v>254</v>
      </c>
      <c r="E173" s="42"/>
      <c r="F173" s="42" t="s">
        <v>696</v>
      </c>
      <c r="G173" s="11">
        <f aca="true" t="shared" si="68" ref="G173:L173">G171</f>
        <v>0</v>
      </c>
      <c r="H173" s="11">
        <f t="shared" si="68"/>
        <v>0</v>
      </c>
      <c r="I173" s="11">
        <f t="shared" si="68"/>
        <v>0</v>
      </c>
      <c r="J173" s="11">
        <f t="shared" si="68"/>
        <v>0</v>
      </c>
      <c r="K173" s="11">
        <f t="shared" si="68"/>
        <v>0</v>
      </c>
      <c r="L173" s="11">
        <f t="shared" si="68"/>
        <v>0</v>
      </c>
    </row>
    <row r="174" spans="1:12" ht="15.75">
      <c r="A174" s="31" t="s">
        <v>304</v>
      </c>
      <c r="B174" s="42" t="s">
        <v>473</v>
      </c>
      <c r="C174" s="42" t="s">
        <v>305</v>
      </c>
      <c r="D174" s="42"/>
      <c r="E174" s="42"/>
      <c r="F174" s="42"/>
      <c r="G174" s="11" t="e">
        <f aca="true" t="shared" si="69" ref="G174:L174">G175</f>
        <v>#REF!</v>
      </c>
      <c r="H174" s="11" t="e">
        <f t="shared" si="69"/>
        <v>#REF!</v>
      </c>
      <c r="I174" s="11" t="e">
        <f t="shared" si="69"/>
        <v>#REF!</v>
      </c>
      <c r="J174" s="11" t="e">
        <f t="shared" si="69"/>
        <v>#REF!</v>
      </c>
      <c r="K174" s="11" t="e">
        <f t="shared" si="69"/>
        <v>#REF!</v>
      </c>
      <c r="L174" s="11">
        <f t="shared" si="69"/>
        <v>9464.1</v>
      </c>
    </row>
    <row r="175" spans="1:12" ht="15.75">
      <c r="A175" s="31" t="s">
        <v>467</v>
      </c>
      <c r="B175" s="42" t="s">
        <v>473</v>
      </c>
      <c r="C175" s="42" t="s">
        <v>305</v>
      </c>
      <c r="D175" s="42" t="s">
        <v>254</v>
      </c>
      <c r="E175" s="42"/>
      <c r="F175" s="42"/>
      <c r="G175" s="11" t="e">
        <f>G176+G179+G191+G185+G194+G188+G197</f>
        <v>#REF!</v>
      </c>
      <c r="H175" s="11" t="e">
        <f>H176+H179+H191+H185+H194+H188+H197</f>
        <v>#REF!</v>
      </c>
      <c r="I175" s="11" t="e">
        <f>I176+I179+I191+I185+I194+I188+I197</f>
        <v>#REF!</v>
      </c>
      <c r="J175" s="11" t="e">
        <f>J176+J179+J191+J185+J194+J188+J197</f>
        <v>#REF!</v>
      </c>
      <c r="K175" s="11" t="e">
        <f>K176+K179+K191+K185+K194+K188+K197</f>
        <v>#REF!</v>
      </c>
      <c r="L175" s="11">
        <f>L176+L179+L191+L185+L194+L188+L197+L182+L200</f>
        <v>9464.1</v>
      </c>
    </row>
    <row r="176" spans="1:12" ht="47.25">
      <c r="A176" s="31" t="s">
        <v>654</v>
      </c>
      <c r="B176" s="21" t="s">
        <v>479</v>
      </c>
      <c r="C176" s="42" t="s">
        <v>305</v>
      </c>
      <c r="D176" s="42" t="s">
        <v>254</v>
      </c>
      <c r="E176" s="42"/>
      <c r="F176" s="42"/>
      <c r="G176" s="11" t="e">
        <f>G177</f>
        <v>#REF!</v>
      </c>
      <c r="H176" s="11" t="e">
        <f aca="true" t="shared" si="70" ref="H176:L177">H177</f>
        <v>#REF!</v>
      </c>
      <c r="I176" s="11" t="e">
        <f t="shared" si="70"/>
        <v>#REF!</v>
      </c>
      <c r="J176" s="11" t="e">
        <f t="shared" si="70"/>
        <v>#REF!</v>
      </c>
      <c r="K176" s="11" t="e">
        <f t="shared" si="70"/>
        <v>#REF!</v>
      </c>
      <c r="L176" s="11">
        <f t="shared" si="70"/>
        <v>2681.2000000000003</v>
      </c>
    </row>
    <row r="177" spans="1:12" ht="31.5">
      <c r="A177" s="31" t="s">
        <v>313</v>
      </c>
      <c r="B177" s="21" t="s">
        <v>479</v>
      </c>
      <c r="C177" s="42" t="s">
        <v>305</v>
      </c>
      <c r="D177" s="42" t="s">
        <v>254</v>
      </c>
      <c r="E177" s="42" t="s">
        <v>314</v>
      </c>
      <c r="F177" s="42"/>
      <c r="G177" s="11" t="e">
        <f>G178</f>
        <v>#REF!</v>
      </c>
      <c r="H177" s="11" t="e">
        <f t="shared" si="70"/>
        <v>#REF!</v>
      </c>
      <c r="I177" s="11" t="e">
        <f t="shared" si="70"/>
        <v>#REF!</v>
      </c>
      <c r="J177" s="11" t="e">
        <f t="shared" si="70"/>
        <v>#REF!</v>
      </c>
      <c r="K177" s="11" t="e">
        <f t="shared" si="70"/>
        <v>#REF!</v>
      </c>
      <c r="L177" s="11">
        <f t="shared" si="70"/>
        <v>2681.2000000000003</v>
      </c>
    </row>
    <row r="178" spans="1:12" ht="24" customHeight="1">
      <c r="A178" s="31" t="s">
        <v>315</v>
      </c>
      <c r="B178" s="21" t="s">
        <v>479</v>
      </c>
      <c r="C178" s="42" t="s">
        <v>305</v>
      </c>
      <c r="D178" s="42" t="s">
        <v>254</v>
      </c>
      <c r="E178" s="42" t="s">
        <v>316</v>
      </c>
      <c r="F178" s="42"/>
      <c r="G178" s="7" t="e">
        <f>#REF!</f>
        <v>#REF!</v>
      </c>
      <c r="H178" s="7" t="e">
        <f>#REF!</f>
        <v>#REF!</v>
      </c>
      <c r="I178" s="7" t="e">
        <f>#REF!</f>
        <v>#REF!</v>
      </c>
      <c r="J178" s="7" t="e">
        <f>#REF!</f>
        <v>#REF!</v>
      </c>
      <c r="K178" s="7" t="e">
        <f>#REF!</f>
        <v>#REF!</v>
      </c>
      <c r="L178" s="7">
        <f>'Прил.№5 ведомств.'!G767</f>
        <v>2681.2000000000003</v>
      </c>
    </row>
    <row r="179" spans="1:12" ht="47.25">
      <c r="A179" s="26" t="s">
        <v>480</v>
      </c>
      <c r="B179" s="21" t="s">
        <v>481</v>
      </c>
      <c r="C179" s="42" t="s">
        <v>305</v>
      </c>
      <c r="D179" s="42" t="s">
        <v>254</v>
      </c>
      <c r="E179" s="42"/>
      <c r="F179" s="42"/>
      <c r="G179" s="7" t="e">
        <f>G180</f>
        <v>#REF!</v>
      </c>
      <c r="H179" s="7" t="e">
        <f aca="true" t="shared" si="71" ref="H179:L180">H180</f>
        <v>#REF!</v>
      </c>
      <c r="I179" s="7" t="e">
        <f t="shared" si="71"/>
        <v>#REF!</v>
      </c>
      <c r="J179" s="7" t="e">
        <f t="shared" si="71"/>
        <v>#REF!</v>
      </c>
      <c r="K179" s="7" t="e">
        <f t="shared" si="71"/>
        <v>#REF!</v>
      </c>
      <c r="L179" s="7">
        <f t="shared" si="71"/>
        <v>416</v>
      </c>
    </row>
    <row r="180" spans="1:12" ht="31.5">
      <c r="A180" s="26" t="s">
        <v>313</v>
      </c>
      <c r="B180" s="21" t="s">
        <v>481</v>
      </c>
      <c r="C180" s="42" t="s">
        <v>305</v>
      </c>
      <c r="D180" s="42" t="s">
        <v>254</v>
      </c>
      <c r="E180" s="42" t="s">
        <v>314</v>
      </c>
      <c r="F180" s="42"/>
      <c r="G180" s="7" t="e">
        <f>G181</f>
        <v>#REF!</v>
      </c>
      <c r="H180" s="7" t="e">
        <f t="shared" si="71"/>
        <v>#REF!</v>
      </c>
      <c r="I180" s="7" t="e">
        <f t="shared" si="71"/>
        <v>#REF!</v>
      </c>
      <c r="J180" s="7" t="e">
        <f t="shared" si="71"/>
        <v>#REF!</v>
      </c>
      <c r="K180" s="7" t="e">
        <f t="shared" si="71"/>
        <v>#REF!</v>
      </c>
      <c r="L180" s="7">
        <f t="shared" si="71"/>
        <v>416</v>
      </c>
    </row>
    <row r="181" spans="1:12" ht="15.75">
      <c r="A181" s="26" t="s">
        <v>315</v>
      </c>
      <c r="B181" s="21" t="s">
        <v>481</v>
      </c>
      <c r="C181" s="42" t="s">
        <v>305</v>
      </c>
      <c r="D181" s="42" t="s">
        <v>254</v>
      </c>
      <c r="E181" s="42" t="s">
        <v>316</v>
      </c>
      <c r="F181" s="42"/>
      <c r="G181" s="7" t="e">
        <f>#REF!</f>
        <v>#REF!</v>
      </c>
      <c r="H181" s="7" t="e">
        <f>#REF!</f>
        <v>#REF!</v>
      </c>
      <c r="I181" s="7" t="e">
        <f>#REF!</f>
        <v>#REF!</v>
      </c>
      <c r="J181" s="7" t="e">
        <f>#REF!</f>
        <v>#REF!</v>
      </c>
      <c r="K181" s="7" t="e">
        <f>#REF!</f>
        <v>#REF!</v>
      </c>
      <c r="L181" s="7">
        <f>'Прил.№5 ведомств.'!G770</f>
        <v>416</v>
      </c>
    </row>
    <row r="182" spans="1:12" ht="47.25">
      <c r="A182" s="26" t="s">
        <v>946</v>
      </c>
      <c r="B182" s="21" t="s">
        <v>483</v>
      </c>
      <c r="C182" s="42" t="s">
        <v>305</v>
      </c>
      <c r="D182" s="42" t="s">
        <v>254</v>
      </c>
      <c r="E182" s="42"/>
      <c r="F182" s="42"/>
      <c r="G182" s="7"/>
      <c r="H182" s="7"/>
      <c r="I182" s="7"/>
      <c r="J182" s="7"/>
      <c r="K182" s="7"/>
      <c r="L182" s="7">
        <f>L183</f>
        <v>57.3</v>
      </c>
    </row>
    <row r="183" spans="1:12" ht="31.5">
      <c r="A183" s="26" t="s">
        <v>313</v>
      </c>
      <c r="B183" s="21" t="s">
        <v>483</v>
      </c>
      <c r="C183" s="42" t="s">
        <v>305</v>
      </c>
      <c r="D183" s="42" t="s">
        <v>254</v>
      </c>
      <c r="E183" s="42" t="s">
        <v>314</v>
      </c>
      <c r="F183" s="42"/>
      <c r="G183" s="7"/>
      <c r="H183" s="7"/>
      <c r="I183" s="7"/>
      <c r="J183" s="7"/>
      <c r="K183" s="7"/>
      <c r="L183" s="7">
        <f>L184</f>
        <v>57.3</v>
      </c>
    </row>
    <row r="184" spans="1:12" ht="15.75">
      <c r="A184" s="26" t="s">
        <v>315</v>
      </c>
      <c r="B184" s="21" t="s">
        <v>483</v>
      </c>
      <c r="C184" s="42" t="s">
        <v>305</v>
      </c>
      <c r="D184" s="42" t="s">
        <v>254</v>
      </c>
      <c r="E184" s="42" t="s">
        <v>316</v>
      </c>
      <c r="F184" s="42"/>
      <c r="G184" s="7"/>
      <c r="H184" s="7"/>
      <c r="I184" s="7"/>
      <c r="J184" s="7"/>
      <c r="K184" s="7"/>
      <c r="L184" s="7">
        <f>'Прил.№5 ведомств.'!G773</f>
        <v>57.3</v>
      </c>
    </row>
    <row r="185" spans="1:12" ht="31.5">
      <c r="A185" s="26" t="s">
        <v>319</v>
      </c>
      <c r="B185" s="42" t="s">
        <v>484</v>
      </c>
      <c r="C185" s="42" t="s">
        <v>305</v>
      </c>
      <c r="D185" s="42" t="s">
        <v>254</v>
      </c>
      <c r="E185" s="42"/>
      <c r="F185" s="42"/>
      <c r="G185" s="7" t="e">
        <f>G186</f>
        <v>#REF!</v>
      </c>
      <c r="H185" s="7" t="e">
        <f aca="true" t="shared" si="72" ref="H185:L186">H186</f>
        <v>#REF!</v>
      </c>
      <c r="I185" s="7" t="e">
        <f t="shared" si="72"/>
        <v>#REF!</v>
      </c>
      <c r="J185" s="7" t="e">
        <f t="shared" si="72"/>
        <v>#REF!</v>
      </c>
      <c r="K185" s="7" t="e">
        <f t="shared" si="72"/>
        <v>#REF!</v>
      </c>
      <c r="L185" s="7">
        <f t="shared" si="72"/>
        <v>1337.5</v>
      </c>
    </row>
    <row r="186" spans="1:12" ht="31.5">
      <c r="A186" s="26" t="s">
        <v>313</v>
      </c>
      <c r="B186" s="42" t="s">
        <v>484</v>
      </c>
      <c r="C186" s="42" t="s">
        <v>305</v>
      </c>
      <c r="D186" s="42" t="s">
        <v>254</v>
      </c>
      <c r="E186" s="42" t="s">
        <v>314</v>
      </c>
      <c r="F186" s="42"/>
      <c r="G186" s="7" t="e">
        <f>G187</f>
        <v>#REF!</v>
      </c>
      <c r="H186" s="7" t="e">
        <f t="shared" si="72"/>
        <v>#REF!</v>
      </c>
      <c r="I186" s="7" t="e">
        <f t="shared" si="72"/>
        <v>#REF!</v>
      </c>
      <c r="J186" s="7" t="e">
        <f t="shared" si="72"/>
        <v>#REF!</v>
      </c>
      <c r="K186" s="7" t="e">
        <f t="shared" si="72"/>
        <v>#REF!</v>
      </c>
      <c r="L186" s="7">
        <f t="shared" si="72"/>
        <v>1337.5</v>
      </c>
    </row>
    <row r="187" spans="1:12" ht="15.75">
      <c r="A187" s="26" t="s">
        <v>315</v>
      </c>
      <c r="B187" s="42" t="s">
        <v>484</v>
      </c>
      <c r="C187" s="42" t="s">
        <v>305</v>
      </c>
      <c r="D187" s="42" t="s">
        <v>254</v>
      </c>
      <c r="E187" s="42" t="s">
        <v>316</v>
      </c>
      <c r="F187" s="42"/>
      <c r="G187" s="7" t="e">
        <f>#REF!</f>
        <v>#REF!</v>
      </c>
      <c r="H187" s="7" t="e">
        <f>#REF!</f>
        <v>#REF!</v>
      </c>
      <c r="I187" s="7" t="e">
        <f>#REF!</f>
        <v>#REF!</v>
      </c>
      <c r="J187" s="7" t="e">
        <f>#REF!</f>
        <v>#REF!</v>
      </c>
      <c r="K187" s="7" t="e">
        <f>#REF!</f>
        <v>#REF!</v>
      </c>
      <c r="L187" s="7">
        <f>'Прил.№5 ведомств.'!G776</f>
        <v>1337.5</v>
      </c>
    </row>
    <row r="188" spans="1:12" ht="31.5" customHeight="1">
      <c r="A188" s="26" t="s">
        <v>321</v>
      </c>
      <c r="B188" s="42" t="s">
        <v>485</v>
      </c>
      <c r="C188" s="42" t="s">
        <v>305</v>
      </c>
      <c r="D188" s="42" t="s">
        <v>254</v>
      </c>
      <c r="E188" s="42"/>
      <c r="F188" s="42"/>
      <c r="G188" s="7" t="e">
        <f>G189</f>
        <v>#REF!</v>
      </c>
      <c r="H188" s="7" t="e">
        <f aca="true" t="shared" si="73" ref="H188:L189">H189</f>
        <v>#REF!</v>
      </c>
      <c r="I188" s="7" t="e">
        <f t="shared" si="73"/>
        <v>#REF!</v>
      </c>
      <c r="J188" s="7" t="e">
        <f t="shared" si="73"/>
        <v>#REF!</v>
      </c>
      <c r="K188" s="7" t="e">
        <f t="shared" si="73"/>
        <v>#REF!</v>
      </c>
      <c r="L188" s="7">
        <f t="shared" si="73"/>
        <v>547.2</v>
      </c>
    </row>
    <row r="189" spans="1:12" ht="31.5" customHeight="1">
      <c r="A189" s="26" t="s">
        <v>313</v>
      </c>
      <c r="B189" s="42" t="s">
        <v>485</v>
      </c>
      <c r="C189" s="42" t="s">
        <v>305</v>
      </c>
      <c r="D189" s="42" t="s">
        <v>254</v>
      </c>
      <c r="E189" s="42" t="s">
        <v>314</v>
      </c>
      <c r="F189" s="42"/>
      <c r="G189" s="7" t="e">
        <f>G190</f>
        <v>#REF!</v>
      </c>
      <c r="H189" s="7" t="e">
        <f t="shared" si="73"/>
        <v>#REF!</v>
      </c>
      <c r="I189" s="7" t="e">
        <f t="shared" si="73"/>
        <v>#REF!</v>
      </c>
      <c r="J189" s="7" t="e">
        <f t="shared" si="73"/>
        <v>#REF!</v>
      </c>
      <c r="K189" s="7" t="e">
        <f t="shared" si="73"/>
        <v>#REF!</v>
      </c>
      <c r="L189" s="7">
        <f t="shared" si="73"/>
        <v>547.2</v>
      </c>
    </row>
    <row r="190" spans="1:12" ht="15.75" customHeight="1">
      <c r="A190" s="26" t="s">
        <v>315</v>
      </c>
      <c r="B190" s="42" t="s">
        <v>485</v>
      </c>
      <c r="C190" s="42" t="s">
        <v>305</v>
      </c>
      <c r="D190" s="42" t="s">
        <v>254</v>
      </c>
      <c r="E190" s="42" t="s">
        <v>316</v>
      </c>
      <c r="F190" s="42"/>
      <c r="G190" s="7" t="e">
        <f>#REF!</f>
        <v>#REF!</v>
      </c>
      <c r="H190" s="7" t="e">
        <f>#REF!</f>
        <v>#REF!</v>
      </c>
      <c r="I190" s="7" t="e">
        <f>#REF!</f>
        <v>#REF!</v>
      </c>
      <c r="J190" s="7" t="e">
        <f>#REF!</f>
        <v>#REF!</v>
      </c>
      <c r="K190" s="7" t="e">
        <f>#REF!</f>
        <v>#REF!</v>
      </c>
      <c r="L190" s="7">
        <f>'Прил.№5 ведомств.'!G779</f>
        <v>547.2</v>
      </c>
    </row>
    <row r="191" spans="1:12" ht="31.5">
      <c r="A191" s="31" t="s">
        <v>323</v>
      </c>
      <c r="B191" s="42" t="s">
        <v>486</v>
      </c>
      <c r="C191" s="42" t="s">
        <v>305</v>
      </c>
      <c r="D191" s="42" t="s">
        <v>254</v>
      </c>
      <c r="E191" s="42"/>
      <c r="F191" s="42"/>
      <c r="G191" s="11" t="e">
        <f>G192</f>
        <v>#REF!</v>
      </c>
      <c r="H191" s="11" t="e">
        <f aca="true" t="shared" si="74" ref="H191:L192">H192</f>
        <v>#REF!</v>
      </c>
      <c r="I191" s="11" t="e">
        <f t="shared" si="74"/>
        <v>#REF!</v>
      </c>
      <c r="J191" s="11" t="e">
        <f t="shared" si="74"/>
        <v>#REF!</v>
      </c>
      <c r="K191" s="11" t="e">
        <f t="shared" si="74"/>
        <v>#REF!</v>
      </c>
      <c r="L191" s="11">
        <f t="shared" si="74"/>
        <v>224.2</v>
      </c>
    </row>
    <row r="192" spans="1:12" ht="31.5">
      <c r="A192" s="31" t="s">
        <v>313</v>
      </c>
      <c r="B192" s="42" t="s">
        <v>486</v>
      </c>
      <c r="C192" s="42" t="s">
        <v>305</v>
      </c>
      <c r="D192" s="42" t="s">
        <v>254</v>
      </c>
      <c r="E192" s="42" t="s">
        <v>314</v>
      </c>
      <c r="F192" s="42"/>
      <c r="G192" s="11" t="e">
        <f>G193</f>
        <v>#REF!</v>
      </c>
      <c r="H192" s="11" t="e">
        <f t="shared" si="74"/>
        <v>#REF!</v>
      </c>
      <c r="I192" s="11" t="e">
        <f t="shared" si="74"/>
        <v>#REF!</v>
      </c>
      <c r="J192" s="11" t="e">
        <f t="shared" si="74"/>
        <v>#REF!</v>
      </c>
      <c r="K192" s="11" t="e">
        <f t="shared" si="74"/>
        <v>#REF!</v>
      </c>
      <c r="L192" s="11">
        <f t="shared" si="74"/>
        <v>224.2</v>
      </c>
    </row>
    <row r="193" spans="1:12" ht="26.25" customHeight="1">
      <c r="A193" s="31" t="s">
        <v>315</v>
      </c>
      <c r="B193" s="42" t="s">
        <v>486</v>
      </c>
      <c r="C193" s="42" t="s">
        <v>305</v>
      </c>
      <c r="D193" s="42" t="s">
        <v>254</v>
      </c>
      <c r="E193" s="42" t="s">
        <v>316</v>
      </c>
      <c r="F193" s="42"/>
      <c r="G193" s="11" t="e">
        <f>#REF!</f>
        <v>#REF!</v>
      </c>
      <c r="H193" s="11" t="e">
        <f>#REF!</f>
        <v>#REF!</v>
      </c>
      <c r="I193" s="11" t="e">
        <f>#REF!</f>
        <v>#REF!</v>
      </c>
      <c r="J193" s="11" t="e">
        <f>#REF!</f>
        <v>#REF!</v>
      </c>
      <c r="K193" s="11" t="e">
        <f>#REF!</f>
        <v>#REF!</v>
      </c>
      <c r="L193" s="11">
        <f>'Прил.№5 ведомств.'!G782</f>
        <v>224.2</v>
      </c>
    </row>
    <row r="194" spans="1:12" ht="31.5" customHeight="1">
      <c r="A194" s="31" t="s">
        <v>325</v>
      </c>
      <c r="B194" s="42" t="s">
        <v>487</v>
      </c>
      <c r="C194" s="42" t="s">
        <v>305</v>
      </c>
      <c r="D194" s="42" t="s">
        <v>254</v>
      </c>
      <c r="E194" s="42"/>
      <c r="F194" s="42"/>
      <c r="G194" s="11" t="e">
        <f>G195</f>
        <v>#REF!</v>
      </c>
      <c r="H194" s="11" t="e">
        <f aca="true" t="shared" si="75" ref="H194:L195">H195</f>
        <v>#REF!</v>
      </c>
      <c r="I194" s="11" t="e">
        <f t="shared" si="75"/>
        <v>#REF!</v>
      </c>
      <c r="J194" s="11" t="e">
        <f t="shared" si="75"/>
        <v>#REF!</v>
      </c>
      <c r="K194" s="11" t="e">
        <f t="shared" si="75"/>
        <v>#REF!</v>
      </c>
      <c r="L194" s="11">
        <f t="shared" si="75"/>
        <v>945.1</v>
      </c>
    </row>
    <row r="195" spans="1:12" ht="31.5" customHeight="1">
      <c r="A195" s="31" t="s">
        <v>313</v>
      </c>
      <c r="B195" s="42" t="s">
        <v>487</v>
      </c>
      <c r="C195" s="42" t="s">
        <v>305</v>
      </c>
      <c r="D195" s="42" t="s">
        <v>254</v>
      </c>
      <c r="E195" s="42" t="s">
        <v>314</v>
      </c>
      <c r="F195" s="42"/>
      <c r="G195" s="11" t="e">
        <f>G196</f>
        <v>#REF!</v>
      </c>
      <c r="H195" s="11" t="e">
        <f t="shared" si="75"/>
        <v>#REF!</v>
      </c>
      <c r="I195" s="11" t="e">
        <f t="shared" si="75"/>
        <v>#REF!</v>
      </c>
      <c r="J195" s="11" t="e">
        <f t="shared" si="75"/>
        <v>#REF!</v>
      </c>
      <c r="K195" s="11" t="e">
        <f t="shared" si="75"/>
        <v>#REF!</v>
      </c>
      <c r="L195" s="11">
        <f t="shared" si="75"/>
        <v>945.1</v>
      </c>
    </row>
    <row r="196" spans="1:13" ht="26.25" customHeight="1">
      <c r="A196" s="31" t="s">
        <v>315</v>
      </c>
      <c r="B196" s="42" t="s">
        <v>487</v>
      </c>
      <c r="C196" s="42" t="s">
        <v>305</v>
      </c>
      <c r="D196" s="42" t="s">
        <v>254</v>
      </c>
      <c r="E196" s="42" t="s">
        <v>316</v>
      </c>
      <c r="F196" s="42"/>
      <c r="G196" s="11" t="e">
        <f>#REF!</f>
        <v>#REF!</v>
      </c>
      <c r="H196" s="11" t="e">
        <f>#REF!</f>
        <v>#REF!</v>
      </c>
      <c r="I196" s="11" t="e">
        <f>#REF!</f>
        <v>#REF!</v>
      </c>
      <c r="J196" s="11" t="e">
        <f>#REF!</f>
        <v>#REF!</v>
      </c>
      <c r="K196" s="11" t="e">
        <f>#REF!</f>
        <v>#REF!</v>
      </c>
      <c r="L196" s="11">
        <f>'Прил.№5 ведомств.'!G785</f>
        <v>945.1</v>
      </c>
      <c r="M196" s="286" t="s">
        <v>1091</v>
      </c>
    </row>
    <row r="197" spans="1:12" ht="34.5" customHeight="1">
      <c r="A197" s="31" t="s">
        <v>842</v>
      </c>
      <c r="B197" s="42" t="s">
        <v>844</v>
      </c>
      <c r="C197" s="42" t="s">
        <v>305</v>
      </c>
      <c r="D197" s="42" t="s">
        <v>254</v>
      </c>
      <c r="E197" s="42"/>
      <c r="F197" s="42"/>
      <c r="G197" s="11" t="e">
        <f>G198</f>
        <v>#REF!</v>
      </c>
      <c r="H197" s="11" t="e">
        <f aca="true" t="shared" si="76" ref="H197:L198">H198</f>
        <v>#REF!</v>
      </c>
      <c r="I197" s="11" t="e">
        <f t="shared" si="76"/>
        <v>#REF!</v>
      </c>
      <c r="J197" s="11" t="e">
        <f t="shared" si="76"/>
        <v>#REF!</v>
      </c>
      <c r="K197" s="11" t="e">
        <f t="shared" si="76"/>
        <v>#REF!</v>
      </c>
      <c r="L197" s="11">
        <f t="shared" si="76"/>
        <v>2634</v>
      </c>
    </row>
    <row r="198" spans="1:12" ht="40.5" customHeight="1">
      <c r="A198" s="31" t="s">
        <v>313</v>
      </c>
      <c r="B198" s="42" t="s">
        <v>844</v>
      </c>
      <c r="C198" s="42" t="s">
        <v>305</v>
      </c>
      <c r="D198" s="42" t="s">
        <v>254</v>
      </c>
      <c r="E198" s="42" t="s">
        <v>314</v>
      </c>
      <c r="F198" s="42"/>
      <c r="G198" s="11" t="e">
        <f>G199</f>
        <v>#REF!</v>
      </c>
      <c r="H198" s="11" t="e">
        <f t="shared" si="76"/>
        <v>#REF!</v>
      </c>
      <c r="I198" s="11" t="e">
        <f t="shared" si="76"/>
        <v>#REF!</v>
      </c>
      <c r="J198" s="11" t="e">
        <f t="shared" si="76"/>
        <v>#REF!</v>
      </c>
      <c r="K198" s="11" t="e">
        <f t="shared" si="76"/>
        <v>#REF!</v>
      </c>
      <c r="L198" s="11">
        <f t="shared" si="76"/>
        <v>2634</v>
      </c>
    </row>
    <row r="199" spans="1:12" ht="26.25" customHeight="1">
      <c r="A199" s="31" t="s">
        <v>315</v>
      </c>
      <c r="B199" s="42" t="s">
        <v>844</v>
      </c>
      <c r="C199" s="42" t="s">
        <v>305</v>
      </c>
      <c r="D199" s="42" t="s">
        <v>254</v>
      </c>
      <c r="E199" s="42" t="s">
        <v>316</v>
      </c>
      <c r="F199" s="42"/>
      <c r="G199" s="11" t="e">
        <f>#REF!</f>
        <v>#REF!</v>
      </c>
      <c r="H199" s="11" t="e">
        <f>#REF!</f>
        <v>#REF!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>
        <f>'Прил.№5 ведомств.'!G788</f>
        <v>2634</v>
      </c>
    </row>
    <row r="200" spans="1:13" s="285" customFormat="1" ht="47.25">
      <c r="A200" s="31" t="s">
        <v>1074</v>
      </c>
      <c r="B200" s="42" t="s">
        <v>1075</v>
      </c>
      <c r="C200" s="42" t="s">
        <v>305</v>
      </c>
      <c r="D200" s="42" t="s">
        <v>254</v>
      </c>
      <c r="E200" s="42"/>
      <c r="F200" s="42"/>
      <c r="G200" s="11"/>
      <c r="H200" s="11"/>
      <c r="I200" s="11"/>
      <c r="J200" s="11"/>
      <c r="K200" s="11"/>
      <c r="L200" s="11">
        <f>L201</f>
        <v>621.6</v>
      </c>
      <c r="M200" s="286"/>
    </row>
    <row r="201" spans="1:13" s="285" customFormat="1" ht="31.5">
      <c r="A201" s="31" t="s">
        <v>313</v>
      </c>
      <c r="B201" s="42" t="s">
        <v>1075</v>
      </c>
      <c r="C201" s="42" t="s">
        <v>305</v>
      </c>
      <c r="D201" s="42" t="s">
        <v>254</v>
      </c>
      <c r="E201" s="42" t="s">
        <v>314</v>
      </c>
      <c r="F201" s="42"/>
      <c r="G201" s="11"/>
      <c r="H201" s="11"/>
      <c r="I201" s="11"/>
      <c r="J201" s="11"/>
      <c r="K201" s="11"/>
      <c r="L201" s="11">
        <f>L202</f>
        <v>621.6</v>
      </c>
      <c r="M201" s="286"/>
    </row>
    <row r="202" spans="1:13" s="285" customFormat="1" ht="26.25" customHeight="1">
      <c r="A202" s="31" t="s">
        <v>315</v>
      </c>
      <c r="B202" s="42" t="s">
        <v>1075</v>
      </c>
      <c r="C202" s="42" t="s">
        <v>305</v>
      </c>
      <c r="D202" s="42" t="s">
        <v>254</v>
      </c>
      <c r="E202" s="42" t="s">
        <v>316</v>
      </c>
      <c r="F202" s="42"/>
      <c r="G202" s="11"/>
      <c r="H202" s="11"/>
      <c r="I202" s="11"/>
      <c r="J202" s="11"/>
      <c r="K202" s="11"/>
      <c r="L202" s="11">
        <f>'Прил.№5 ведомств.'!G791</f>
        <v>621.6</v>
      </c>
      <c r="M202" s="286"/>
    </row>
    <row r="203" spans="1:12" ht="31.5">
      <c r="A203" s="31" t="s">
        <v>445</v>
      </c>
      <c r="B203" s="42" t="s">
        <v>473</v>
      </c>
      <c r="C203" s="42"/>
      <c r="D203" s="42"/>
      <c r="E203" s="42"/>
      <c r="F203" s="42" t="s">
        <v>696</v>
      </c>
      <c r="G203" s="11" t="e">
        <f aca="true" t="shared" si="77" ref="G203:L203">G153</f>
        <v>#REF!</v>
      </c>
      <c r="H203" s="11" t="e">
        <f t="shared" si="77"/>
        <v>#REF!</v>
      </c>
      <c r="I203" s="11" t="e">
        <f t="shared" si="77"/>
        <v>#REF!</v>
      </c>
      <c r="J203" s="11" t="e">
        <f t="shared" si="77"/>
        <v>#REF!</v>
      </c>
      <c r="K203" s="11" t="e">
        <f t="shared" si="77"/>
        <v>#REF!</v>
      </c>
      <c r="L203" s="11">
        <f t="shared" si="77"/>
        <v>9464.1</v>
      </c>
    </row>
    <row r="204" spans="1:12" ht="31.5" customHeight="1" hidden="1">
      <c r="A204" s="31" t="s">
        <v>325</v>
      </c>
      <c r="B204" s="42" t="s">
        <v>656</v>
      </c>
      <c r="C204" s="42" t="s">
        <v>305</v>
      </c>
      <c r="D204" s="42" t="s">
        <v>254</v>
      </c>
      <c r="E204" s="42"/>
      <c r="F204" s="42"/>
      <c r="G204" s="11">
        <f>G205</f>
        <v>0</v>
      </c>
      <c r="H204" s="11">
        <f aca="true" t="shared" si="78" ref="H204:L205">H205</f>
        <v>0</v>
      </c>
      <c r="I204" s="11">
        <f t="shared" si="78"/>
        <v>0</v>
      </c>
      <c r="J204" s="11">
        <f t="shared" si="78"/>
        <v>0</v>
      </c>
      <c r="K204" s="11">
        <f t="shared" si="78"/>
        <v>0</v>
      </c>
      <c r="L204" s="11">
        <f t="shared" si="78"/>
        <v>0</v>
      </c>
    </row>
    <row r="205" spans="1:12" ht="31.5" customHeight="1" hidden="1">
      <c r="A205" s="31" t="s">
        <v>313</v>
      </c>
      <c r="B205" s="42" t="s">
        <v>656</v>
      </c>
      <c r="C205" s="42" t="s">
        <v>305</v>
      </c>
      <c r="D205" s="42" t="s">
        <v>254</v>
      </c>
      <c r="E205" s="42" t="s">
        <v>314</v>
      </c>
      <c r="F205" s="42"/>
      <c r="G205" s="11">
        <f>G206</f>
        <v>0</v>
      </c>
      <c r="H205" s="11">
        <f t="shared" si="78"/>
        <v>0</v>
      </c>
      <c r="I205" s="11">
        <f t="shared" si="78"/>
        <v>0</v>
      </c>
      <c r="J205" s="11">
        <f t="shared" si="78"/>
        <v>0</v>
      </c>
      <c r="K205" s="11">
        <f t="shared" si="78"/>
        <v>0</v>
      </c>
      <c r="L205" s="11">
        <f t="shared" si="78"/>
        <v>0</v>
      </c>
    </row>
    <row r="206" spans="1:12" ht="15.75" customHeight="1" hidden="1">
      <c r="A206" s="31" t="s">
        <v>315</v>
      </c>
      <c r="B206" s="42" t="s">
        <v>656</v>
      </c>
      <c r="C206" s="42" t="s">
        <v>305</v>
      </c>
      <c r="D206" s="42" t="s">
        <v>254</v>
      </c>
      <c r="E206" s="42" t="s">
        <v>316</v>
      </c>
      <c r="F206" s="42"/>
      <c r="G206" s="11"/>
      <c r="H206" s="11"/>
      <c r="I206" s="11"/>
      <c r="J206" s="11"/>
      <c r="K206" s="11"/>
      <c r="L206" s="11"/>
    </row>
    <row r="207" spans="1:12" ht="31.5" customHeight="1" hidden="1">
      <c r="A207" s="31" t="s">
        <v>445</v>
      </c>
      <c r="B207" s="42" t="s">
        <v>656</v>
      </c>
      <c r="C207" s="42" t="s">
        <v>305</v>
      </c>
      <c r="D207" s="42" t="s">
        <v>254</v>
      </c>
      <c r="E207" s="42"/>
      <c r="F207" s="42" t="s">
        <v>696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1:12" ht="31.5" customHeight="1" hidden="1">
      <c r="A208" s="31" t="s">
        <v>697</v>
      </c>
      <c r="B208" s="42" t="s">
        <v>657</v>
      </c>
      <c r="C208" s="42" t="s">
        <v>305</v>
      </c>
      <c r="D208" s="42" t="s">
        <v>254</v>
      </c>
      <c r="E208" s="42"/>
      <c r="F208" s="42"/>
      <c r="G208" s="11">
        <f>G209</f>
        <v>0</v>
      </c>
      <c r="H208" s="11">
        <f aca="true" t="shared" si="79" ref="H208:L209">H209</f>
        <v>0</v>
      </c>
      <c r="I208" s="11">
        <f t="shared" si="79"/>
        <v>0</v>
      </c>
      <c r="J208" s="11">
        <f t="shared" si="79"/>
        <v>0</v>
      </c>
      <c r="K208" s="11">
        <f t="shared" si="79"/>
        <v>0</v>
      </c>
      <c r="L208" s="11">
        <f t="shared" si="79"/>
        <v>0</v>
      </c>
    </row>
    <row r="209" spans="1:12" ht="31.5" customHeight="1" hidden="1">
      <c r="A209" s="31" t="s">
        <v>313</v>
      </c>
      <c r="B209" s="42" t="s">
        <v>657</v>
      </c>
      <c r="C209" s="42" t="s">
        <v>305</v>
      </c>
      <c r="D209" s="42" t="s">
        <v>254</v>
      </c>
      <c r="E209" s="42" t="s">
        <v>314</v>
      </c>
      <c r="F209" s="42"/>
      <c r="G209" s="11">
        <f>G210</f>
        <v>0</v>
      </c>
      <c r="H209" s="11">
        <f t="shared" si="79"/>
        <v>0</v>
      </c>
      <c r="I209" s="11">
        <f t="shared" si="79"/>
        <v>0</v>
      </c>
      <c r="J209" s="11">
        <f t="shared" si="79"/>
        <v>0</v>
      </c>
      <c r="K209" s="11">
        <f t="shared" si="79"/>
        <v>0</v>
      </c>
      <c r="L209" s="11">
        <f t="shared" si="79"/>
        <v>0</v>
      </c>
    </row>
    <row r="210" spans="1:12" ht="15.75" customHeight="1" hidden="1">
      <c r="A210" s="31" t="s">
        <v>315</v>
      </c>
      <c r="B210" s="42" t="s">
        <v>657</v>
      </c>
      <c r="C210" s="42" t="s">
        <v>305</v>
      </c>
      <c r="D210" s="42" t="s">
        <v>254</v>
      </c>
      <c r="E210" s="42" t="s">
        <v>316</v>
      </c>
      <c r="F210" s="42"/>
      <c r="G210" s="11"/>
      <c r="H210" s="11"/>
      <c r="I210" s="11"/>
      <c r="J210" s="11"/>
      <c r="K210" s="11"/>
      <c r="L210" s="11"/>
    </row>
    <row r="211" spans="1:12" ht="31.5" customHeight="1" hidden="1">
      <c r="A211" s="31" t="s">
        <v>445</v>
      </c>
      <c r="B211" s="42" t="s">
        <v>657</v>
      </c>
      <c r="C211" s="42" t="s">
        <v>305</v>
      </c>
      <c r="D211" s="42" t="s">
        <v>254</v>
      </c>
      <c r="E211" s="42"/>
      <c r="F211" s="42" t="s">
        <v>696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1:12" ht="36" customHeight="1">
      <c r="A212" s="43" t="s">
        <v>488</v>
      </c>
      <c r="B212" s="8" t="s">
        <v>489</v>
      </c>
      <c r="C212" s="8"/>
      <c r="D212" s="8"/>
      <c r="E212" s="8"/>
      <c r="F212" s="8"/>
      <c r="G212" s="66" t="e">
        <f>G213</f>
        <v>#REF!</v>
      </c>
      <c r="H212" s="66" t="e">
        <f aca="true" t="shared" si="80" ref="H212:L215">H213</f>
        <v>#REF!</v>
      </c>
      <c r="I212" s="66" t="e">
        <f t="shared" si="80"/>
        <v>#REF!</v>
      </c>
      <c r="J212" s="66" t="e">
        <f t="shared" si="80"/>
        <v>#REF!</v>
      </c>
      <c r="K212" s="66" t="e">
        <f t="shared" si="80"/>
        <v>#REF!</v>
      </c>
      <c r="L212" s="66">
        <f t="shared" si="80"/>
        <v>689</v>
      </c>
    </row>
    <row r="213" spans="1:12" ht="21" customHeight="1">
      <c r="A213" s="31" t="s">
        <v>304</v>
      </c>
      <c r="B213" s="42" t="s">
        <v>489</v>
      </c>
      <c r="C213" s="42" t="s">
        <v>305</v>
      </c>
      <c r="D213" s="42"/>
      <c r="E213" s="42"/>
      <c r="F213" s="42"/>
      <c r="G213" s="11" t="e">
        <f>G214</f>
        <v>#REF!</v>
      </c>
      <c r="H213" s="11" t="e">
        <f t="shared" si="80"/>
        <v>#REF!</v>
      </c>
      <c r="I213" s="11" t="e">
        <f t="shared" si="80"/>
        <v>#REF!</v>
      </c>
      <c r="J213" s="11" t="e">
        <f t="shared" si="80"/>
        <v>#REF!</v>
      </c>
      <c r="K213" s="11" t="e">
        <f t="shared" si="80"/>
        <v>#REF!</v>
      </c>
      <c r="L213" s="11">
        <f t="shared" si="80"/>
        <v>689</v>
      </c>
    </row>
    <row r="214" spans="1:12" ht="22.5" customHeight="1">
      <c r="A214" s="31" t="s">
        <v>306</v>
      </c>
      <c r="B214" s="42" t="s">
        <v>489</v>
      </c>
      <c r="C214" s="42" t="s">
        <v>305</v>
      </c>
      <c r="D214" s="42" t="s">
        <v>256</v>
      </c>
      <c r="E214" s="42"/>
      <c r="F214" s="42"/>
      <c r="G214" s="11" t="e">
        <f>#REF!</f>
        <v>#REF!</v>
      </c>
      <c r="H214" s="11" t="e">
        <f>#REF!</f>
        <v>#REF!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>
        <f>L217</f>
        <v>689</v>
      </c>
    </row>
    <row r="215" spans="1:12" ht="31.5" customHeight="1" hidden="1">
      <c r="A215" s="31" t="s">
        <v>313</v>
      </c>
      <c r="B215" s="21" t="s">
        <v>775</v>
      </c>
      <c r="C215" s="42" t="s">
        <v>305</v>
      </c>
      <c r="D215" s="42" t="s">
        <v>256</v>
      </c>
      <c r="E215" s="42" t="s">
        <v>314</v>
      </c>
      <c r="F215" s="42"/>
      <c r="G215" s="11" t="e">
        <f>G216</f>
        <v>#REF!</v>
      </c>
      <c r="H215" s="11" t="e">
        <f t="shared" si="80"/>
        <v>#REF!</v>
      </c>
      <c r="I215" s="11" t="e">
        <f t="shared" si="80"/>
        <v>#REF!</v>
      </c>
      <c r="J215" s="11" t="e">
        <f t="shared" si="80"/>
        <v>#REF!</v>
      </c>
      <c r="K215" s="11" t="e">
        <f t="shared" si="80"/>
        <v>#REF!</v>
      </c>
      <c r="L215" s="11">
        <f t="shared" si="80"/>
        <v>0</v>
      </c>
    </row>
    <row r="216" spans="1:12" ht="15.75" customHeight="1" hidden="1">
      <c r="A216" s="31" t="s">
        <v>315</v>
      </c>
      <c r="B216" s="21" t="s">
        <v>775</v>
      </c>
      <c r="C216" s="42" t="s">
        <v>305</v>
      </c>
      <c r="D216" s="42" t="s">
        <v>256</v>
      </c>
      <c r="E216" s="42" t="s">
        <v>316</v>
      </c>
      <c r="F216" s="42"/>
      <c r="G216" s="11" t="e">
        <f>#REF!</f>
        <v>#REF!</v>
      </c>
      <c r="H216" s="11" t="e">
        <f>#REF!</f>
        <v>#REF!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>
        <f>'Прил.№5 ведомств.'!G841</f>
        <v>0</v>
      </c>
    </row>
    <row r="217" spans="1:12" ht="31.5">
      <c r="A217" s="47" t="s">
        <v>842</v>
      </c>
      <c r="B217" s="21" t="s">
        <v>843</v>
      </c>
      <c r="C217" s="21" t="s">
        <v>305</v>
      </c>
      <c r="D217" s="21" t="s">
        <v>256</v>
      </c>
      <c r="E217" s="21"/>
      <c r="F217" s="21"/>
      <c r="G217" s="11" t="e">
        <f>G218</f>
        <v>#REF!</v>
      </c>
      <c r="H217" s="11" t="e">
        <f aca="true" t="shared" si="81" ref="H217:L218">H218</f>
        <v>#REF!</v>
      </c>
      <c r="I217" s="11" t="e">
        <f t="shared" si="81"/>
        <v>#REF!</v>
      </c>
      <c r="J217" s="11" t="e">
        <f t="shared" si="81"/>
        <v>#REF!</v>
      </c>
      <c r="K217" s="11" t="e">
        <f t="shared" si="81"/>
        <v>#REF!</v>
      </c>
      <c r="L217" s="11">
        <f t="shared" si="81"/>
        <v>689</v>
      </c>
    </row>
    <row r="218" spans="1:12" ht="31.5">
      <c r="A218" s="31" t="s">
        <v>313</v>
      </c>
      <c r="B218" s="21" t="s">
        <v>843</v>
      </c>
      <c r="C218" s="21" t="s">
        <v>305</v>
      </c>
      <c r="D218" s="21" t="s">
        <v>256</v>
      </c>
      <c r="E218" s="21" t="s">
        <v>314</v>
      </c>
      <c r="F218" s="21"/>
      <c r="G218" s="11" t="e">
        <f>G219</f>
        <v>#REF!</v>
      </c>
      <c r="H218" s="11" t="e">
        <f t="shared" si="81"/>
        <v>#REF!</v>
      </c>
      <c r="I218" s="11" t="e">
        <f t="shared" si="81"/>
        <v>#REF!</v>
      </c>
      <c r="J218" s="11" t="e">
        <f t="shared" si="81"/>
        <v>#REF!</v>
      </c>
      <c r="K218" s="11" t="e">
        <f t="shared" si="81"/>
        <v>#REF!</v>
      </c>
      <c r="L218" s="11">
        <f t="shared" si="81"/>
        <v>689</v>
      </c>
    </row>
    <row r="219" spans="1:12" ht="15.75">
      <c r="A219" s="33" t="s">
        <v>315</v>
      </c>
      <c r="B219" s="21" t="s">
        <v>843</v>
      </c>
      <c r="C219" s="21" t="s">
        <v>305</v>
      </c>
      <c r="D219" s="21" t="s">
        <v>256</v>
      </c>
      <c r="E219" s="21" t="s">
        <v>316</v>
      </c>
      <c r="F219" s="21"/>
      <c r="G219" s="11" t="e">
        <f>#REF!</f>
        <v>#REF!</v>
      </c>
      <c r="H219" s="11" t="e">
        <f>#REF!</f>
        <v>#REF!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>
        <f>'Прил.№5 ведомств.'!G844</f>
        <v>689</v>
      </c>
    </row>
    <row r="220" spans="1:12" ht="31.5">
      <c r="A220" s="31" t="s">
        <v>445</v>
      </c>
      <c r="B220" s="21" t="s">
        <v>489</v>
      </c>
      <c r="C220" s="42" t="s">
        <v>305</v>
      </c>
      <c r="D220" s="42" t="s">
        <v>256</v>
      </c>
      <c r="E220" s="42"/>
      <c r="F220" s="42" t="s">
        <v>696</v>
      </c>
      <c r="G220" s="11" t="e">
        <f aca="true" t="shared" si="82" ref="G220:L220">G213</f>
        <v>#REF!</v>
      </c>
      <c r="H220" s="11" t="e">
        <f t="shared" si="82"/>
        <v>#REF!</v>
      </c>
      <c r="I220" s="11" t="e">
        <f t="shared" si="82"/>
        <v>#REF!</v>
      </c>
      <c r="J220" s="11" t="e">
        <f t="shared" si="82"/>
        <v>#REF!</v>
      </c>
      <c r="K220" s="11" t="e">
        <f t="shared" si="82"/>
        <v>#REF!</v>
      </c>
      <c r="L220" s="11">
        <f t="shared" si="82"/>
        <v>689</v>
      </c>
    </row>
    <row r="221" spans="1:12" ht="31.5" customHeight="1" hidden="1">
      <c r="A221" s="31" t="s">
        <v>698</v>
      </c>
      <c r="B221" s="42" t="s">
        <v>658</v>
      </c>
      <c r="C221" s="42" t="s">
        <v>305</v>
      </c>
      <c r="D221" s="42" t="s">
        <v>254</v>
      </c>
      <c r="E221" s="42"/>
      <c r="F221" s="42"/>
      <c r="G221" s="11">
        <f aca="true" t="shared" si="83" ref="G221:L221">G225</f>
        <v>0</v>
      </c>
      <c r="H221" s="11">
        <f t="shared" si="83"/>
        <v>0</v>
      </c>
      <c r="I221" s="11">
        <f t="shared" si="83"/>
        <v>0</v>
      </c>
      <c r="J221" s="11">
        <f t="shared" si="83"/>
        <v>0</v>
      </c>
      <c r="K221" s="11">
        <f t="shared" si="83"/>
        <v>0</v>
      </c>
      <c r="L221" s="11">
        <f t="shared" si="83"/>
        <v>0</v>
      </c>
    </row>
    <row r="222" spans="1:12" ht="31.5" customHeight="1" hidden="1">
      <c r="A222" s="31" t="s">
        <v>313</v>
      </c>
      <c r="B222" s="42" t="s">
        <v>658</v>
      </c>
      <c r="C222" s="42" t="s">
        <v>510</v>
      </c>
      <c r="D222" s="42" t="s">
        <v>699</v>
      </c>
      <c r="E222" s="42" t="s">
        <v>314</v>
      </c>
      <c r="F222" s="42"/>
      <c r="G222" s="11">
        <f>G223</f>
        <v>0</v>
      </c>
      <c r="H222" s="11">
        <f aca="true" t="shared" si="84" ref="H222:L224">H223</f>
        <v>0</v>
      </c>
      <c r="I222" s="11">
        <f t="shared" si="84"/>
        <v>0</v>
      </c>
      <c r="J222" s="11">
        <f t="shared" si="84"/>
        <v>0</v>
      </c>
      <c r="K222" s="11">
        <f t="shared" si="84"/>
        <v>0</v>
      </c>
      <c r="L222" s="11">
        <f t="shared" si="84"/>
        <v>0</v>
      </c>
    </row>
    <row r="223" spans="1:12" ht="15.75" customHeight="1" hidden="1">
      <c r="A223" s="31" t="s">
        <v>315</v>
      </c>
      <c r="B223" s="42" t="s">
        <v>658</v>
      </c>
      <c r="C223" s="42" t="s">
        <v>510</v>
      </c>
      <c r="D223" s="42" t="s">
        <v>699</v>
      </c>
      <c r="E223" s="42" t="s">
        <v>316</v>
      </c>
      <c r="F223" s="42"/>
      <c r="G223" s="11">
        <f>G224</f>
        <v>0</v>
      </c>
      <c r="H223" s="11">
        <f t="shared" si="84"/>
        <v>0</v>
      </c>
      <c r="I223" s="11">
        <f t="shared" si="84"/>
        <v>0</v>
      </c>
      <c r="J223" s="11">
        <f t="shared" si="84"/>
        <v>0</v>
      </c>
      <c r="K223" s="11">
        <f t="shared" si="84"/>
        <v>0</v>
      </c>
      <c r="L223" s="11">
        <f t="shared" si="84"/>
        <v>0</v>
      </c>
    </row>
    <row r="224" spans="1:12" ht="15.75" customHeight="1" hidden="1">
      <c r="A224" s="31" t="s">
        <v>649</v>
      </c>
      <c r="B224" s="42" t="s">
        <v>658</v>
      </c>
      <c r="C224" s="42" t="s">
        <v>510</v>
      </c>
      <c r="D224" s="42" t="s">
        <v>699</v>
      </c>
      <c r="E224" s="42" t="s">
        <v>650</v>
      </c>
      <c r="F224" s="42"/>
      <c r="G224" s="11">
        <f>G225</f>
        <v>0</v>
      </c>
      <c r="H224" s="11">
        <f t="shared" si="84"/>
        <v>0</v>
      </c>
      <c r="I224" s="11">
        <f t="shared" si="84"/>
        <v>0</v>
      </c>
      <c r="J224" s="11">
        <f t="shared" si="84"/>
        <v>0</v>
      </c>
      <c r="K224" s="11">
        <f t="shared" si="84"/>
        <v>0</v>
      </c>
      <c r="L224" s="11">
        <f t="shared" si="84"/>
        <v>0</v>
      </c>
    </row>
    <row r="225" spans="1:12" ht="31.5" customHeight="1" hidden="1">
      <c r="A225" s="31" t="s">
        <v>445</v>
      </c>
      <c r="B225" s="42" t="s">
        <v>658</v>
      </c>
      <c r="C225" s="42" t="s">
        <v>305</v>
      </c>
      <c r="D225" s="42" t="s">
        <v>254</v>
      </c>
      <c r="E225" s="42"/>
      <c r="F225" s="42" t="s">
        <v>696</v>
      </c>
      <c r="G225" s="11"/>
      <c r="H225" s="11"/>
      <c r="I225" s="11"/>
      <c r="J225" s="11"/>
      <c r="K225" s="11"/>
      <c r="L225" s="11"/>
    </row>
    <row r="226" spans="1:12" ht="31.5" customHeight="1" hidden="1">
      <c r="A226" s="31" t="s">
        <v>700</v>
      </c>
      <c r="B226" s="21" t="s">
        <v>490</v>
      </c>
      <c r="C226" s="42" t="s">
        <v>305</v>
      </c>
      <c r="D226" s="42" t="s">
        <v>254</v>
      </c>
      <c r="E226" s="42"/>
      <c r="F226" s="42"/>
      <c r="G226" s="11">
        <f>G227</f>
        <v>0</v>
      </c>
      <c r="H226" s="11">
        <f aca="true" t="shared" si="85" ref="H226:L227">H227</f>
        <v>0</v>
      </c>
      <c r="I226" s="11">
        <f t="shared" si="85"/>
        <v>0</v>
      </c>
      <c r="J226" s="11">
        <f t="shared" si="85"/>
        <v>0</v>
      </c>
      <c r="K226" s="11">
        <f t="shared" si="85"/>
        <v>0</v>
      </c>
      <c r="L226" s="11">
        <f t="shared" si="85"/>
        <v>0</v>
      </c>
    </row>
    <row r="227" spans="1:12" ht="31.5" customHeight="1" hidden="1">
      <c r="A227" s="31" t="s">
        <v>321</v>
      </c>
      <c r="B227" s="21" t="s">
        <v>490</v>
      </c>
      <c r="C227" s="42" t="s">
        <v>305</v>
      </c>
      <c r="D227" s="42" t="s">
        <v>254</v>
      </c>
      <c r="E227" s="42" t="s">
        <v>314</v>
      </c>
      <c r="F227" s="42"/>
      <c r="G227" s="11">
        <f>G228</f>
        <v>0</v>
      </c>
      <c r="H227" s="11">
        <f t="shared" si="85"/>
        <v>0</v>
      </c>
      <c r="I227" s="11">
        <f t="shared" si="85"/>
        <v>0</v>
      </c>
      <c r="J227" s="11">
        <f t="shared" si="85"/>
        <v>0</v>
      </c>
      <c r="K227" s="11">
        <f t="shared" si="85"/>
        <v>0</v>
      </c>
      <c r="L227" s="11">
        <f t="shared" si="85"/>
        <v>0</v>
      </c>
    </row>
    <row r="228" spans="1:12" ht="15.75" customHeight="1" hidden="1">
      <c r="A228" s="31" t="s">
        <v>315</v>
      </c>
      <c r="B228" s="21" t="s">
        <v>490</v>
      </c>
      <c r="C228" s="42" t="s">
        <v>305</v>
      </c>
      <c r="D228" s="42" t="s">
        <v>254</v>
      </c>
      <c r="E228" s="42" t="s">
        <v>316</v>
      </c>
      <c r="F228" s="42"/>
      <c r="G228" s="11"/>
      <c r="H228" s="11"/>
      <c r="I228" s="11"/>
      <c r="J228" s="11"/>
      <c r="K228" s="11"/>
      <c r="L228" s="11"/>
    </row>
    <row r="229" spans="1:12" ht="15.75" customHeight="1" hidden="1">
      <c r="A229" s="31" t="s">
        <v>649</v>
      </c>
      <c r="B229" s="21" t="s">
        <v>490</v>
      </c>
      <c r="C229" s="42" t="s">
        <v>305</v>
      </c>
      <c r="D229" s="42" t="s">
        <v>254</v>
      </c>
      <c r="E229" s="42" t="s">
        <v>650</v>
      </c>
      <c r="F229" s="42"/>
      <c r="G229" s="11"/>
      <c r="H229" s="11"/>
      <c r="I229" s="11"/>
      <c r="J229" s="11"/>
      <c r="K229" s="11"/>
      <c r="L229" s="11"/>
    </row>
    <row r="230" spans="1:12" ht="31.5" customHeight="1" hidden="1">
      <c r="A230" s="31" t="s">
        <v>445</v>
      </c>
      <c r="B230" s="21" t="s">
        <v>490</v>
      </c>
      <c r="C230" s="42" t="s">
        <v>305</v>
      </c>
      <c r="D230" s="42" t="s">
        <v>254</v>
      </c>
      <c r="E230" s="42"/>
      <c r="F230" s="42" t="s">
        <v>696</v>
      </c>
      <c r="G230" s="7">
        <f aca="true" t="shared" si="86" ref="G230:L230">G226</f>
        <v>0</v>
      </c>
      <c r="H230" s="7">
        <f t="shared" si="86"/>
        <v>0</v>
      </c>
      <c r="I230" s="7">
        <f t="shared" si="86"/>
        <v>0</v>
      </c>
      <c r="J230" s="7">
        <f t="shared" si="86"/>
        <v>0</v>
      </c>
      <c r="K230" s="7">
        <f t="shared" si="86"/>
        <v>0</v>
      </c>
      <c r="L230" s="7">
        <f t="shared" si="86"/>
        <v>0</v>
      </c>
    </row>
    <row r="231" spans="1:12" ht="31.5" customHeight="1" hidden="1">
      <c r="A231" s="31" t="s">
        <v>655</v>
      </c>
      <c r="B231" s="42" t="s">
        <v>491</v>
      </c>
      <c r="C231" s="42" t="s">
        <v>305</v>
      </c>
      <c r="D231" s="42" t="s">
        <v>254</v>
      </c>
      <c r="E231" s="42"/>
      <c r="F231" s="42"/>
      <c r="G231" s="11">
        <f>G232</f>
        <v>0</v>
      </c>
      <c r="H231" s="11">
        <f aca="true" t="shared" si="87" ref="H231:L232">H232</f>
        <v>0</v>
      </c>
      <c r="I231" s="11">
        <f t="shared" si="87"/>
        <v>0</v>
      </c>
      <c r="J231" s="11">
        <f t="shared" si="87"/>
        <v>0</v>
      </c>
      <c r="K231" s="11">
        <f t="shared" si="87"/>
        <v>0</v>
      </c>
      <c r="L231" s="11">
        <f t="shared" si="87"/>
        <v>0</v>
      </c>
    </row>
    <row r="232" spans="1:12" ht="31.5" customHeight="1" hidden="1">
      <c r="A232" s="31" t="s">
        <v>313</v>
      </c>
      <c r="B232" s="42" t="s">
        <v>491</v>
      </c>
      <c r="C232" s="42" t="s">
        <v>305</v>
      </c>
      <c r="D232" s="42" t="s">
        <v>254</v>
      </c>
      <c r="E232" s="42" t="s">
        <v>314</v>
      </c>
      <c r="F232" s="42"/>
      <c r="G232" s="11">
        <f>G233</f>
        <v>0</v>
      </c>
      <c r="H232" s="11">
        <f t="shared" si="87"/>
        <v>0</v>
      </c>
      <c r="I232" s="11">
        <f t="shared" si="87"/>
        <v>0</v>
      </c>
      <c r="J232" s="11">
        <f t="shared" si="87"/>
        <v>0</v>
      </c>
      <c r="K232" s="11">
        <f t="shared" si="87"/>
        <v>0</v>
      </c>
      <c r="L232" s="11">
        <f t="shared" si="87"/>
        <v>0</v>
      </c>
    </row>
    <row r="233" spans="1:12" ht="15.75" customHeight="1" hidden="1">
      <c r="A233" s="31" t="s">
        <v>315</v>
      </c>
      <c r="B233" s="42" t="s">
        <v>491</v>
      </c>
      <c r="C233" s="42" t="s">
        <v>305</v>
      </c>
      <c r="D233" s="42" t="s">
        <v>254</v>
      </c>
      <c r="E233" s="42" t="s">
        <v>316</v>
      </c>
      <c r="F233" s="42" t="s">
        <v>696</v>
      </c>
      <c r="G233" s="11"/>
      <c r="H233" s="11"/>
      <c r="I233" s="11"/>
      <c r="J233" s="11"/>
      <c r="K233" s="11"/>
      <c r="L233" s="11"/>
    </row>
    <row r="234" spans="1:12" ht="15.75" customHeight="1" hidden="1">
      <c r="A234" s="31"/>
      <c r="B234" s="42"/>
      <c r="C234" s="42"/>
      <c r="D234" s="42"/>
      <c r="E234" s="42"/>
      <c r="F234" s="42"/>
      <c r="G234" s="11"/>
      <c r="H234" s="11"/>
      <c r="I234" s="11"/>
      <c r="J234" s="11"/>
      <c r="K234" s="11"/>
      <c r="L234" s="11"/>
    </row>
    <row r="235" spans="1:12" ht="15.75" customHeight="1" hidden="1">
      <c r="A235" s="31"/>
      <c r="B235" s="42"/>
      <c r="C235" s="42"/>
      <c r="D235" s="42"/>
      <c r="E235" s="42"/>
      <c r="F235" s="42"/>
      <c r="G235" s="11"/>
      <c r="H235" s="11"/>
      <c r="I235" s="11"/>
      <c r="J235" s="11"/>
      <c r="K235" s="11"/>
      <c r="L235" s="11"/>
    </row>
    <row r="236" spans="1:12" ht="31.5">
      <c r="A236" s="43" t="s">
        <v>509</v>
      </c>
      <c r="B236" s="8" t="s">
        <v>511</v>
      </c>
      <c r="C236" s="8"/>
      <c r="D236" s="8"/>
      <c r="E236" s="8"/>
      <c r="F236" s="8"/>
      <c r="G236" s="66" t="e">
        <f>G237</f>
        <v>#REF!</v>
      </c>
      <c r="H236" s="66" t="e">
        <f aca="true" t="shared" si="88" ref="H236:L240">H237</f>
        <v>#REF!</v>
      </c>
      <c r="I236" s="66" t="e">
        <f t="shared" si="88"/>
        <v>#REF!</v>
      </c>
      <c r="J236" s="66" t="e">
        <f t="shared" si="88"/>
        <v>#REF!</v>
      </c>
      <c r="K236" s="66" t="e">
        <f t="shared" si="88"/>
        <v>#REF!</v>
      </c>
      <c r="L236" s="66">
        <f t="shared" si="88"/>
        <v>3584</v>
      </c>
    </row>
    <row r="237" spans="1:12" ht="15.75">
      <c r="A237" s="31" t="s">
        <v>304</v>
      </c>
      <c r="B237" s="42" t="s">
        <v>511</v>
      </c>
      <c r="C237" s="42" t="s">
        <v>305</v>
      </c>
      <c r="D237" s="42"/>
      <c r="E237" s="42"/>
      <c r="F237" s="42"/>
      <c r="G237" s="11" t="e">
        <f>G238</f>
        <v>#REF!</v>
      </c>
      <c r="H237" s="11" t="e">
        <f t="shared" si="88"/>
        <v>#REF!</v>
      </c>
      <c r="I237" s="11" t="e">
        <f t="shared" si="88"/>
        <v>#REF!</v>
      </c>
      <c r="J237" s="11" t="e">
        <f t="shared" si="88"/>
        <v>#REF!</v>
      </c>
      <c r="K237" s="11" t="e">
        <f t="shared" si="88"/>
        <v>#REF!</v>
      </c>
      <c r="L237" s="11">
        <f t="shared" si="88"/>
        <v>3584</v>
      </c>
    </row>
    <row r="238" spans="1:12" ht="15.75">
      <c r="A238" s="31" t="s">
        <v>508</v>
      </c>
      <c r="B238" s="42" t="s">
        <v>511</v>
      </c>
      <c r="C238" s="42" t="s">
        <v>305</v>
      </c>
      <c r="D238" s="42" t="s">
        <v>305</v>
      </c>
      <c r="E238" s="42"/>
      <c r="F238" s="42"/>
      <c r="G238" s="11" t="e">
        <f>G239</f>
        <v>#REF!</v>
      </c>
      <c r="H238" s="11" t="e">
        <f t="shared" si="88"/>
        <v>#REF!</v>
      </c>
      <c r="I238" s="11" t="e">
        <f t="shared" si="88"/>
        <v>#REF!</v>
      </c>
      <c r="J238" s="11" t="e">
        <f t="shared" si="88"/>
        <v>#REF!</v>
      </c>
      <c r="K238" s="11" t="e">
        <f t="shared" si="88"/>
        <v>#REF!</v>
      </c>
      <c r="L238" s="11">
        <f t="shared" si="88"/>
        <v>3584</v>
      </c>
    </row>
    <row r="239" spans="1:12" ht="31.5">
      <c r="A239" s="26" t="s">
        <v>662</v>
      </c>
      <c r="B239" s="21" t="s">
        <v>513</v>
      </c>
      <c r="C239" s="42" t="s">
        <v>305</v>
      </c>
      <c r="D239" s="42" t="s">
        <v>305</v>
      </c>
      <c r="E239" s="42"/>
      <c r="F239" s="42"/>
      <c r="G239" s="11" t="e">
        <f>G240</f>
        <v>#REF!</v>
      </c>
      <c r="H239" s="11" t="e">
        <f t="shared" si="88"/>
        <v>#REF!</v>
      </c>
      <c r="I239" s="11" t="e">
        <f t="shared" si="88"/>
        <v>#REF!</v>
      </c>
      <c r="J239" s="11" t="e">
        <f t="shared" si="88"/>
        <v>#REF!</v>
      </c>
      <c r="K239" s="11" t="e">
        <f t="shared" si="88"/>
        <v>#REF!</v>
      </c>
      <c r="L239" s="11">
        <f t="shared" si="88"/>
        <v>3584</v>
      </c>
    </row>
    <row r="240" spans="1:12" ht="31.5">
      <c r="A240" s="31" t="s">
        <v>313</v>
      </c>
      <c r="B240" s="21" t="s">
        <v>513</v>
      </c>
      <c r="C240" s="42" t="s">
        <v>305</v>
      </c>
      <c r="D240" s="42" t="s">
        <v>305</v>
      </c>
      <c r="E240" s="42" t="s">
        <v>314</v>
      </c>
      <c r="F240" s="42"/>
      <c r="G240" s="11" t="e">
        <f>G241</f>
        <v>#REF!</v>
      </c>
      <c r="H240" s="11" t="e">
        <f t="shared" si="88"/>
        <v>#REF!</v>
      </c>
      <c r="I240" s="11" t="e">
        <f t="shared" si="88"/>
        <v>#REF!</v>
      </c>
      <c r="J240" s="11" t="e">
        <f t="shared" si="88"/>
        <v>#REF!</v>
      </c>
      <c r="K240" s="11" t="e">
        <f t="shared" si="88"/>
        <v>#REF!</v>
      </c>
      <c r="L240" s="11">
        <f t="shared" si="88"/>
        <v>3584</v>
      </c>
    </row>
    <row r="241" spans="1:12" ht="15.75">
      <c r="A241" s="31" t="s">
        <v>315</v>
      </c>
      <c r="B241" s="21" t="s">
        <v>513</v>
      </c>
      <c r="C241" s="42" t="s">
        <v>305</v>
      </c>
      <c r="D241" s="42" t="s">
        <v>305</v>
      </c>
      <c r="E241" s="42" t="s">
        <v>316</v>
      </c>
      <c r="F241" s="42"/>
      <c r="G241" s="11" t="e">
        <f>#REF!</f>
        <v>#REF!</v>
      </c>
      <c r="H241" s="11" t="e">
        <f>#REF!</f>
        <v>#REF!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>
        <f>'Прил.№5 ведомств.'!G865</f>
        <v>3584</v>
      </c>
    </row>
    <row r="242" spans="1:12" ht="31.5">
      <c r="A242" s="31" t="s">
        <v>445</v>
      </c>
      <c r="B242" s="21" t="s">
        <v>511</v>
      </c>
      <c r="C242" s="42"/>
      <c r="D242" s="42"/>
      <c r="E242" s="42"/>
      <c r="F242" s="42" t="s">
        <v>696</v>
      </c>
      <c r="G242" s="11" t="e">
        <f aca="true" t="shared" si="89" ref="G242:L242">G236</f>
        <v>#REF!</v>
      </c>
      <c r="H242" s="11" t="e">
        <f t="shared" si="89"/>
        <v>#REF!</v>
      </c>
      <c r="I242" s="11" t="e">
        <f t="shared" si="89"/>
        <v>#REF!</v>
      </c>
      <c r="J242" s="11" t="e">
        <f t="shared" si="89"/>
        <v>#REF!</v>
      </c>
      <c r="K242" s="11" t="e">
        <f t="shared" si="89"/>
        <v>#REF!</v>
      </c>
      <c r="L242" s="11">
        <f t="shared" si="89"/>
        <v>3584</v>
      </c>
    </row>
    <row r="243" spans="1:12" ht="47.25">
      <c r="A243" s="63" t="s">
        <v>949</v>
      </c>
      <c r="B243" s="263" t="s">
        <v>197</v>
      </c>
      <c r="C243" s="8"/>
      <c r="D243" s="263"/>
      <c r="E243" s="263"/>
      <c r="F243" s="263"/>
      <c r="G243" s="66" t="e">
        <f aca="true" t="shared" si="90" ref="G243:L243">G244+G250</f>
        <v>#REF!</v>
      </c>
      <c r="H243" s="66" t="e">
        <f t="shared" si="90"/>
        <v>#REF!</v>
      </c>
      <c r="I243" s="66" t="e">
        <f t="shared" si="90"/>
        <v>#REF!</v>
      </c>
      <c r="J243" s="66" t="e">
        <f t="shared" si="90"/>
        <v>#REF!</v>
      </c>
      <c r="K243" s="66" t="e">
        <f t="shared" si="90"/>
        <v>#REF!</v>
      </c>
      <c r="L243" s="66">
        <f t="shared" si="90"/>
        <v>100</v>
      </c>
    </row>
    <row r="244" spans="1:12" ht="15.75" customHeight="1" hidden="1">
      <c r="A244" s="47" t="s">
        <v>158</v>
      </c>
      <c r="B244" s="6" t="s">
        <v>197</v>
      </c>
      <c r="C244" s="42" t="s">
        <v>159</v>
      </c>
      <c r="D244" s="6"/>
      <c r="E244" s="6"/>
      <c r="F244" s="6"/>
      <c r="G244" s="11" t="e">
        <f>G245</f>
        <v>#REF!</v>
      </c>
      <c r="H244" s="11" t="e">
        <f aca="true" t="shared" si="91" ref="H244:L247">H245</f>
        <v>#REF!</v>
      </c>
      <c r="I244" s="11" t="e">
        <f t="shared" si="91"/>
        <v>#REF!</v>
      </c>
      <c r="J244" s="11" t="e">
        <f t="shared" si="91"/>
        <v>#REF!</v>
      </c>
      <c r="K244" s="11" t="e">
        <f t="shared" si="91"/>
        <v>#REF!</v>
      </c>
      <c r="L244" s="11">
        <f t="shared" si="91"/>
        <v>0</v>
      </c>
    </row>
    <row r="245" spans="1:12" ht="15.75" customHeight="1" hidden="1">
      <c r="A245" s="47" t="s">
        <v>180</v>
      </c>
      <c r="B245" s="6" t="s">
        <v>197</v>
      </c>
      <c r="C245" s="42" t="s">
        <v>159</v>
      </c>
      <c r="D245" s="6">
        <v>13</v>
      </c>
      <c r="E245" s="6"/>
      <c r="F245" s="6"/>
      <c r="G245" s="11" t="e">
        <f>G246</f>
        <v>#REF!</v>
      </c>
      <c r="H245" s="11" t="e">
        <f t="shared" si="91"/>
        <v>#REF!</v>
      </c>
      <c r="I245" s="11" t="e">
        <f t="shared" si="91"/>
        <v>#REF!</v>
      </c>
      <c r="J245" s="11" t="e">
        <f t="shared" si="91"/>
        <v>#REF!</v>
      </c>
      <c r="K245" s="11" t="e">
        <f t="shared" si="91"/>
        <v>#REF!</v>
      </c>
      <c r="L245" s="11">
        <f t="shared" si="91"/>
        <v>0</v>
      </c>
    </row>
    <row r="246" spans="1:12" ht="31.5" customHeight="1" hidden="1">
      <c r="A246" s="31" t="s">
        <v>198</v>
      </c>
      <c r="B246" s="6" t="s">
        <v>199</v>
      </c>
      <c r="C246" s="42" t="s">
        <v>159</v>
      </c>
      <c r="D246" s="42" t="s">
        <v>181</v>
      </c>
      <c r="E246" s="42"/>
      <c r="F246" s="42"/>
      <c r="G246" s="11" t="e">
        <f>G247</f>
        <v>#REF!</v>
      </c>
      <c r="H246" s="11" t="e">
        <f t="shared" si="91"/>
        <v>#REF!</v>
      </c>
      <c r="I246" s="11" t="e">
        <f t="shared" si="91"/>
        <v>#REF!</v>
      </c>
      <c r="J246" s="11" t="e">
        <f t="shared" si="91"/>
        <v>#REF!</v>
      </c>
      <c r="K246" s="11" t="e">
        <f t="shared" si="91"/>
        <v>#REF!</v>
      </c>
      <c r="L246" s="11">
        <f t="shared" si="91"/>
        <v>0</v>
      </c>
    </row>
    <row r="247" spans="1:12" ht="31.5" customHeight="1" hidden="1">
      <c r="A247" s="31" t="s">
        <v>172</v>
      </c>
      <c r="B247" s="6" t="s">
        <v>199</v>
      </c>
      <c r="C247" s="42" t="s">
        <v>159</v>
      </c>
      <c r="D247" s="42" t="s">
        <v>181</v>
      </c>
      <c r="E247" s="42" t="s">
        <v>186</v>
      </c>
      <c r="F247" s="42"/>
      <c r="G247" s="11" t="e">
        <f>G248</f>
        <v>#REF!</v>
      </c>
      <c r="H247" s="11" t="e">
        <f t="shared" si="91"/>
        <v>#REF!</v>
      </c>
      <c r="I247" s="11" t="e">
        <f t="shared" si="91"/>
        <v>#REF!</v>
      </c>
      <c r="J247" s="11" t="e">
        <f t="shared" si="91"/>
        <v>#REF!</v>
      </c>
      <c r="K247" s="11" t="e">
        <f t="shared" si="91"/>
        <v>#REF!</v>
      </c>
      <c r="L247" s="11">
        <f t="shared" si="91"/>
        <v>0</v>
      </c>
    </row>
    <row r="248" spans="1:12" ht="47.25" customHeight="1" hidden="1">
      <c r="A248" s="31" t="s">
        <v>225</v>
      </c>
      <c r="B248" s="6" t="s">
        <v>199</v>
      </c>
      <c r="C248" s="42" t="s">
        <v>159</v>
      </c>
      <c r="D248" s="42" t="s">
        <v>181</v>
      </c>
      <c r="E248" s="42" t="s">
        <v>201</v>
      </c>
      <c r="F248" s="42"/>
      <c r="G248" s="11" t="e">
        <f>#REF!</f>
        <v>#REF!</v>
      </c>
      <c r="H248" s="11" t="e">
        <f>#REF!</f>
        <v>#REF!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>
        <f>'Прил.№5 ведомств.'!G70</f>
        <v>0</v>
      </c>
    </row>
    <row r="249" spans="1:12" ht="15.75" customHeight="1" hidden="1">
      <c r="A249" s="31" t="s">
        <v>189</v>
      </c>
      <c r="B249" s="6" t="s">
        <v>197</v>
      </c>
      <c r="C249" s="42" t="s">
        <v>159</v>
      </c>
      <c r="D249" s="42" t="s">
        <v>181</v>
      </c>
      <c r="E249" s="42"/>
      <c r="F249" s="42" t="s">
        <v>701</v>
      </c>
      <c r="G249" s="11" t="e">
        <f>G243</f>
        <v>#REF!</v>
      </c>
      <c r="H249" s="11" t="e">
        <f>H243</f>
        <v>#REF!</v>
      </c>
      <c r="I249" s="11" t="e">
        <f>I243</f>
        <v>#REF!</v>
      </c>
      <c r="J249" s="11" t="e">
        <f>J243</f>
        <v>#REF!</v>
      </c>
      <c r="K249" s="11" t="e">
        <f>K243</f>
        <v>#REF!</v>
      </c>
      <c r="L249" s="11">
        <f>L244</f>
        <v>0</v>
      </c>
    </row>
    <row r="250" spans="1:12" ht="15.75">
      <c r="A250" s="47" t="s">
        <v>273</v>
      </c>
      <c r="B250" s="6" t="s">
        <v>197</v>
      </c>
      <c r="C250" s="42" t="s">
        <v>191</v>
      </c>
      <c r="D250" s="42"/>
      <c r="E250" s="42"/>
      <c r="F250" s="42"/>
      <c r="G250" s="11">
        <f>G251</f>
        <v>0</v>
      </c>
      <c r="H250" s="11">
        <f aca="true" t="shared" si="92" ref="H250:L253">H251</f>
        <v>0</v>
      </c>
      <c r="I250" s="11">
        <f t="shared" si="92"/>
        <v>540</v>
      </c>
      <c r="J250" s="11">
        <f t="shared" si="92"/>
        <v>540</v>
      </c>
      <c r="K250" s="11">
        <f t="shared" si="92"/>
        <v>540</v>
      </c>
      <c r="L250" s="11">
        <f t="shared" si="92"/>
        <v>100</v>
      </c>
    </row>
    <row r="251" spans="1:12" ht="15.75">
      <c r="A251" s="47" t="s">
        <v>909</v>
      </c>
      <c r="B251" s="6" t="s">
        <v>197</v>
      </c>
      <c r="C251" s="42" t="s">
        <v>191</v>
      </c>
      <c r="D251" s="42" t="s">
        <v>279</v>
      </c>
      <c r="E251" s="42"/>
      <c r="F251" s="42"/>
      <c r="G251" s="11">
        <f>G252</f>
        <v>0</v>
      </c>
      <c r="H251" s="11">
        <f t="shared" si="92"/>
        <v>0</v>
      </c>
      <c r="I251" s="11">
        <f t="shared" si="92"/>
        <v>540</v>
      </c>
      <c r="J251" s="11">
        <f t="shared" si="92"/>
        <v>540</v>
      </c>
      <c r="K251" s="11">
        <f t="shared" si="92"/>
        <v>540</v>
      </c>
      <c r="L251" s="11">
        <f t="shared" si="92"/>
        <v>100</v>
      </c>
    </row>
    <row r="252" spans="1:12" ht="31.5">
      <c r="A252" s="31" t="s">
        <v>198</v>
      </c>
      <c r="B252" s="6" t="s">
        <v>199</v>
      </c>
      <c r="C252" s="42" t="s">
        <v>191</v>
      </c>
      <c r="D252" s="42" t="s">
        <v>279</v>
      </c>
      <c r="E252" s="42"/>
      <c r="F252" s="42"/>
      <c r="G252" s="11">
        <f>G253</f>
        <v>0</v>
      </c>
      <c r="H252" s="11">
        <f t="shared" si="92"/>
        <v>0</v>
      </c>
      <c r="I252" s="11">
        <f t="shared" si="92"/>
        <v>540</v>
      </c>
      <c r="J252" s="11">
        <f t="shared" si="92"/>
        <v>540</v>
      </c>
      <c r="K252" s="11">
        <f t="shared" si="92"/>
        <v>540</v>
      </c>
      <c r="L252" s="11">
        <f t="shared" si="92"/>
        <v>100</v>
      </c>
    </row>
    <row r="253" spans="1:12" ht="31.5">
      <c r="A253" s="31" t="s">
        <v>172</v>
      </c>
      <c r="B253" s="6" t="s">
        <v>199</v>
      </c>
      <c r="C253" s="42" t="s">
        <v>191</v>
      </c>
      <c r="D253" s="42" t="s">
        <v>279</v>
      </c>
      <c r="E253" s="42" t="s">
        <v>173</v>
      </c>
      <c r="F253" s="42"/>
      <c r="G253" s="11">
        <f>G254</f>
        <v>0</v>
      </c>
      <c r="H253" s="11">
        <f t="shared" si="92"/>
        <v>0</v>
      </c>
      <c r="I253" s="11">
        <f t="shared" si="92"/>
        <v>540</v>
      </c>
      <c r="J253" s="11">
        <f t="shared" si="92"/>
        <v>540</v>
      </c>
      <c r="K253" s="11">
        <f t="shared" si="92"/>
        <v>540</v>
      </c>
      <c r="L253" s="11">
        <f t="shared" si="92"/>
        <v>100</v>
      </c>
    </row>
    <row r="254" spans="1:12" ht="47.25">
      <c r="A254" s="31" t="s">
        <v>225</v>
      </c>
      <c r="B254" s="6" t="s">
        <v>199</v>
      </c>
      <c r="C254" s="42" t="s">
        <v>191</v>
      </c>
      <c r="D254" s="42" t="s">
        <v>279</v>
      </c>
      <c r="E254" s="42" t="s">
        <v>175</v>
      </c>
      <c r="F254" s="42"/>
      <c r="G254" s="11">
        <v>0</v>
      </c>
      <c r="H254" s="11">
        <v>0</v>
      </c>
      <c r="I254" s="11">
        <v>540</v>
      </c>
      <c r="J254" s="11">
        <v>540</v>
      </c>
      <c r="K254" s="11">
        <v>540</v>
      </c>
      <c r="L254" s="11">
        <f>'Прил.№5 ведомств.'!G209</f>
        <v>100</v>
      </c>
    </row>
    <row r="255" spans="1:12" ht="15.75">
      <c r="A255" s="31" t="s">
        <v>189</v>
      </c>
      <c r="B255" s="6" t="s">
        <v>197</v>
      </c>
      <c r="C255" s="42"/>
      <c r="D255" s="42"/>
      <c r="E255" s="42"/>
      <c r="F255" s="42" t="s">
        <v>701</v>
      </c>
      <c r="G255" s="11">
        <f aca="true" t="shared" si="93" ref="G255:L255">G250</f>
        <v>0</v>
      </c>
      <c r="H255" s="11">
        <f t="shared" si="93"/>
        <v>0</v>
      </c>
      <c r="I255" s="11">
        <f t="shared" si="93"/>
        <v>540</v>
      </c>
      <c r="J255" s="11">
        <f t="shared" si="93"/>
        <v>540</v>
      </c>
      <c r="K255" s="11">
        <f t="shared" si="93"/>
        <v>540</v>
      </c>
      <c r="L255" s="11">
        <f t="shared" si="93"/>
        <v>100</v>
      </c>
    </row>
    <row r="256" spans="1:12" ht="45.75" customHeight="1">
      <c r="A256" s="43" t="s">
        <v>965</v>
      </c>
      <c r="B256" s="263" t="s">
        <v>203</v>
      </c>
      <c r="C256" s="8"/>
      <c r="D256" s="8"/>
      <c r="E256" s="8"/>
      <c r="F256" s="8"/>
      <c r="G256" s="66" t="e">
        <f>G257</f>
        <v>#REF!</v>
      </c>
      <c r="H256" s="66" t="e">
        <f aca="true" t="shared" si="94" ref="H256:L257">H257</f>
        <v>#REF!</v>
      </c>
      <c r="I256" s="66" t="e">
        <f t="shared" si="94"/>
        <v>#REF!</v>
      </c>
      <c r="J256" s="66" t="e">
        <f t="shared" si="94"/>
        <v>#REF!</v>
      </c>
      <c r="K256" s="66" t="e">
        <f t="shared" si="94"/>
        <v>#REF!</v>
      </c>
      <c r="L256" s="66">
        <f t="shared" si="94"/>
        <v>741</v>
      </c>
    </row>
    <row r="257" spans="1:12" ht="15.75">
      <c r="A257" s="47" t="s">
        <v>158</v>
      </c>
      <c r="B257" s="6" t="s">
        <v>203</v>
      </c>
      <c r="C257" s="42" t="s">
        <v>159</v>
      </c>
      <c r="D257" s="6"/>
      <c r="E257" s="6"/>
      <c r="F257" s="42"/>
      <c r="G257" s="11" t="e">
        <f>G258</f>
        <v>#REF!</v>
      </c>
      <c r="H257" s="11" t="e">
        <f t="shared" si="94"/>
        <v>#REF!</v>
      </c>
      <c r="I257" s="11" t="e">
        <f t="shared" si="94"/>
        <v>#REF!</v>
      </c>
      <c r="J257" s="11" t="e">
        <f t="shared" si="94"/>
        <v>#REF!</v>
      </c>
      <c r="K257" s="11" t="e">
        <f t="shared" si="94"/>
        <v>#REF!</v>
      </c>
      <c r="L257" s="11">
        <f t="shared" si="94"/>
        <v>741</v>
      </c>
    </row>
    <row r="258" spans="1:12" ht="15.75">
      <c r="A258" s="47" t="s">
        <v>180</v>
      </c>
      <c r="B258" s="6" t="s">
        <v>203</v>
      </c>
      <c r="C258" s="42" t="s">
        <v>159</v>
      </c>
      <c r="D258" s="6">
        <v>13</v>
      </c>
      <c r="E258" s="6"/>
      <c r="F258" s="42"/>
      <c r="G258" s="11" t="e">
        <f aca="true" t="shared" si="95" ref="G258:L258">G259+G262+G268+G271</f>
        <v>#REF!</v>
      </c>
      <c r="H258" s="11" t="e">
        <f t="shared" si="95"/>
        <v>#REF!</v>
      </c>
      <c r="I258" s="11" t="e">
        <f t="shared" si="95"/>
        <v>#REF!</v>
      </c>
      <c r="J258" s="11" t="e">
        <f t="shared" si="95"/>
        <v>#REF!</v>
      </c>
      <c r="K258" s="11" t="e">
        <f t="shared" si="95"/>
        <v>#REF!</v>
      </c>
      <c r="L258" s="11">
        <f t="shared" si="95"/>
        <v>741</v>
      </c>
    </row>
    <row r="259" spans="1:12" ht="31.5">
      <c r="A259" s="31" t="s">
        <v>204</v>
      </c>
      <c r="B259" s="42" t="s">
        <v>205</v>
      </c>
      <c r="C259" s="42" t="s">
        <v>159</v>
      </c>
      <c r="D259" s="42" t="s">
        <v>181</v>
      </c>
      <c r="E259" s="42"/>
      <c r="F259" s="42"/>
      <c r="G259" s="11" t="e">
        <f>G260</f>
        <v>#REF!</v>
      </c>
      <c r="H259" s="11" t="e">
        <f aca="true" t="shared" si="96" ref="H259:L260">H260</f>
        <v>#REF!</v>
      </c>
      <c r="I259" s="11" t="e">
        <f t="shared" si="96"/>
        <v>#REF!</v>
      </c>
      <c r="J259" s="11" t="e">
        <f t="shared" si="96"/>
        <v>#REF!</v>
      </c>
      <c r="K259" s="11" t="e">
        <f t="shared" si="96"/>
        <v>#REF!</v>
      </c>
      <c r="L259" s="11">
        <f t="shared" si="96"/>
        <v>491</v>
      </c>
    </row>
    <row r="260" spans="1:12" ht="31.5">
      <c r="A260" s="31" t="s">
        <v>172</v>
      </c>
      <c r="B260" s="42" t="s">
        <v>205</v>
      </c>
      <c r="C260" s="42" t="s">
        <v>159</v>
      </c>
      <c r="D260" s="42" t="s">
        <v>181</v>
      </c>
      <c r="E260" s="42" t="s">
        <v>173</v>
      </c>
      <c r="F260" s="42"/>
      <c r="G260" s="11" t="e">
        <f>G261</f>
        <v>#REF!</v>
      </c>
      <c r="H260" s="11" t="e">
        <f t="shared" si="96"/>
        <v>#REF!</v>
      </c>
      <c r="I260" s="11" t="e">
        <f t="shared" si="96"/>
        <v>#REF!</v>
      </c>
      <c r="J260" s="11" t="e">
        <f t="shared" si="96"/>
        <v>#REF!</v>
      </c>
      <c r="K260" s="11" t="e">
        <f t="shared" si="96"/>
        <v>#REF!</v>
      </c>
      <c r="L260" s="11">
        <f t="shared" si="96"/>
        <v>491</v>
      </c>
    </row>
    <row r="261" spans="1:12" ht="31.5">
      <c r="A261" s="31" t="s">
        <v>174</v>
      </c>
      <c r="B261" s="42" t="s">
        <v>205</v>
      </c>
      <c r="C261" s="42" t="s">
        <v>159</v>
      </c>
      <c r="D261" s="42" t="s">
        <v>181</v>
      </c>
      <c r="E261" s="42" t="s">
        <v>175</v>
      </c>
      <c r="F261" s="42"/>
      <c r="G261" s="11" t="e">
        <f>#REF!</f>
        <v>#REF!</v>
      </c>
      <c r="H261" s="11" t="e">
        <f>#REF!</f>
        <v>#REF!</v>
      </c>
      <c r="I261" s="11" t="e">
        <f>#REF!</f>
        <v>#REF!</v>
      </c>
      <c r="J261" s="11" t="e">
        <f>#REF!</f>
        <v>#REF!</v>
      </c>
      <c r="K261" s="11" t="e">
        <f>#REF!</f>
        <v>#REF!</v>
      </c>
      <c r="L261" s="11">
        <f>'Прил.№5 ведомств.'!G74</f>
        <v>491</v>
      </c>
    </row>
    <row r="262" spans="1:12" ht="47.25">
      <c r="A262" s="203" t="s">
        <v>206</v>
      </c>
      <c r="B262" s="42" t="s">
        <v>207</v>
      </c>
      <c r="C262" s="42" t="s">
        <v>159</v>
      </c>
      <c r="D262" s="42" t="s">
        <v>181</v>
      </c>
      <c r="E262" s="42"/>
      <c r="F262" s="42"/>
      <c r="G262" s="11" t="e">
        <f aca="true" t="shared" si="97" ref="G262:L262">G263+G265</f>
        <v>#REF!</v>
      </c>
      <c r="H262" s="11" t="e">
        <f t="shared" si="97"/>
        <v>#REF!</v>
      </c>
      <c r="I262" s="11" t="e">
        <f t="shared" si="97"/>
        <v>#REF!</v>
      </c>
      <c r="J262" s="11" t="e">
        <f t="shared" si="97"/>
        <v>#REF!</v>
      </c>
      <c r="K262" s="11" t="e">
        <f t="shared" si="97"/>
        <v>#REF!</v>
      </c>
      <c r="L262" s="11">
        <f t="shared" si="97"/>
        <v>249</v>
      </c>
    </row>
    <row r="263" spans="1:12" ht="78.75">
      <c r="A263" s="31" t="s">
        <v>168</v>
      </c>
      <c r="B263" s="42" t="s">
        <v>207</v>
      </c>
      <c r="C263" s="42" t="s">
        <v>159</v>
      </c>
      <c r="D263" s="42" t="s">
        <v>181</v>
      </c>
      <c r="E263" s="42" t="s">
        <v>169</v>
      </c>
      <c r="F263" s="42"/>
      <c r="G263" s="11" t="e">
        <f aca="true" t="shared" si="98" ref="G263:L263">G264</f>
        <v>#REF!</v>
      </c>
      <c r="H263" s="11" t="e">
        <f t="shared" si="98"/>
        <v>#REF!</v>
      </c>
      <c r="I263" s="11" t="e">
        <f t="shared" si="98"/>
        <v>#REF!</v>
      </c>
      <c r="J263" s="11" t="e">
        <f t="shared" si="98"/>
        <v>#REF!</v>
      </c>
      <c r="K263" s="11" t="e">
        <f t="shared" si="98"/>
        <v>#REF!</v>
      </c>
      <c r="L263" s="11">
        <f t="shared" si="98"/>
        <v>159.7</v>
      </c>
    </row>
    <row r="264" spans="1:12" ht="31.5">
      <c r="A264" s="31" t="s">
        <v>170</v>
      </c>
      <c r="B264" s="42" t="s">
        <v>207</v>
      </c>
      <c r="C264" s="42" t="s">
        <v>159</v>
      </c>
      <c r="D264" s="42" t="s">
        <v>181</v>
      </c>
      <c r="E264" s="42" t="s">
        <v>171</v>
      </c>
      <c r="F264" s="42"/>
      <c r="G264" s="11" t="e">
        <f>#REF!</f>
        <v>#REF!</v>
      </c>
      <c r="H264" s="11" t="e">
        <f>#REF!</f>
        <v>#REF!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>
        <f>'Прил.№5 ведомств.'!G77</f>
        <v>159.7</v>
      </c>
    </row>
    <row r="265" spans="1:12" ht="31.5">
      <c r="A265" s="31" t="s">
        <v>172</v>
      </c>
      <c r="B265" s="42" t="s">
        <v>207</v>
      </c>
      <c r="C265" s="42" t="s">
        <v>159</v>
      </c>
      <c r="D265" s="42" t="s">
        <v>181</v>
      </c>
      <c r="E265" s="42" t="s">
        <v>173</v>
      </c>
      <c r="F265" s="42"/>
      <c r="G265" s="11" t="e">
        <f aca="true" t="shared" si="99" ref="G265:L265">G266</f>
        <v>#REF!</v>
      </c>
      <c r="H265" s="11" t="e">
        <f t="shared" si="99"/>
        <v>#REF!</v>
      </c>
      <c r="I265" s="11" t="e">
        <f t="shared" si="99"/>
        <v>#REF!</v>
      </c>
      <c r="J265" s="11" t="e">
        <f t="shared" si="99"/>
        <v>#REF!</v>
      </c>
      <c r="K265" s="11" t="e">
        <f t="shared" si="99"/>
        <v>#REF!</v>
      </c>
      <c r="L265" s="11">
        <f t="shared" si="99"/>
        <v>89.30000000000001</v>
      </c>
    </row>
    <row r="266" spans="1:12" ht="31.5">
      <c r="A266" s="31" t="s">
        <v>174</v>
      </c>
      <c r="B266" s="42" t="s">
        <v>207</v>
      </c>
      <c r="C266" s="42" t="s">
        <v>159</v>
      </c>
      <c r="D266" s="42" t="s">
        <v>181</v>
      </c>
      <c r="E266" s="42" t="s">
        <v>175</v>
      </c>
      <c r="F266" s="42"/>
      <c r="G266" s="11" t="e">
        <f>#REF!</f>
        <v>#REF!</v>
      </c>
      <c r="H266" s="11" t="e">
        <f>#REF!</f>
        <v>#REF!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>
        <f>'Прил.№5 ведомств.'!G79</f>
        <v>89.30000000000001</v>
      </c>
    </row>
    <row r="267" spans="1:12" ht="15.75">
      <c r="A267" s="31" t="s">
        <v>189</v>
      </c>
      <c r="B267" s="42" t="s">
        <v>203</v>
      </c>
      <c r="C267" s="42"/>
      <c r="D267" s="42"/>
      <c r="E267" s="42"/>
      <c r="F267" s="42" t="s">
        <v>701</v>
      </c>
      <c r="G267" s="11"/>
      <c r="H267" s="11"/>
      <c r="I267" s="11"/>
      <c r="J267" s="11"/>
      <c r="K267" s="11"/>
      <c r="L267" s="11">
        <f>L259+L262</f>
        <v>740</v>
      </c>
    </row>
    <row r="268" spans="1:12" ht="47.25">
      <c r="A268" s="33" t="s">
        <v>760</v>
      </c>
      <c r="B268" s="42" t="s">
        <v>761</v>
      </c>
      <c r="C268" s="42" t="s">
        <v>159</v>
      </c>
      <c r="D268" s="42" t="s">
        <v>181</v>
      </c>
      <c r="E268" s="42"/>
      <c r="F268" s="42"/>
      <c r="G268" s="11" t="e">
        <f>G269</f>
        <v>#REF!</v>
      </c>
      <c r="H268" s="11" t="e">
        <f aca="true" t="shared" si="100" ref="H268:L269">H269</f>
        <v>#REF!</v>
      </c>
      <c r="I268" s="11" t="e">
        <f t="shared" si="100"/>
        <v>#REF!</v>
      </c>
      <c r="J268" s="11" t="e">
        <f t="shared" si="100"/>
        <v>#REF!</v>
      </c>
      <c r="K268" s="11" t="e">
        <f t="shared" si="100"/>
        <v>#REF!</v>
      </c>
      <c r="L268" s="11">
        <f t="shared" si="100"/>
        <v>0.5</v>
      </c>
    </row>
    <row r="269" spans="1:12" ht="31.5">
      <c r="A269" s="26" t="s">
        <v>172</v>
      </c>
      <c r="B269" s="42" t="s">
        <v>761</v>
      </c>
      <c r="C269" s="42" t="s">
        <v>159</v>
      </c>
      <c r="D269" s="42" t="s">
        <v>181</v>
      </c>
      <c r="E269" s="42" t="s">
        <v>173</v>
      </c>
      <c r="F269" s="42"/>
      <c r="G269" s="11" t="e">
        <f>G270</f>
        <v>#REF!</v>
      </c>
      <c r="H269" s="11" t="e">
        <f t="shared" si="100"/>
        <v>#REF!</v>
      </c>
      <c r="I269" s="11" t="e">
        <f t="shared" si="100"/>
        <v>#REF!</v>
      </c>
      <c r="J269" s="11" t="e">
        <f t="shared" si="100"/>
        <v>#REF!</v>
      </c>
      <c r="K269" s="11" t="e">
        <f t="shared" si="100"/>
        <v>#REF!</v>
      </c>
      <c r="L269" s="11">
        <f t="shared" si="100"/>
        <v>0.5</v>
      </c>
    </row>
    <row r="270" spans="1:12" ht="31.5">
      <c r="A270" s="26" t="s">
        <v>174</v>
      </c>
      <c r="B270" s="42" t="s">
        <v>761</v>
      </c>
      <c r="C270" s="42" t="s">
        <v>159</v>
      </c>
      <c r="D270" s="42" t="s">
        <v>181</v>
      </c>
      <c r="E270" s="42" t="s">
        <v>175</v>
      </c>
      <c r="F270" s="42"/>
      <c r="G270" s="11" t="e">
        <f>#REF!</f>
        <v>#REF!</v>
      </c>
      <c r="H270" s="11" t="e">
        <f>#REF!</f>
        <v>#REF!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>
        <f>'Прил.№5 ведомств.'!G1294</f>
        <v>0.5</v>
      </c>
    </row>
    <row r="271" spans="1:12" ht="47.25">
      <c r="A271" s="33" t="s">
        <v>232</v>
      </c>
      <c r="B271" s="42" t="s">
        <v>747</v>
      </c>
      <c r="C271" s="42" t="s">
        <v>159</v>
      </c>
      <c r="D271" s="42" t="s">
        <v>181</v>
      </c>
      <c r="E271" s="42"/>
      <c r="F271" s="42"/>
      <c r="G271" s="11" t="e">
        <f>G272</f>
        <v>#REF!</v>
      </c>
      <c r="H271" s="11" t="e">
        <f aca="true" t="shared" si="101" ref="H271:L272">H272</f>
        <v>#REF!</v>
      </c>
      <c r="I271" s="11" t="e">
        <f t="shared" si="101"/>
        <v>#REF!</v>
      </c>
      <c r="J271" s="11" t="e">
        <f t="shared" si="101"/>
        <v>#REF!</v>
      </c>
      <c r="K271" s="11" t="e">
        <f t="shared" si="101"/>
        <v>#REF!</v>
      </c>
      <c r="L271" s="11">
        <f t="shared" si="101"/>
        <v>0.5</v>
      </c>
    </row>
    <row r="272" spans="1:12" ht="31.5">
      <c r="A272" s="26" t="s">
        <v>172</v>
      </c>
      <c r="B272" s="42" t="s">
        <v>747</v>
      </c>
      <c r="C272" s="42" t="s">
        <v>159</v>
      </c>
      <c r="D272" s="42" t="s">
        <v>181</v>
      </c>
      <c r="E272" s="42" t="s">
        <v>173</v>
      </c>
      <c r="F272" s="42"/>
      <c r="G272" s="11" t="e">
        <f>G273</f>
        <v>#REF!</v>
      </c>
      <c r="H272" s="11" t="e">
        <f t="shared" si="101"/>
        <v>#REF!</v>
      </c>
      <c r="I272" s="11" t="e">
        <f t="shared" si="101"/>
        <v>#REF!</v>
      </c>
      <c r="J272" s="11" t="e">
        <f t="shared" si="101"/>
        <v>#REF!</v>
      </c>
      <c r="K272" s="11" t="e">
        <f t="shared" si="101"/>
        <v>#REF!</v>
      </c>
      <c r="L272" s="11">
        <f t="shared" si="101"/>
        <v>0.5</v>
      </c>
    </row>
    <row r="273" spans="1:12" ht="31.5">
      <c r="A273" s="26" t="s">
        <v>174</v>
      </c>
      <c r="B273" s="42" t="s">
        <v>747</v>
      </c>
      <c r="C273" s="42" t="s">
        <v>159</v>
      </c>
      <c r="D273" s="42" t="s">
        <v>181</v>
      </c>
      <c r="E273" s="42" t="s">
        <v>175</v>
      </c>
      <c r="F273" s="42"/>
      <c r="G273" s="11" t="e">
        <f>#REF!</f>
        <v>#REF!</v>
      </c>
      <c r="H273" s="11" t="e">
        <f>#REF!</f>
        <v>#REF!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>
        <f>'Прил.№5 ведомств.'!G82</f>
        <v>0.5</v>
      </c>
    </row>
    <row r="274" spans="1:12" ht="31.5">
      <c r="A274" s="31" t="s">
        <v>616</v>
      </c>
      <c r="B274" s="42" t="s">
        <v>203</v>
      </c>
      <c r="C274" s="42"/>
      <c r="D274" s="42"/>
      <c r="E274" s="42"/>
      <c r="F274" s="42" t="s">
        <v>948</v>
      </c>
      <c r="G274" s="11" t="e">
        <f>G256</f>
        <v>#REF!</v>
      </c>
      <c r="H274" s="11" t="e">
        <f>H256</f>
        <v>#REF!</v>
      </c>
      <c r="I274" s="11" t="e">
        <f>I256</f>
        <v>#REF!</v>
      </c>
      <c r="J274" s="11" t="e">
        <f>J256</f>
        <v>#REF!</v>
      </c>
      <c r="K274" s="11" t="e">
        <f>K256</f>
        <v>#REF!</v>
      </c>
      <c r="L274" s="11">
        <f>L268</f>
        <v>0.5</v>
      </c>
    </row>
    <row r="275" spans="1:12" ht="70.5" customHeight="1">
      <c r="A275" s="43" t="s">
        <v>294</v>
      </c>
      <c r="B275" s="263" t="s">
        <v>295</v>
      </c>
      <c r="C275" s="42"/>
      <c r="D275" s="42"/>
      <c r="E275" s="42"/>
      <c r="F275" s="42"/>
      <c r="G275" s="66" t="e">
        <f>G276</f>
        <v>#REF!</v>
      </c>
      <c r="H275" s="66" t="e">
        <f aca="true" t="shared" si="102" ref="H275:L279">H276</f>
        <v>#REF!</v>
      </c>
      <c r="I275" s="66" t="e">
        <f t="shared" si="102"/>
        <v>#REF!</v>
      </c>
      <c r="J275" s="66" t="e">
        <f t="shared" si="102"/>
        <v>#REF!</v>
      </c>
      <c r="K275" s="66" t="e">
        <f t="shared" si="102"/>
        <v>#REF!</v>
      </c>
      <c r="L275" s="66">
        <f t="shared" si="102"/>
        <v>10</v>
      </c>
    </row>
    <row r="276" spans="1:12" ht="15.75">
      <c r="A276" s="31" t="s">
        <v>284</v>
      </c>
      <c r="B276" s="6" t="s">
        <v>295</v>
      </c>
      <c r="C276" s="42" t="s">
        <v>285</v>
      </c>
      <c r="D276" s="42"/>
      <c r="E276" s="42"/>
      <c r="F276" s="42"/>
      <c r="G276" s="11" t="e">
        <f>G277</f>
        <v>#REF!</v>
      </c>
      <c r="H276" s="11" t="e">
        <f t="shared" si="102"/>
        <v>#REF!</v>
      </c>
      <c r="I276" s="11" t="e">
        <f t="shared" si="102"/>
        <v>#REF!</v>
      </c>
      <c r="J276" s="11" t="e">
        <f t="shared" si="102"/>
        <v>#REF!</v>
      </c>
      <c r="K276" s="11" t="e">
        <f t="shared" si="102"/>
        <v>#REF!</v>
      </c>
      <c r="L276" s="11">
        <f t="shared" si="102"/>
        <v>10</v>
      </c>
    </row>
    <row r="277" spans="1:12" ht="22.5" customHeight="1">
      <c r="A277" s="31" t="s">
        <v>293</v>
      </c>
      <c r="B277" s="6" t="s">
        <v>295</v>
      </c>
      <c r="C277" s="42" t="s">
        <v>285</v>
      </c>
      <c r="D277" s="42" t="s">
        <v>256</v>
      </c>
      <c r="E277" s="42"/>
      <c r="F277" s="42"/>
      <c r="G277" s="11" t="e">
        <f>G278</f>
        <v>#REF!</v>
      </c>
      <c r="H277" s="11" t="e">
        <f t="shared" si="102"/>
        <v>#REF!</v>
      </c>
      <c r="I277" s="11" t="e">
        <f t="shared" si="102"/>
        <v>#REF!</v>
      </c>
      <c r="J277" s="11" t="e">
        <f t="shared" si="102"/>
        <v>#REF!</v>
      </c>
      <c r="K277" s="11" t="e">
        <f t="shared" si="102"/>
        <v>#REF!</v>
      </c>
      <c r="L277" s="11">
        <f t="shared" si="102"/>
        <v>10</v>
      </c>
    </row>
    <row r="278" spans="1:12" ht="31.5">
      <c r="A278" s="31" t="s">
        <v>198</v>
      </c>
      <c r="B278" s="6" t="s">
        <v>296</v>
      </c>
      <c r="C278" s="42" t="s">
        <v>285</v>
      </c>
      <c r="D278" s="42" t="s">
        <v>256</v>
      </c>
      <c r="E278" s="42"/>
      <c r="F278" s="42"/>
      <c r="G278" s="11" t="e">
        <f>G279</f>
        <v>#REF!</v>
      </c>
      <c r="H278" s="11" t="e">
        <f t="shared" si="102"/>
        <v>#REF!</v>
      </c>
      <c r="I278" s="11" t="e">
        <f t="shared" si="102"/>
        <v>#REF!</v>
      </c>
      <c r="J278" s="11" t="e">
        <f t="shared" si="102"/>
        <v>#REF!</v>
      </c>
      <c r="K278" s="11" t="e">
        <f t="shared" si="102"/>
        <v>#REF!</v>
      </c>
      <c r="L278" s="11">
        <f t="shared" si="102"/>
        <v>10</v>
      </c>
    </row>
    <row r="279" spans="1:12" ht="21.75" customHeight="1">
      <c r="A279" s="31" t="s">
        <v>289</v>
      </c>
      <c r="B279" s="6" t="s">
        <v>296</v>
      </c>
      <c r="C279" s="42" t="s">
        <v>285</v>
      </c>
      <c r="D279" s="42" t="s">
        <v>256</v>
      </c>
      <c r="E279" s="42" t="s">
        <v>290</v>
      </c>
      <c r="F279" s="42"/>
      <c r="G279" s="11" t="e">
        <f>G280</f>
        <v>#REF!</v>
      </c>
      <c r="H279" s="11" t="e">
        <f t="shared" si="102"/>
        <v>#REF!</v>
      </c>
      <c r="I279" s="11" t="e">
        <f t="shared" si="102"/>
        <v>#REF!</v>
      </c>
      <c r="J279" s="11" t="e">
        <f t="shared" si="102"/>
        <v>#REF!</v>
      </c>
      <c r="K279" s="11" t="e">
        <f t="shared" si="102"/>
        <v>#REF!</v>
      </c>
      <c r="L279" s="11">
        <f t="shared" si="102"/>
        <v>10</v>
      </c>
    </row>
    <row r="280" spans="1:12" ht="43.5" customHeight="1">
      <c r="A280" s="31" t="s">
        <v>291</v>
      </c>
      <c r="B280" s="6" t="s">
        <v>296</v>
      </c>
      <c r="C280" s="42" t="s">
        <v>285</v>
      </c>
      <c r="D280" s="42" t="s">
        <v>256</v>
      </c>
      <c r="E280" s="42" t="s">
        <v>292</v>
      </c>
      <c r="F280" s="42"/>
      <c r="G280" s="11" t="e">
        <f>#REF!</f>
        <v>#REF!</v>
      </c>
      <c r="H280" s="11" t="e">
        <f>#REF!</f>
        <v>#REF!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>
        <f>'Прил.№5 ведомств.'!G231</f>
        <v>10</v>
      </c>
    </row>
    <row r="281" spans="1:12" ht="15.75">
      <c r="A281" s="47" t="s">
        <v>189</v>
      </c>
      <c r="B281" s="6" t="s">
        <v>295</v>
      </c>
      <c r="C281" s="42"/>
      <c r="D281" s="42"/>
      <c r="E281" s="42"/>
      <c r="F281" s="42" t="s">
        <v>701</v>
      </c>
      <c r="G281" s="11" t="e">
        <f aca="true" t="shared" si="103" ref="G281:L281">G275</f>
        <v>#REF!</v>
      </c>
      <c r="H281" s="11" t="e">
        <f t="shared" si="103"/>
        <v>#REF!</v>
      </c>
      <c r="I281" s="11" t="e">
        <f t="shared" si="103"/>
        <v>#REF!</v>
      </c>
      <c r="J281" s="11" t="e">
        <f t="shared" si="103"/>
        <v>#REF!</v>
      </c>
      <c r="K281" s="11" t="e">
        <f t="shared" si="103"/>
        <v>#REF!</v>
      </c>
      <c r="L281" s="11">
        <f t="shared" si="103"/>
        <v>10</v>
      </c>
    </row>
    <row r="282" spans="1:12" ht="57.75" customHeight="1">
      <c r="A282" s="43" t="s">
        <v>523</v>
      </c>
      <c r="B282" s="3" t="s">
        <v>524</v>
      </c>
      <c r="C282" s="78"/>
      <c r="D282" s="78"/>
      <c r="E282" s="78"/>
      <c r="F282" s="78"/>
      <c r="G282" s="4" t="e">
        <f aca="true" t="shared" si="104" ref="G282:L282">G284+G311+G345</f>
        <v>#REF!</v>
      </c>
      <c r="H282" s="4" t="e">
        <f t="shared" si="104"/>
        <v>#REF!</v>
      </c>
      <c r="I282" s="4" t="e">
        <f t="shared" si="104"/>
        <v>#REF!</v>
      </c>
      <c r="J282" s="4" t="e">
        <f t="shared" si="104"/>
        <v>#REF!</v>
      </c>
      <c r="K282" s="4" t="e">
        <f t="shared" si="104"/>
        <v>#REF!</v>
      </c>
      <c r="L282" s="4">
        <f t="shared" si="104"/>
        <v>48209.49999999999</v>
      </c>
    </row>
    <row r="283" spans="1:12" ht="63" customHeight="1" hidden="1">
      <c r="A283" s="43" t="s">
        <v>702</v>
      </c>
      <c r="B283" s="3" t="s">
        <v>526</v>
      </c>
      <c r="C283" s="79"/>
      <c r="D283" s="79"/>
      <c r="E283" s="79"/>
      <c r="F283" s="79"/>
      <c r="G283" s="66" t="e">
        <f>G284</f>
        <v>#REF!</v>
      </c>
      <c r="H283" s="66" t="e">
        <f aca="true" t="shared" si="105" ref="H283:L284">H284</f>
        <v>#REF!</v>
      </c>
      <c r="I283" s="66" t="e">
        <f t="shared" si="105"/>
        <v>#REF!</v>
      </c>
      <c r="J283" s="66" t="e">
        <f t="shared" si="105"/>
        <v>#REF!</v>
      </c>
      <c r="K283" s="66" t="e">
        <f t="shared" si="105"/>
        <v>#REF!</v>
      </c>
      <c r="L283" s="66">
        <f t="shared" si="105"/>
        <v>0</v>
      </c>
    </row>
    <row r="284" spans="1:12" ht="15.75" customHeight="1" hidden="1">
      <c r="A284" s="31" t="s">
        <v>304</v>
      </c>
      <c r="B284" s="42" t="s">
        <v>526</v>
      </c>
      <c r="C284" s="42" t="s">
        <v>305</v>
      </c>
      <c r="D284" s="78"/>
      <c r="E284" s="78"/>
      <c r="F284" s="78"/>
      <c r="G284" s="11" t="e">
        <f>G285</f>
        <v>#REF!</v>
      </c>
      <c r="H284" s="11" t="e">
        <f t="shared" si="105"/>
        <v>#REF!</v>
      </c>
      <c r="I284" s="11" t="e">
        <f t="shared" si="105"/>
        <v>#REF!</v>
      </c>
      <c r="J284" s="11" t="e">
        <f t="shared" si="105"/>
        <v>#REF!</v>
      </c>
      <c r="K284" s="11" t="e">
        <f t="shared" si="105"/>
        <v>#REF!</v>
      </c>
      <c r="L284" s="11">
        <f t="shared" si="105"/>
        <v>0</v>
      </c>
    </row>
    <row r="285" spans="1:12" ht="15.75" customHeight="1" hidden="1">
      <c r="A285" s="31" t="s">
        <v>306</v>
      </c>
      <c r="B285" s="42" t="s">
        <v>526</v>
      </c>
      <c r="C285" s="42" t="s">
        <v>305</v>
      </c>
      <c r="D285" s="42" t="s">
        <v>256</v>
      </c>
      <c r="E285" s="78"/>
      <c r="F285" s="78"/>
      <c r="G285" s="11" t="e">
        <f aca="true" t="shared" si="106" ref="G285:L285">G286+G301+G304+G307</f>
        <v>#REF!</v>
      </c>
      <c r="H285" s="11" t="e">
        <f t="shared" si="106"/>
        <v>#REF!</v>
      </c>
      <c r="I285" s="11" t="e">
        <f t="shared" si="106"/>
        <v>#REF!</v>
      </c>
      <c r="J285" s="11" t="e">
        <f t="shared" si="106"/>
        <v>#REF!</v>
      </c>
      <c r="K285" s="11" t="e">
        <f t="shared" si="106"/>
        <v>#REF!</v>
      </c>
      <c r="L285" s="11">
        <f t="shared" si="106"/>
        <v>0</v>
      </c>
    </row>
    <row r="286" spans="1:12" ht="47.25" customHeight="1" hidden="1">
      <c r="A286" s="31" t="s">
        <v>311</v>
      </c>
      <c r="B286" s="42" t="s">
        <v>527</v>
      </c>
      <c r="C286" s="42" t="s">
        <v>305</v>
      </c>
      <c r="D286" s="42" t="s">
        <v>256</v>
      </c>
      <c r="E286" s="78"/>
      <c r="F286" s="78"/>
      <c r="G286" s="11" t="e">
        <f>G287</f>
        <v>#REF!</v>
      </c>
      <c r="H286" s="11" t="e">
        <f aca="true" t="shared" si="107" ref="H286:L287">H287</f>
        <v>#REF!</v>
      </c>
      <c r="I286" s="11" t="e">
        <f t="shared" si="107"/>
        <v>#REF!</v>
      </c>
      <c r="J286" s="11" t="e">
        <f t="shared" si="107"/>
        <v>#REF!</v>
      </c>
      <c r="K286" s="11" t="e">
        <f t="shared" si="107"/>
        <v>#REF!</v>
      </c>
      <c r="L286" s="11">
        <f t="shared" si="107"/>
        <v>0</v>
      </c>
    </row>
    <row r="287" spans="1:12" ht="31.5" customHeight="1" hidden="1">
      <c r="A287" s="31" t="s">
        <v>313</v>
      </c>
      <c r="B287" s="42" t="s">
        <v>527</v>
      </c>
      <c r="C287" s="42" t="s">
        <v>305</v>
      </c>
      <c r="D287" s="42" t="s">
        <v>256</v>
      </c>
      <c r="E287" s="42" t="s">
        <v>314</v>
      </c>
      <c r="F287" s="78"/>
      <c r="G287" s="11" t="e">
        <f>G288</f>
        <v>#REF!</v>
      </c>
      <c r="H287" s="11" t="e">
        <f t="shared" si="107"/>
        <v>#REF!</v>
      </c>
      <c r="I287" s="11" t="e">
        <f t="shared" si="107"/>
        <v>#REF!</v>
      </c>
      <c r="J287" s="11" t="e">
        <f t="shared" si="107"/>
        <v>#REF!</v>
      </c>
      <c r="K287" s="11" t="e">
        <f t="shared" si="107"/>
        <v>#REF!</v>
      </c>
      <c r="L287" s="11">
        <f t="shared" si="107"/>
        <v>0</v>
      </c>
    </row>
    <row r="288" spans="1:12" ht="15.75" customHeight="1" hidden="1">
      <c r="A288" s="31" t="s">
        <v>315</v>
      </c>
      <c r="B288" s="42" t="s">
        <v>527</v>
      </c>
      <c r="C288" s="42" t="s">
        <v>305</v>
      </c>
      <c r="D288" s="42" t="s">
        <v>256</v>
      </c>
      <c r="E288" s="42" t="s">
        <v>316</v>
      </c>
      <c r="F288" s="78"/>
      <c r="G288" s="11" t="e">
        <f>#REF!</f>
        <v>#REF!</v>
      </c>
      <c r="H288" s="11" t="e">
        <f>#REF!</f>
        <v>#REF!</v>
      </c>
      <c r="I288" s="11" t="e">
        <f>#REF!</f>
        <v>#REF!</v>
      </c>
      <c r="J288" s="11" t="e">
        <f>#REF!</f>
        <v>#REF!</v>
      </c>
      <c r="K288" s="11" t="e">
        <f>#REF!</f>
        <v>#REF!</v>
      </c>
      <c r="L288" s="11">
        <f>'Прил.№5 ведомств.'!G913</f>
        <v>0</v>
      </c>
    </row>
    <row r="289" spans="1:12" ht="78.75" customHeight="1" hidden="1">
      <c r="A289" s="31" t="s">
        <v>646</v>
      </c>
      <c r="B289" s="42" t="s">
        <v>703</v>
      </c>
      <c r="C289" s="42" t="s">
        <v>305</v>
      </c>
      <c r="D289" s="42" t="s">
        <v>256</v>
      </c>
      <c r="E289" s="42"/>
      <c r="F289" s="78"/>
      <c r="G289" s="11">
        <f>G290</f>
        <v>0</v>
      </c>
      <c r="H289" s="11">
        <f aca="true" t="shared" si="108" ref="H289:L291">H290</f>
        <v>0</v>
      </c>
      <c r="I289" s="11">
        <f t="shared" si="108"/>
        <v>0</v>
      </c>
      <c r="J289" s="11">
        <f t="shared" si="108"/>
        <v>0</v>
      </c>
      <c r="K289" s="11">
        <f t="shared" si="108"/>
        <v>0</v>
      </c>
      <c r="L289" s="11">
        <f t="shared" si="108"/>
        <v>0</v>
      </c>
    </row>
    <row r="290" spans="1:12" ht="31.5" customHeight="1" hidden="1">
      <c r="A290" s="31" t="s">
        <v>313</v>
      </c>
      <c r="B290" s="42" t="s">
        <v>703</v>
      </c>
      <c r="C290" s="42" t="s">
        <v>305</v>
      </c>
      <c r="D290" s="42" t="s">
        <v>256</v>
      </c>
      <c r="E290" s="42" t="s">
        <v>314</v>
      </c>
      <c r="F290" s="78"/>
      <c r="G290" s="11">
        <f>G291</f>
        <v>0</v>
      </c>
      <c r="H290" s="11">
        <f t="shared" si="108"/>
        <v>0</v>
      </c>
      <c r="I290" s="11">
        <f t="shared" si="108"/>
        <v>0</v>
      </c>
      <c r="J290" s="11">
        <f t="shared" si="108"/>
        <v>0</v>
      </c>
      <c r="K290" s="11">
        <f t="shared" si="108"/>
        <v>0</v>
      </c>
      <c r="L290" s="11">
        <f t="shared" si="108"/>
        <v>0</v>
      </c>
    </row>
    <row r="291" spans="1:12" ht="15.75" customHeight="1" hidden="1">
      <c r="A291" s="31" t="s">
        <v>315</v>
      </c>
      <c r="B291" s="42" t="s">
        <v>703</v>
      </c>
      <c r="C291" s="42" t="s">
        <v>305</v>
      </c>
      <c r="D291" s="42" t="s">
        <v>256</v>
      </c>
      <c r="E291" s="42" t="s">
        <v>316</v>
      </c>
      <c r="F291" s="78"/>
      <c r="G291" s="11">
        <f>G292</f>
        <v>0</v>
      </c>
      <c r="H291" s="11">
        <f t="shared" si="108"/>
        <v>0</v>
      </c>
      <c r="I291" s="11">
        <f t="shared" si="108"/>
        <v>0</v>
      </c>
      <c r="J291" s="11">
        <f t="shared" si="108"/>
        <v>0</v>
      </c>
      <c r="K291" s="11">
        <f t="shared" si="108"/>
        <v>0</v>
      </c>
      <c r="L291" s="11">
        <f t="shared" si="108"/>
        <v>0</v>
      </c>
    </row>
    <row r="292" spans="1:12" ht="31.5" customHeight="1" hidden="1">
      <c r="A292" s="47" t="s">
        <v>522</v>
      </c>
      <c r="B292" s="42" t="s">
        <v>703</v>
      </c>
      <c r="C292" s="42" t="s">
        <v>305</v>
      </c>
      <c r="D292" s="42" t="s">
        <v>256</v>
      </c>
      <c r="E292" s="42"/>
      <c r="F292" s="2">
        <v>907</v>
      </c>
      <c r="G292" s="11">
        <f aca="true" t="shared" si="109" ref="G292:L292">1500-1500</f>
        <v>0</v>
      </c>
      <c r="H292" s="11">
        <f t="shared" si="109"/>
        <v>0</v>
      </c>
      <c r="I292" s="11">
        <f t="shared" si="109"/>
        <v>0</v>
      </c>
      <c r="J292" s="11">
        <f t="shared" si="109"/>
        <v>0</v>
      </c>
      <c r="K292" s="11">
        <f t="shared" si="109"/>
        <v>0</v>
      </c>
      <c r="L292" s="11">
        <f t="shared" si="109"/>
        <v>0</v>
      </c>
    </row>
    <row r="293" spans="1:12" ht="31.5" customHeight="1" hidden="1">
      <c r="A293" s="31" t="s">
        <v>319</v>
      </c>
      <c r="B293" s="42" t="s">
        <v>704</v>
      </c>
      <c r="C293" s="42" t="s">
        <v>305</v>
      </c>
      <c r="D293" s="42" t="s">
        <v>256</v>
      </c>
      <c r="E293" s="42"/>
      <c r="F293" s="78"/>
      <c r="G293" s="11">
        <f>G294</f>
        <v>0</v>
      </c>
      <c r="H293" s="11">
        <f aca="true" t="shared" si="110" ref="H293:L294">H294</f>
        <v>0</v>
      </c>
      <c r="I293" s="11">
        <f t="shared" si="110"/>
        <v>0</v>
      </c>
      <c r="J293" s="11">
        <f t="shared" si="110"/>
        <v>0</v>
      </c>
      <c r="K293" s="11">
        <f t="shared" si="110"/>
        <v>0</v>
      </c>
      <c r="L293" s="11">
        <f t="shared" si="110"/>
        <v>0</v>
      </c>
    </row>
    <row r="294" spans="1:12" ht="31.5" customHeight="1" hidden="1">
      <c r="A294" s="31" t="s">
        <v>313</v>
      </c>
      <c r="B294" s="42" t="s">
        <v>704</v>
      </c>
      <c r="C294" s="42" t="s">
        <v>305</v>
      </c>
      <c r="D294" s="42" t="s">
        <v>256</v>
      </c>
      <c r="E294" s="42" t="s">
        <v>314</v>
      </c>
      <c r="F294" s="78"/>
      <c r="G294" s="11">
        <f>G295</f>
        <v>0</v>
      </c>
      <c r="H294" s="11">
        <f t="shared" si="110"/>
        <v>0</v>
      </c>
      <c r="I294" s="11">
        <f t="shared" si="110"/>
        <v>0</v>
      </c>
      <c r="J294" s="11">
        <f t="shared" si="110"/>
        <v>0</v>
      </c>
      <c r="K294" s="11">
        <f t="shared" si="110"/>
        <v>0</v>
      </c>
      <c r="L294" s="11">
        <f t="shared" si="110"/>
        <v>0</v>
      </c>
    </row>
    <row r="295" spans="1:12" ht="15.75" customHeight="1" hidden="1">
      <c r="A295" s="31" t="s">
        <v>315</v>
      </c>
      <c r="B295" s="42" t="s">
        <v>704</v>
      </c>
      <c r="C295" s="42" t="s">
        <v>305</v>
      </c>
      <c r="D295" s="42" t="s">
        <v>256</v>
      </c>
      <c r="E295" s="42" t="s">
        <v>316</v>
      </c>
      <c r="F295" s="78"/>
      <c r="G295" s="11"/>
      <c r="H295" s="11"/>
      <c r="I295" s="11"/>
      <c r="J295" s="11"/>
      <c r="K295" s="11"/>
      <c r="L295" s="11"/>
    </row>
    <row r="296" spans="1:12" ht="31.5" customHeight="1" hidden="1">
      <c r="A296" s="47" t="s">
        <v>522</v>
      </c>
      <c r="B296" s="42" t="s">
        <v>704</v>
      </c>
      <c r="C296" s="42" t="s">
        <v>305</v>
      </c>
      <c r="D296" s="42" t="s">
        <v>256</v>
      </c>
      <c r="E296" s="42"/>
      <c r="F296" s="2">
        <v>907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</row>
    <row r="297" spans="1:12" ht="31.5" customHeight="1" hidden="1">
      <c r="A297" s="31" t="s">
        <v>321</v>
      </c>
      <c r="B297" s="42" t="s">
        <v>705</v>
      </c>
      <c r="C297" s="42" t="s">
        <v>305</v>
      </c>
      <c r="D297" s="42" t="s">
        <v>256</v>
      </c>
      <c r="E297" s="42"/>
      <c r="F297" s="78"/>
      <c r="G297" s="11">
        <f>G298</f>
        <v>0</v>
      </c>
      <c r="H297" s="11">
        <f aca="true" t="shared" si="111" ref="H297:L298">H298</f>
        <v>0</v>
      </c>
      <c r="I297" s="11">
        <f t="shared" si="111"/>
        <v>0</v>
      </c>
      <c r="J297" s="11">
        <f t="shared" si="111"/>
        <v>0</v>
      </c>
      <c r="K297" s="11">
        <f t="shared" si="111"/>
        <v>0</v>
      </c>
      <c r="L297" s="11">
        <f t="shared" si="111"/>
        <v>0</v>
      </c>
    </row>
    <row r="298" spans="1:12" ht="31.5" customHeight="1" hidden="1">
      <c r="A298" s="31" t="s">
        <v>313</v>
      </c>
      <c r="B298" s="42" t="s">
        <v>705</v>
      </c>
      <c r="C298" s="42" t="s">
        <v>305</v>
      </c>
      <c r="D298" s="42" t="s">
        <v>256</v>
      </c>
      <c r="E298" s="42" t="s">
        <v>314</v>
      </c>
      <c r="F298" s="78"/>
      <c r="G298" s="11">
        <f>G299</f>
        <v>0</v>
      </c>
      <c r="H298" s="11">
        <f t="shared" si="111"/>
        <v>0</v>
      </c>
      <c r="I298" s="11">
        <f t="shared" si="111"/>
        <v>0</v>
      </c>
      <c r="J298" s="11">
        <f t="shared" si="111"/>
        <v>0</v>
      </c>
      <c r="K298" s="11">
        <f t="shared" si="111"/>
        <v>0</v>
      </c>
      <c r="L298" s="11">
        <f t="shared" si="111"/>
        <v>0</v>
      </c>
    </row>
    <row r="299" spans="1:12" ht="15.75" customHeight="1" hidden="1">
      <c r="A299" s="31" t="s">
        <v>315</v>
      </c>
      <c r="B299" s="42" t="s">
        <v>705</v>
      </c>
      <c r="C299" s="42" t="s">
        <v>305</v>
      </c>
      <c r="D299" s="42" t="s">
        <v>256</v>
      </c>
      <c r="E299" s="42" t="s">
        <v>316</v>
      </c>
      <c r="F299" s="78"/>
      <c r="G299" s="11"/>
      <c r="H299" s="11"/>
      <c r="I299" s="11"/>
      <c r="J299" s="11"/>
      <c r="K299" s="11"/>
      <c r="L299" s="11"/>
    </row>
    <row r="300" spans="1:12" ht="31.5" customHeight="1" hidden="1">
      <c r="A300" s="47" t="s">
        <v>522</v>
      </c>
      <c r="B300" s="42" t="s">
        <v>705</v>
      </c>
      <c r="C300" s="42" t="s">
        <v>305</v>
      </c>
      <c r="D300" s="42" t="s">
        <v>256</v>
      </c>
      <c r="E300" s="42"/>
      <c r="F300" s="2">
        <v>907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</row>
    <row r="301" spans="1:12" ht="31.5" customHeight="1" hidden="1">
      <c r="A301" s="31" t="s">
        <v>323</v>
      </c>
      <c r="B301" s="42" t="s">
        <v>530</v>
      </c>
      <c r="C301" s="42" t="s">
        <v>305</v>
      </c>
      <c r="D301" s="42" t="s">
        <v>256</v>
      </c>
      <c r="E301" s="42"/>
      <c r="F301" s="78"/>
      <c r="G301" s="11" t="e">
        <f>G302</f>
        <v>#REF!</v>
      </c>
      <c r="H301" s="11" t="e">
        <f aca="true" t="shared" si="112" ref="H301:L302">H302</f>
        <v>#REF!</v>
      </c>
      <c r="I301" s="11" t="e">
        <f t="shared" si="112"/>
        <v>#REF!</v>
      </c>
      <c r="J301" s="11" t="e">
        <f t="shared" si="112"/>
        <v>#REF!</v>
      </c>
      <c r="K301" s="11" t="e">
        <f t="shared" si="112"/>
        <v>#REF!</v>
      </c>
      <c r="L301" s="11">
        <f t="shared" si="112"/>
        <v>0</v>
      </c>
    </row>
    <row r="302" spans="1:12" ht="31.5" customHeight="1" hidden="1">
      <c r="A302" s="31" t="s">
        <v>313</v>
      </c>
      <c r="B302" s="42" t="s">
        <v>530</v>
      </c>
      <c r="C302" s="42" t="s">
        <v>305</v>
      </c>
      <c r="D302" s="42" t="s">
        <v>256</v>
      </c>
      <c r="E302" s="42" t="s">
        <v>314</v>
      </c>
      <c r="F302" s="78"/>
      <c r="G302" s="11" t="e">
        <f>G303</f>
        <v>#REF!</v>
      </c>
      <c r="H302" s="11" t="e">
        <f t="shared" si="112"/>
        <v>#REF!</v>
      </c>
      <c r="I302" s="11" t="e">
        <f t="shared" si="112"/>
        <v>#REF!</v>
      </c>
      <c r="J302" s="11" t="e">
        <f t="shared" si="112"/>
        <v>#REF!</v>
      </c>
      <c r="K302" s="11" t="e">
        <f t="shared" si="112"/>
        <v>#REF!</v>
      </c>
      <c r="L302" s="11">
        <f t="shared" si="112"/>
        <v>0</v>
      </c>
    </row>
    <row r="303" spans="1:12" ht="15.75" customHeight="1" hidden="1">
      <c r="A303" s="31" t="s">
        <v>315</v>
      </c>
      <c r="B303" s="42" t="s">
        <v>530</v>
      </c>
      <c r="C303" s="42" t="s">
        <v>305</v>
      </c>
      <c r="D303" s="42" t="s">
        <v>256</v>
      </c>
      <c r="E303" s="42" t="s">
        <v>316</v>
      </c>
      <c r="F303" s="78"/>
      <c r="G303" s="11" t="e">
        <f>#REF!</f>
        <v>#REF!</v>
      </c>
      <c r="H303" s="11" t="e">
        <f>#REF!</f>
        <v>#REF!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>
        <f>'Прил.№5 ведомств.'!G922</f>
        <v>0</v>
      </c>
    </row>
    <row r="304" spans="1:12" ht="31.5" customHeight="1" hidden="1">
      <c r="A304" s="26" t="s">
        <v>325</v>
      </c>
      <c r="B304" s="21" t="s">
        <v>531</v>
      </c>
      <c r="C304" s="42" t="s">
        <v>305</v>
      </c>
      <c r="D304" s="42" t="s">
        <v>256</v>
      </c>
      <c r="E304" s="42"/>
      <c r="F304" s="78"/>
      <c r="G304" s="11" t="e">
        <f>G305</f>
        <v>#REF!</v>
      </c>
      <c r="H304" s="11" t="e">
        <f aca="true" t="shared" si="113" ref="H304:L305">H305</f>
        <v>#REF!</v>
      </c>
      <c r="I304" s="11" t="e">
        <f t="shared" si="113"/>
        <v>#REF!</v>
      </c>
      <c r="J304" s="11" t="e">
        <f t="shared" si="113"/>
        <v>#REF!</v>
      </c>
      <c r="K304" s="11" t="e">
        <f t="shared" si="113"/>
        <v>#REF!</v>
      </c>
      <c r="L304" s="11">
        <f t="shared" si="113"/>
        <v>0</v>
      </c>
    </row>
    <row r="305" spans="1:12" ht="31.5" customHeight="1" hidden="1">
      <c r="A305" s="26" t="s">
        <v>313</v>
      </c>
      <c r="B305" s="21" t="s">
        <v>531</v>
      </c>
      <c r="C305" s="42" t="s">
        <v>305</v>
      </c>
      <c r="D305" s="42" t="s">
        <v>256</v>
      </c>
      <c r="E305" s="42" t="s">
        <v>314</v>
      </c>
      <c r="F305" s="78"/>
      <c r="G305" s="11" t="e">
        <f>G306</f>
        <v>#REF!</v>
      </c>
      <c r="H305" s="11" t="e">
        <f t="shared" si="113"/>
        <v>#REF!</v>
      </c>
      <c r="I305" s="11" t="e">
        <f t="shared" si="113"/>
        <v>#REF!</v>
      </c>
      <c r="J305" s="11" t="e">
        <f t="shared" si="113"/>
        <v>#REF!</v>
      </c>
      <c r="K305" s="11" t="e">
        <f t="shared" si="113"/>
        <v>#REF!</v>
      </c>
      <c r="L305" s="11">
        <f t="shared" si="113"/>
        <v>0</v>
      </c>
    </row>
    <row r="306" spans="1:12" ht="15.75" customHeight="1" hidden="1">
      <c r="A306" s="26" t="s">
        <v>315</v>
      </c>
      <c r="B306" s="21" t="s">
        <v>531</v>
      </c>
      <c r="C306" s="42" t="s">
        <v>305</v>
      </c>
      <c r="D306" s="42" t="s">
        <v>256</v>
      </c>
      <c r="E306" s="42" t="s">
        <v>316</v>
      </c>
      <c r="F306" s="78"/>
      <c r="G306" s="11" t="e">
        <f>#REF!</f>
        <v>#REF!</v>
      </c>
      <c r="H306" s="11" t="e">
        <f>#REF!</f>
        <v>#REF!</v>
      </c>
      <c r="I306" s="11" t="e">
        <f>#REF!</f>
        <v>#REF!</v>
      </c>
      <c r="J306" s="11" t="e">
        <f>#REF!</f>
        <v>#REF!</v>
      </c>
      <c r="K306" s="11" t="e">
        <f>#REF!</f>
        <v>#REF!</v>
      </c>
      <c r="L306" s="11">
        <f>'Прил.№5 ведомств.'!G925</f>
        <v>0</v>
      </c>
    </row>
    <row r="307" spans="1:12" ht="31.5" customHeight="1" hidden="1">
      <c r="A307" s="47" t="s">
        <v>842</v>
      </c>
      <c r="B307" s="21" t="s">
        <v>849</v>
      </c>
      <c r="C307" s="42" t="s">
        <v>305</v>
      </c>
      <c r="D307" s="42" t="s">
        <v>256</v>
      </c>
      <c r="E307" s="42"/>
      <c r="F307" s="78"/>
      <c r="G307" s="11" t="e">
        <f>G308</f>
        <v>#REF!</v>
      </c>
      <c r="H307" s="11" t="e">
        <f aca="true" t="shared" si="114" ref="H307:L308">H308</f>
        <v>#REF!</v>
      </c>
      <c r="I307" s="11" t="e">
        <f t="shared" si="114"/>
        <v>#REF!</v>
      </c>
      <c r="J307" s="11" t="e">
        <f t="shared" si="114"/>
        <v>#REF!</v>
      </c>
      <c r="K307" s="11" t="e">
        <f t="shared" si="114"/>
        <v>#REF!</v>
      </c>
      <c r="L307" s="11">
        <f t="shared" si="114"/>
        <v>0</v>
      </c>
    </row>
    <row r="308" spans="1:12" ht="31.5" customHeight="1" hidden="1">
      <c r="A308" s="33" t="s">
        <v>313</v>
      </c>
      <c r="B308" s="21" t="s">
        <v>849</v>
      </c>
      <c r="C308" s="42" t="s">
        <v>305</v>
      </c>
      <c r="D308" s="42" t="s">
        <v>256</v>
      </c>
      <c r="E308" s="42" t="s">
        <v>314</v>
      </c>
      <c r="F308" s="78"/>
      <c r="G308" s="11" t="e">
        <f>G309</f>
        <v>#REF!</v>
      </c>
      <c r="H308" s="11" t="e">
        <f t="shared" si="114"/>
        <v>#REF!</v>
      </c>
      <c r="I308" s="11" t="e">
        <f t="shared" si="114"/>
        <v>#REF!</v>
      </c>
      <c r="J308" s="11" t="e">
        <f t="shared" si="114"/>
        <v>#REF!</v>
      </c>
      <c r="K308" s="11" t="e">
        <f t="shared" si="114"/>
        <v>#REF!</v>
      </c>
      <c r="L308" s="11">
        <f t="shared" si="114"/>
        <v>0</v>
      </c>
    </row>
    <row r="309" spans="1:12" ht="15.75" customHeight="1" hidden="1">
      <c r="A309" s="33" t="s">
        <v>315</v>
      </c>
      <c r="B309" s="21" t="s">
        <v>849</v>
      </c>
      <c r="C309" s="42" t="s">
        <v>305</v>
      </c>
      <c r="D309" s="42" t="s">
        <v>256</v>
      </c>
      <c r="E309" s="42" t="s">
        <v>316</v>
      </c>
      <c r="F309" s="78"/>
      <c r="G309" s="11" t="e">
        <f>#REF!</f>
        <v>#REF!</v>
      </c>
      <c r="H309" s="11" t="e">
        <f>#REF!</f>
        <v>#REF!</v>
      </c>
      <c r="I309" s="11" t="e">
        <f>#REF!</f>
        <v>#REF!</v>
      </c>
      <c r="J309" s="11" t="e">
        <f>#REF!</f>
        <v>#REF!</v>
      </c>
      <c r="K309" s="11" t="e">
        <f>#REF!</f>
        <v>#REF!</v>
      </c>
      <c r="L309" s="11">
        <f>'Прил.№5 ведомств.'!G928</f>
        <v>0</v>
      </c>
    </row>
    <row r="310" spans="1:12" ht="39.75" customHeight="1" hidden="1">
      <c r="A310" s="47" t="s">
        <v>522</v>
      </c>
      <c r="B310" s="42" t="s">
        <v>526</v>
      </c>
      <c r="C310" s="42"/>
      <c r="D310" s="42"/>
      <c r="E310" s="42"/>
      <c r="F310" s="2">
        <v>907</v>
      </c>
      <c r="G310" s="11" t="e">
        <f aca="true" t="shared" si="115" ref="G310:L310">G283</f>
        <v>#REF!</v>
      </c>
      <c r="H310" s="11" t="e">
        <f t="shared" si="115"/>
        <v>#REF!</v>
      </c>
      <c r="I310" s="11" t="e">
        <f t="shared" si="115"/>
        <v>#REF!</v>
      </c>
      <c r="J310" s="11" t="e">
        <f t="shared" si="115"/>
        <v>#REF!</v>
      </c>
      <c r="K310" s="11" t="e">
        <f t="shared" si="115"/>
        <v>#REF!</v>
      </c>
      <c r="L310" s="11">
        <f t="shared" si="115"/>
        <v>0</v>
      </c>
    </row>
    <row r="311" spans="1:12" ht="47.25">
      <c r="A311" s="63" t="s">
        <v>535</v>
      </c>
      <c r="B311" s="8" t="s">
        <v>536</v>
      </c>
      <c r="C311" s="8"/>
      <c r="D311" s="8"/>
      <c r="E311" s="8"/>
      <c r="F311" s="3"/>
      <c r="G311" s="66" t="e">
        <f>G312</f>
        <v>#REF!</v>
      </c>
      <c r="H311" s="66" t="e">
        <f aca="true" t="shared" si="116" ref="H311:L312">H312</f>
        <v>#REF!</v>
      </c>
      <c r="I311" s="66" t="e">
        <f t="shared" si="116"/>
        <v>#REF!</v>
      </c>
      <c r="J311" s="66" t="e">
        <f t="shared" si="116"/>
        <v>#REF!</v>
      </c>
      <c r="K311" s="66" t="e">
        <f t="shared" si="116"/>
        <v>#REF!</v>
      </c>
      <c r="L311" s="66">
        <f t="shared" si="116"/>
        <v>45712.299999999996</v>
      </c>
    </row>
    <row r="312" spans="1:12" ht="15.75">
      <c r="A312" s="31" t="s">
        <v>532</v>
      </c>
      <c r="B312" s="42" t="s">
        <v>536</v>
      </c>
      <c r="C312" s="2">
        <v>11</v>
      </c>
      <c r="D312" s="78"/>
      <c r="E312" s="78"/>
      <c r="F312" s="78"/>
      <c r="G312" s="11" t="e">
        <f>G313</f>
        <v>#REF!</v>
      </c>
      <c r="H312" s="11" t="e">
        <f t="shared" si="116"/>
        <v>#REF!</v>
      </c>
      <c r="I312" s="11" t="e">
        <f t="shared" si="116"/>
        <v>#REF!</v>
      </c>
      <c r="J312" s="11" t="e">
        <f t="shared" si="116"/>
        <v>#REF!</v>
      </c>
      <c r="K312" s="11" t="e">
        <f t="shared" si="116"/>
        <v>#REF!</v>
      </c>
      <c r="L312" s="11">
        <f t="shared" si="116"/>
        <v>45712.299999999996</v>
      </c>
    </row>
    <row r="313" spans="1:12" ht="20.25" customHeight="1">
      <c r="A313" s="31" t="s">
        <v>534</v>
      </c>
      <c r="B313" s="42" t="s">
        <v>536</v>
      </c>
      <c r="C313" s="42" t="s">
        <v>533</v>
      </c>
      <c r="D313" s="42" t="s">
        <v>159</v>
      </c>
      <c r="E313" s="81"/>
      <c r="F313" s="6"/>
      <c r="G313" s="11" t="e">
        <f>G314+G325+G329+G332+G338+G341</f>
        <v>#REF!</v>
      </c>
      <c r="H313" s="11" t="e">
        <f>H314+H325+H329+H332+H338+H341</f>
        <v>#REF!</v>
      </c>
      <c r="I313" s="11" t="e">
        <f>I314+I325+I329+I332+I338+I341</f>
        <v>#REF!</v>
      </c>
      <c r="J313" s="11" t="e">
        <f>J314+J325+J329+J332+J338+J341</f>
        <v>#REF!</v>
      </c>
      <c r="K313" s="11" t="e">
        <f>K314+K325+K329+K332+K338+K341</f>
        <v>#REF!</v>
      </c>
      <c r="L313" s="11">
        <f>L314+L325+L329+L332+L338+L341+L337</f>
        <v>45712.299999999996</v>
      </c>
    </row>
    <row r="314" spans="1:12" ht="31.5">
      <c r="A314" s="31" t="s">
        <v>537</v>
      </c>
      <c r="B314" s="42" t="s">
        <v>538</v>
      </c>
      <c r="C314" s="42" t="s">
        <v>533</v>
      </c>
      <c r="D314" s="42" t="s">
        <v>159</v>
      </c>
      <c r="E314" s="81"/>
      <c r="F314" s="6"/>
      <c r="G314" s="11" t="e">
        <f>G316</f>
        <v>#REF!</v>
      </c>
      <c r="H314" s="11" t="e">
        <f>H316</f>
        <v>#REF!</v>
      </c>
      <c r="I314" s="11" t="e">
        <f>I316</f>
        <v>#REF!</v>
      </c>
      <c r="J314" s="11" t="e">
        <f>J316</f>
        <v>#REF!</v>
      </c>
      <c r="K314" s="11" t="e">
        <f>K316</f>
        <v>#REF!</v>
      </c>
      <c r="L314" s="11">
        <f>L315+L318+L321</f>
        <v>43327.2</v>
      </c>
    </row>
    <row r="315" spans="1:12" ht="47.25">
      <c r="A315" s="26" t="s">
        <v>1016</v>
      </c>
      <c r="B315" s="42" t="s">
        <v>1010</v>
      </c>
      <c r="C315" s="42" t="s">
        <v>533</v>
      </c>
      <c r="D315" s="42" t="s">
        <v>159</v>
      </c>
      <c r="E315" s="81"/>
      <c r="F315" s="6"/>
      <c r="G315" s="11"/>
      <c r="H315" s="11"/>
      <c r="I315" s="11"/>
      <c r="J315" s="11"/>
      <c r="K315" s="11"/>
      <c r="L315" s="11">
        <f>L316</f>
        <v>12832.4</v>
      </c>
    </row>
    <row r="316" spans="1:12" ht="31.5">
      <c r="A316" s="31" t="s">
        <v>313</v>
      </c>
      <c r="B316" s="42" t="s">
        <v>1010</v>
      </c>
      <c r="C316" s="42" t="s">
        <v>533</v>
      </c>
      <c r="D316" s="42" t="s">
        <v>159</v>
      </c>
      <c r="E316" s="42" t="s">
        <v>314</v>
      </c>
      <c r="F316" s="6"/>
      <c r="G316" s="11" t="e">
        <f>G317</f>
        <v>#REF!</v>
      </c>
      <c r="H316" s="11" t="e">
        <f>H317</f>
        <v>#REF!</v>
      </c>
      <c r="I316" s="11" t="e">
        <f>I317</f>
        <v>#REF!</v>
      </c>
      <c r="J316" s="11" t="e">
        <f>J317</f>
        <v>#REF!</v>
      </c>
      <c r="K316" s="11" t="e">
        <f>K317</f>
        <v>#REF!</v>
      </c>
      <c r="L316" s="11">
        <f>L317</f>
        <v>12832.4</v>
      </c>
    </row>
    <row r="317" spans="1:12" ht="15.75">
      <c r="A317" s="31" t="s">
        <v>315</v>
      </c>
      <c r="B317" s="42" t="s">
        <v>1010</v>
      </c>
      <c r="C317" s="42" t="s">
        <v>533</v>
      </c>
      <c r="D317" s="42" t="s">
        <v>159</v>
      </c>
      <c r="E317" s="42" t="s">
        <v>316</v>
      </c>
      <c r="F317" s="6"/>
      <c r="G317" s="11" t="e">
        <f>#REF!</f>
        <v>#REF!</v>
      </c>
      <c r="H317" s="11" t="e">
        <f>#REF!</f>
        <v>#REF!</v>
      </c>
      <c r="I317" s="11" t="e">
        <f>#REF!</f>
        <v>#REF!</v>
      </c>
      <c r="J317" s="11" t="e">
        <f>#REF!</f>
        <v>#REF!</v>
      </c>
      <c r="K317" s="11" t="e">
        <f>#REF!</f>
        <v>#REF!</v>
      </c>
      <c r="L317" s="11">
        <f>'Прил.№5 ведомств.'!G951</f>
        <v>12832.4</v>
      </c>
    </row>
    <row r="318" spans="1:12" ht="31.5">
      <c r="A318" s="26" t="s">
        <v>1014</v>
      </c>
      <c r="B318" s="42" t="s">
        <v>1011</v>
      </c>
      <c r="C318" s="42" t="s">
        <v>533</v>
      </c>
      <c r="D318" s="42" t="s">
        <v>159</v>
      </c>
      <c r="E318" s="42"/>
      <c r="F318" s="6"/>
      <c r="G318" s="11"/>
      <c r="H318" s="11"/>
      <c r="I318" s="11"/>
      <c r="J318" s="11"/>
      <c r="K318" s="11"/>
      <c r="L318" s="11">
        <f>L319</f>
        <v>12697.800000000001</v>
      </c>
    </row>
    <row r="319" spans="1:12" ht="31.5">
      <c r="A319" s="26" t="s">
        <v>313</v>
      </c>
      <c r="B319" s="42" t="s">
        <v>1011</v>
      </c>
      <c r="C319" s="42" t="s">
        <v>533</v>
      </c>
      <c r="D319" s="42" t="s">
        <v>159</v>
      </c>
      <c r="E319" s="42" t="s">
        <v>314</v>
      </c>
      <c r="F319" s="6"/>
      <c r="G319" s="11"/>
      <c r="H319" s="11"/>
      <c r="I319" s="11"/>
      <c r="J319" s="11"/>
      <c r="K319" s="11"/>
      <c r="L319" s="11">
        <f>L320</f>
        <v>12697.800000000001</v>
      </c>
    </row>
    <row r="320" spans="1:12" ht="15.75">
      <c r="A320" s="26" t="s">
        <v>315</v>
      </c>
      <c r="B320" s="42" t="s">
        <v>1011</v>
      </c>
      <c r="C320" s="42" t="s">
        <v>533</v>
      </c>
      <c r="D320" s="42" t="s">
        <v>159</v>
      </c>
      <c r="E320" s="42" t="s">
        <v>316</v>
      </c>
      <c r="F320" s="6"/>
      <c r="G320" s="11"/>
      <c r="H320" s="11"/>
      <c r="I320" s="11"/>
      <c r="J320" s="11"/>
      <c r="K320" s="11"/>
      <c r="L320" s="11">
        <f>'Прил.№5 ведомств.'!G954</f>
        <v>12697.800000000001</v>
      </c>
    </row>
    <row r="321" spans="1:12" ht="47.25">
      <c r="A321" s="26" t="s">
        <v>1013</v>
      </c>
      <c r="B321" s="42" t="s">
        <v>1012</v>
      </c>
      <c r="C321" s="42" t="s">
        <v>533</v>
      </c>
      <c r="D321" s="42" t="s">
        <v>159</v>
      </c>
      <c r="E321" s="42"/>
      <c r="F321" s="6"/>
      <c r="G321" s="11"/>
      <c r="H321" s="11"/>
      <c r="I321" s="11"/>
      <c r="J321" s="11"/>
      <c r="K321" s="11"/>
      <c r="L321" s="11">
        <f>L322</f>
        <v>17797</v>
      </c>
    </row>
    <row r="322" spans="1:12" ht="31.5">
      <c r="A322" s="26" t="s">
        <v>313</v>
      </c>
      <c r="B322" s="42" t="s">
        <v>1012</v>
      </c>
      <c r="C322" s="42" t="s">
        <v>533</v>
      </c>
      <c r="D322" s="42" t="s">
        <v>159</v>
      </c>
      <c r="E322" s="42" t="s">
        <v>314</v>
      </c>
      <c r="F322" s="6"/>
      <c r="G322" s="11"/>
      <c r="H322" s="11"/>
      <c r="I322" s="11"/>
      <c r="J322" s="11"/>
      <c r="K322" s="11"/>
      <c r="L322" s="11">
        <f>L323</f>
        <v>17797</v>
      </c>
    </row>
    <row r="323" spans="1:12" ht="15.75">
      <c r="A323" s="26" t="s">
        <v>315</v>
      </c>
      <c r="B323" s="42" t="s">
        <v>1012</v>
      </c>
      <c r="C323" s="42" t="s">
        <v>533</v>
      </c>
      <c r="D323" s="42" t="s">
        <v>159</v>
      </c>
      <c r="E323" s="42" t="s">
        <v>316</v>
      </c>
      <c r="F323" s="6"/>
      <c r="G323" s="11"/>
      <c r="H323" s="11"/>
      <c r="I323" s="11"/>
      <c r="J323" s="11"/>
      <c r="K323" s="11"/>
      <c r="L323" s="11">
        <f>'Прил.№5 ведомств.'!G957</f>
        <v>17797</v>
      </c>
    </row>
    <row r="324" spans="1:12" ht="31.5" customHeight="1">
      <c r="A324" s="47" t="s">
        <v>522</v>
      </c>
      <c r="B324" s="42" t="s">
        <v>536</v>
      </c>
      <c r="C324" s="42" t="s">
        <v>533</v>
      </c>
      <c r="D324" s="42" t="s">
        <v>159</v>
      </c>
      <c r="E324" s="42"/>
      <c r="F324" s="6">
        <v>907</v>
      </c>
      <c r="G324" s="11" t="e">
        <f aca="true" t="shared" si="117" ref="G324:L324">G311</f>
        <v>#REF!</v>
      </c>
      <c r="H324" s="11" t="e">
        <f t="shared" si="117"/>
        <v>#REF!</v>
      </c>
      <c r="I324" s="11" t="e">
        <f t="shared" si="117"/>
        <v>#REF!</v>
      </c>
      <c r="J324" s="11" t="e">
        <f t="shared" si="117"/>
        <v>#REF!</v>
      </c>
      <c r="K324" s="11" t="e">
        <f t="shared" si="117"/>
        <v>#REF!</v>
      </c>
      <c r="L324" s="11">
        <f t="shared" si="117"/>
        <v>45712.299999999996</v>
      </c>
    </row>
    <row r="325" spans="1:12" ht="47.25" customHeight="1" hidden="1">
      <c r="A325" s="31" t="s">
        <v>646</v>
      </c>
      <c r="B325" s="42" t="s">
        <v>706</v>
      </c>
      <c r="C325" s="42" t="s">
        <v>533</v>
      </c>
      <c r="D325" s="42" t="s">
        <v>159</v>
      </c>
      <c r="E325" s="42"/>
      <c r="F325" s="6"/>
      <c r="G325" s="11">
        <f>G326</f>
        <v>0</v>
      </c>
      <c r="H325" s="11">
        <f aca="true" t="shared" si="118" ref="H325:L327">H326</f>
        <v>0</v>
      </c>
      <c r="I325" s="11">
        <f t="shared" si="118"/>
        <v>0</v>
      </c>
      <c r="J325" s="11">
        <f t="shared" si="118"/>
        <v>0</v>
      </c>
      <c r="K325" s="11">
        <f t="shared" si="118"/>
        <v>0</v>
      </c>
      <c r="L325" s="11">
        <f t="shared" si="118"/>
        <v>0</v>
      </c>
    </row>
    <row r="326" spans="1:12" ht="31.5" customHeight="1" hidden="1">
      <c r="A326" s="31" t="s">
        <v>313</v>
      </c>
      <c r="B326" s="42" t="s">
        <v>706</v>
      </c>
      <c r="C326" s="42" t="s">
        <v>533</v>
      </c>
      <c r="D326" s="42" t="s">
        <v>159</v>
      </c>
      <c r="E326" s="42" t="s">
        <v>314</v>
      </c>
      <c r="F326" s="6"/>
      <c r="G326" s="11">
        <f>G327</f>
        <v>0</v>
      </c>
      <c r="H326" s="11">
        <f t="shared" si="118"/>
        <v>0</v>
      </c>
      <c r="I326" s="11">
        <f t="shared" si="118"/>
        <v>0</v>
      </c>
      <c r="J326" s="11">
        <f t="shared" si="118"/>
        <v>0</v>
      </c>
      <c r="K326" s="11">
        <f t="shared" si="118"/>
        <v>0</v>
      </c>
      <c r="L326" s="11">
        <f t="shared" si="118"/>
        <v>0</v>
      </c>
    </row>
    <row r="327" spans="1:12" ht="15.75" customHeight="1" hidden="1">
      <c r="A327" s="31" t="s">
        <v>315</v>
      </c>
      <c r="B327" s="42" t="s">
        <v>706</v>
      </c>
      <c r="C327" s="42" t="s">
        <v>533</v>
      </c>
      <c r="D327" s="42" t="s">
        <v>159</v>
      </c>
      <c r="E327" s="42" t="s">
        <v>316</v>
      </c>
      <c r="F327" s="6"/>
      <c r="G327" s="11">
        <f>G328</f>
        <v>0</v>
      </c>
      <c r="H327" s="11">
        <f t="shared" si="118"/>
        <v>0</v>
      </c>
      <c r="I327" s="11">
        <f t="shared" si="118"/>
        <v>0</v>
      </c>
      <c r="J327" s="11">
        <f t="shared" si="118"/>
        <v>0</v>
      </c>
      <c r="K327" s="11">
        <f t="shared" si="118"/>
        <v>0</v>
      </c>
      <c r="L327" s="11">
        <f t="shared" si="118"/>
        <v>0</v>
      </c>
    </row>
    <row r="328" spans="1:12" ht="31.5" customHeight="1" hidden="1">
      <c r="A328" s="47" t="s">
        <v>522</v>
      </c>
      <c r="B328" s="42" t="s">
        <v>706</v>
      </c>
      <c r="C328" s="42" t="s">
        <v>533</v>
      </c>
      <c r="D328" s="42" t="s">
        <v>159</v>
      </c>
      <c r="E328" s="42"/>
      <c r="F328" s="6">
        <v>907</v>
      </c>
      <c r="G328" s="11">
        <f aca="true" t="shared" si="119" ref="G328:L328">1500-1500</f>
        <v>0</v>
      </c>
      <c r="H328" s="11">
        <f t="shared" si="119"/>
        <v>0</v>
      </c>
      <c r="I328" s="11">
        <f t="shared" si="119"/>
        <v>0</v>
      </c>
      <c r="J328" s="11">
        <f t="shared" si="119"/>
        <v>0</v>
      </c>
      <c r="K328" s="11">
        <f t="shared" si="119"/>
        <v>0</v>
      </c>
      <c r="L328" s="11">
        <f t="shared" si="119"/>
        <v>0</v>
      </c>
    </row>
    <row r="329" spans="1:12" ht="31.5" customHeight="1">
      <c r="A329" s="31" t="s">
        <v>319</v>
      </c>
      <c r="B329" s="42" t="s">
        <v>539</v>
      </c>
      <c r="C329" s="42" t="s">
        <v>533</v>
      </c>
      <c r="D329" s="42" t="s">
        <v>159</v>
      </c>
      <c r="E329" s="42"/>
      <c r="F329" s="6"/>
      <c r="G329" s="11" t="e">
        <f>G330</f>
        <v>#REF!</v>
      </c>
      <c r="H329" s="11" t="e">
        <f aca="true" t="shared" si="120" ref="H329:L330">H330</f>
        <v>#REF!</v>
      </c>
      <c r="I329" s="11" t="e">
        <f t="shared" si="120"/>
        <v>#REF!</v>
      </c>
      <c r="J329" s="11" t="e">
        <f t="shared" si="120"/>
        <v>#REF!</v>
      </c>
      <c r="K329" s="11" t="e">
        <f t="shared" si="120"/>
        <v>#REF!</v>
      </c>
      <c r="L329" s="11">
        <f t="shared" si="120"/>
        <v>916.7</v>
      </c>
    </row>
    <row r="330" spans="1:12" ht="31.5" customHeight="1">
      <c r="A330" s="31" t="s">
        <v>313</v>
      </c>
      <c r="B330" s="42" t="s">
        <v>539</v>
      </c>
      <c r="C330" s="42" t="s">
        <v>533</v>
      </c>
      <c r="D330" s="42" t="s">
        <v>159</v>
      </c>
      <c r="E330" s="42" t="s">
        <v>314</v>
      </c>
      <c r="F330" s="6"/>
      <c r="G330" s="11" t="e">
        <f>G331</f>
        <v>#REF!</v>
      </c>
      <c r="H330" s="11" t="e">
        <f t="shared" si="120"/>
        <v>#REF!</v>
      </c>
      <c r="I330" s="11" t="e">
        <f t="shared" si="120"/>
        <v>#REF!</v>
      </c>
      <c r="J330" s="11" t="e">
        <f t="shared" si="120"/>
        <v>#REF!</v>
      </c>
      <c r="K330" s="11" t="e">
        <f t="shared" si="120"/>
        <v>#REF!</v>
      </c>
      <c r="L330" s="11">
        <f t="shared" si="120"/>
        <v>916.7</v>
      </c>
    </row>
    <row r="331" spans="1:12" ht="15.75" customHeight="1">
      <c r="A331" s="31" t="s">
        <v>315</v>
      </c>
      <c r="B331" s="42" t="s">
        <v>539</v>
      </c>
      <c r="C331" s="42" t="s">
        <v>533</v>
      </c>
      <c r="D331" s="42" t="s">
        <v>159</v>
      </c>
      <c r="E331" s="42" t="s">
        <v>316</v>
      </c>
      <c r="F331" s="6"/>
      <c r="G331" s="11" t="e">
        <f>#REF!</f>
        <v>#REF!</v>
      </c>
      <c r="H331" s="11" t="e">
        <f>#REF!</f>
        <v>#REF!</v>
      </c>
      <c r="I331" s="11" t="e">
        <f>#REF!</f>
        <v>#REF!</v>
      </c>
      <c r="J331" s="11" t="e">
        <f>#REF!</f>
        <v>#REF!</v>
      </c>
      <c r="K331" s="11" t="e">
        <f>#REF!</f>
        <v>#REF!</v>
      </c>
      <c r="L331" s="11">
        <f>'Прил.№5 ведомств.'!G960</f>
        <v>916.7</v>
      </c>
    </row>
    <row r="332" spans="1:12" ht="31.5" customHeight="1">
      <c r="A332" s="31" t="s">
        <v>321</v>
      </c>
      <c r="B332" s="42" t="s">
        <v>540</v>
      </c>
      <c r="C332" s="42" t="s">
        <v>533</v>
      </c>
      <c r="D332" s="42" t="s">
        <v>159</v>
      </c>
      <c r="E332" s="42"/>
      <c r="F332" s="6"/>
      <c r="G332" s="11" t="e">
        <f>G333</f>
        <v>#REF!</v>
      </c>
      <c r="H332" s="11" t="e">
        <f aca="true" t="shared" si="121" ref="H332:L333">H333</f>
        <v>#REF!</v>
      </c>
      <c r="I332" s="11" t="e">
        <f t="shared" si="121"/>
        <v>#REF!</v>
      </c>
      <c r="J332" s="11" t="e">
        <f t="shared" si="121"/>
        <v>#REF!</v>
      </c>
      <c r="K332" s="11" t="e">
        <f t="shared" si="121"/>
        <v>#REF!</v>
      </c>
      <c r="L332" s="11">
        <f t="shared" si="121"/>
        <v>185.4</v>
      </c>
    </row>
    <row r="333" spans="1:12" ht="31.5" customHeight="1">
      <c r="A333" s="31" t="s">
        <v>313</v>
      </c>
      <c r="B333" s="42" t="s">
        <v>540</v>
      </c>
      <c r="C333" s="42" t="s">
        <v>533</v>
      </c>
      <c r="D333" s="42" t="s">
        <v>159</v>
      </c>
      <c r="E333" s="42" t="s">
        <v>314</v>
      </c>
      <c r="F333" s="6"/>
      <c r="G333" s="11" t="e">
        <f>G334</f>
        <v>#REF!</v>
      </c>
      <c r="H333" s="11" t="e">
        <f t="shared" si="121"/>
        <v>#REF!</v>
      </c>
      <c r="I333" s="11" t="e">
        <f t="shared" si="121"/>
        <v>#REF!</v>
      </c>
      <c r="J333" s="11" t="e">
        <f t="shared" si="121"/>
        <v>#REF!</v>
      </c>
      <c r="K333" s="11" t="e">
        <f t="shared" si="121"/>
        <v>#REF!</v>
      </c>
      <c r="L333" s="11">
        <f t="shared" si="121"/>
        <v>185.4</v>
      </c>
    </row>
    <row r="334" spans="1:12" ht="15.75" customHeight="1">
      <c r="A334" s="31" t="s">
        <v>315</v>
      </c>
      <c r="B334" s="42" t="s">
        <v>540</v>
      </c>
      <c r="C334" s="42" t="s">
        <v>533</v>
      </c>
      <c r="D334" s="42" t="s">
        <v>159</v>
      </c>
      <c r="E334" s="42" t="s">
        <v>316</v>
      </c>
      <c r="F334" s="6"/>
      <c r="G334" s="11" t="e">
        <f>#REF!</f>
        <v>#REF!</v>
      </c>
      <c r="H334" s="11" t="e">
        <f>#REF!</f>
        <v>#REF!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>
        <f>'Прил.№5 ведомств.'!G963</f>
        <v>185.4</v>
      </c>
    </row>
    <row r="335" spans="1:13" s="285" customFormat="1" ht="15.75" customHeight="1">
      <c r="A335" s="26" t="s">
        <v>1077</v>
      </c>
      <c r="B335" s="42" t="s">
        <v>1078</v>
      </c>
      <c r="C335" s="42" t="s">
        <v>533</v>
      </c>
      <c r="D335" s="42" t="s">
        <v>159</v>
      </c>
      <c r="E335" s="42"/>
      <c r="F335" s="6"/>
      <c r="G335" s="11"/>
      <c r="H335" s="11"/>
      <c r="I335" s="11"/>
      <c r="J335" s="11"/>
      <c r="K335" s="11"/>
      <c r="L335" s="11">
        <f>L336</f>
        <v>36</v>
      </c>
      <c r="M335" s="286"/>
    </row>
    <row r="336" spans="1:13" s="285" customFormat="1" ht="31.5">
      <c r="A336" s="26" t="s">
        <v>313</v>
      </c>
      <c r="B336" s="42" t="s">
        <v>1078</v>
      </c>
      <c r="C336" s="42" t="s">
        <v>533</v>
      </c>
      <c r="D336" s="42" t="s">
        <v>159</v>
      </c>
      <c r="E336" s="42" t="s">
        <v>314</v>
      </c>
      <c r="F336" s="6"/>
      <c r="G336" s="11"/>
      <c r="H336" s="11"/>
      <c r="I336" s="11"/>
      <c r="J336" s="11"/>
      <c r="K336" s="11"/>
      <c r="L336" s="11">
        <f>L337</f>
        <v>36</v>
      </c>
      <c r="M336" s="286"/>
    </row>
    <row r="337" spans="1:13" s="285" customFormat="1" ht="15.75" customHeight="1">
      <c r="A337" s="26" t="s">
        <v>315</v>
      </c>
      <c r="B337" s="42" t="s">
        <v>1078</v>
      </c>
      <c r="C337" s="42" t="s">
        <v>533</v>
      </c>
      <c r="D337" s="42" t="s">
        <v>159</v>
      </c>
      <c r="E337" s="42" t="s">
        <v>316</v>
      </c>
      <c r="F337" s="6"/>
      <c r="G337" s="11"/>
      <c r="H337" s="11"/>
      <c r="I337" s="11"/>
      <c r="J337" s="11"/>
      <c r="K337" s="11"/>
      <c r="L337" s="11">
        <f>'Прил.№5 ведомств.'!G966</f>
        <v>36</v>
      </c>
      <c r="M337" s="286"/>
    </row>
    <row r="338" spans="1:12" ht="31.5" customHeight="1">
      <c r="A338" s="31" t="s">
        <v>325</v>
      </c>
      <c r="B338" s="42" t="s">
        <v>541</v>
      </c>
      <c r="C338" s="42" t="s">
        <v>533</v>
      </c>
      <c r="D338" s="42" t="s">
        <v>159</v>
      </c>
      <c r="E338" s="42"/>
      <c r="F338" s="6"/>
      <c r="G338" s="11" t="e">
        <f>G339</f>
        <v>#REF!</v>
      </c>
      <c r="H338" s="11" t="e">
        <f aca="true" t="shared" si="122" ref="H338:L339">H339</f>
        <v>#REF!</v>
      </c>
      <c r="I338" s="11" t="e">
        <f t="shared" si="122"/>
        <v>#REF!</v>
      </c>
      <c r="J338" s="11" t="e">
        <f t="shared" si="122"/>
        <v>#REF!</v>
      </c>
      <c r="K338" s="11" t="e">
        <f t="shared" si="122"/>
        <v>#REF!</v>
      </c>
      <c r="L338" s="11">
        <f t="shared" si="122"/>
        <v>53.7</v>
      </c>
    </row>
    <row r="339" spans="1:12" ht="31.5" customHeight="1">
      <c r="A339" s="31" t="s">
        <v>313</v>
      </c>
      <c r="B339" s="42" t="s">
        <v>541</v>
      </c>
      <c r="C339" s="42" t="s">
        <v>533</v>
      </c>
      <c r="D339" s="42" t="s">
        <v>159</v>
      </c>
      <c r="E339" s="42" t="s">
        <v>314</v>
      </c>
      <c r="F339" s="6"/>
      <c r="G339" s="11" t="e">
        <f>G340</f>
        <v>#REF!</v>
      </c>
      <c r="H339" s="11" t="e">
        <f t="shared" si="122"/>
        <v>#REF!</v>
      </c>
      <c r="I339" s="11" t="e">
        <f t="shared" si="122"/>
        <v>#REF!</v>
      </c>
      <c r="J339" s="11" t="e">
        <f t="shared" si="122"/>
        <v>#REF!</v>
      </c>
      <c r="K339" s="11" t="e">
        <f t="shared" si="122"/>
        <v>#REF!</v>
      </c>
      <c r="L339" s="11">
        <f t="shared" si="122"/>
        <v>53.7</v>
      </c>
    </row>
    <row r="340" spans="1:12" ht="15.75" customHeight="1">
      <c r="A340" s="31" t="s">
        <v>315</v>
      </c>
      <c r="B340" s="42" t="s">
        <v>541</v>
      </c>
      <c r="C340" s="42" t="s">
        <v>533</v>
      </c>
      <c r="D340" s="42" t="s">
        <v>159</v>
      </c>
      <c r="E340" s="42" t="s">
        <v>316</v>
      </c>
      <c r="F340" s="6"/>
      <c r="G340" s="11" t="e">
        <f>#REF!</f>
        <v>#REF!</v>
      </c>
      <c r="H340" s="11" t="e">
        <f>#REF!</f>
        <v>#REF!</v>
      </c>
      <c r="I340" s="11" t="e">
        <f>#REF!</f>
        <v>#REF!</v>
      </c>
      <c r="J340" s="11" t="e">
        <f>#REF!</f>
        <v>#REF!</v>
      </c>
      <c r="K340" s="11" t="e">
        <f>#REF!</f>
        <v>#REF!</v>
      </c>
      <c r="L340" s="11">
        <f>'Прил.№5 ведомств.'!G969</f>
        <v>53.7</v>
      </c>
    </row>
    <row r="341" spans="1:12" ht="31.5">
      <c r="A341" s="47" t="s">
        <v>842</v>
      </c>
      <c r="B341" s="42" t="s">
        <v>850</v>
      </c>
      <c r="C341" s="42" t="s">
        <v>533</v>
      </c>
      <c r="D341" s="42" t="s">
        <v>159</v>
      </c>
      <c r="E341" s="42"/>
      <c r="F341" s="6"/>
      <c r="G341" s="11" t="e">
        <f>G342</f>
        <v>#REF!</v>
      </c>
      <c r="H341" s="11" t="e">
        <f aca="true" t="shared" si="123" ref="H341:L342">H342</f>
        <v>#REF!</v>
      </c>
      <c r="I341" s="11" t="e">
        <f t="shared" si="123"/>
        <v>#REF!</v>
      </c>
      <c r="J341" s="11" t="e">
        <f t="shared" si="123"/>
        <v>#REF!</v>
      </c>
      <c r="K341" s="11" t="e">
        <f t="shared" si="123"/>
        <v>#REF!</v>
      </c>
      <c r="L341" s="11">
        <f t="shared" si="123"/>
        <v>1193.3</v>
      </c>
    </row>
    <row r="342" spans="1:12" ht="31.5">
      <c r="A342" s="33" t="s">
        <v>313</v>
      </c>
      <c r="B342" s="42" t="s">
        <v>850</v>
      </c>
      <c r="C342" s="42" t="s">
        <v>533</v>
      </c>
      <c r="D342" s="42" t="s">
        <v>159</v>
      </c>
      <c r="E342" s="42" t="s">
        <v>314</v>
      </c>
      <c r="F342" s="6"/>
      <c r="G342" s="11" t="e">
        <f>G343</f>
        <v>#REF!</v>
      </c>
      <c r="H342" s="11" t="e">
        <f t="shared" si="123"/>
        <v>#REF!</v>
      </c>
      <c r="I342" s="11" t="e">
        <f t="shared" si="123"/>
        <v>#REF!</v>
      </c>
      <c r="J342" s="11" t="e">
        <f t="shared" si="123"/>
        <v>#REF!</v>
      </c>
      <c r="K342" s="11" t="e">
        <f t="shared" si="123"/>
        <v>#REF!</v>
      </c>
      <c r="L342" s="11">
        <f t="shared" si="123"/>
        <v>1193.3</v>
      </c>
    </row>
    <row r="343" spans="1:12" ht="15.75">
      <c r="A343" s="33" t="s">
        <v>315</v>
      </c>
      <c r="B343" s="42" t="s">
        <v>850</v>
      </c>
      <c r="C343" s="42" t="s">
        <v>533</v>
      </c>
      <c r="D343" s="42" t="s">
        <v>159</v>
      </c>
      <c r="E343" s="42" t="s">
        <v>316</v>
      </c>
      <c r="F343" s="6"/>
      <c r="G343" s="11" t="e">
        <f>#REF!</f>
        <v>#REF!</v>
      </c>
      <c r="H343" s="11" t="e">
        <f>#REF!</f>
        <v>#REF!</v>
      </c>
      <c r="I343" s="11" t="e">
        <f>#REF!</f>
        <v>#REF!</v>
      </c>
      <c r="J343" s="11" t="e">
        <f>#REF!</f>
        <v>#REF!</v>
      </c>
      <c r="K343" s="11" t="e">
        <f>#REF!</f>
        <v>#REF!</v>
      </c>
      <c r="L343" s="11">
        <f>'Прил.№5 ведомств.'!G972</f>
        <v>1193.3</v>
      </c>
    </row>
    <row r="344" spans="1:12" ht="31.5">
      <c r="A344" s="47" t="s">
        <v>522</v>
      </c>
      <c r="B344" s="42" t="s">
        <v>536</v>
      </c>
      <c r="C344" s="42"/>
      <c r="D344" s="42"/>
      <c r="E344" s="42"/>
      <c r="F344" s="6">
        <v>907</v>
      </c>
      <c r="G344" s="11" t="e">
        <f aca="true" t="shared" si="124" ref="G344:L344">G311</f>
        <v>#REF!</v>
      </c>
      <c r="H344" s="11" t="e">
        <f t="shared" si="124"/>
        <v>#REF!</v>
      </c>
      <c r="I344" s="11" t="e">
        <f t="shared" si="124"/>
        <v>#REF!</v>
      </c>
      <c r="J344" s="11" t="e">
        <f t="shared" si="124"/>
        <v>#REF!</v>
      </c>
      <c r="K344" s="11" t="e">
        <f t="shared" si="124"/>
        <v>#REF!</v>
      </c>
      <c r="L344" s="11">
        <f t="shared" si="124"/>
        <v>45712.299999999996</v>
      </c>
    </row>
    <row r="345" spans="1:12" ht="47.25">
      <c r="A345" s="63" t="s">
        <v>543</v>
      </c>
      <c r="B345" s="8" t="s">
        <v>544</v>
      </c>
      <c r="C345" s="8"/>
      <c r="D345" s="8"/>
      <c r="E345" s="8"/>
      <c r="F345" s="263"/>
      <c r="G345" s="4" t="e">
        <f>G346</f>
        <v>#REF!</v>
      </c>
      <c r="H345" s="4" t="e">
        <f aca="true" t="shared" si="125" ref="H345:L347">H346</f>
        <v>#REF!</v>
      </c>
      <c r="I345" s="4" t="e">
        <f t="shared" si="125"/>
        <v>#REF!</v>
      </c>
      <c r="J345" s="4" t="e">
        <f t="shared" si="125"/>
        <v>#REF!</v>
      </c>
      <c r="K345" s="4" t="e">
        <f t="shared" si="125"/>
        <v>#REF!</v>
      </c>
      <c r="L345" s="4">
        <f t="shared" si="125"/>
        <v>2497.2</v>
      </c>
    </row>
    <row r="346" spans="1:12" ht="15.75">
      <c r="A346" s="31" t="s">
        <v>532</v>
      </c>
      <c r="B346" s="42" t="s">
        <v>544</v>
      </c>
      <c r="C346" s="2">
        <v>11</v>
      </c>
      <c r="D346" s="42"/>
      <c r="E346" s="42"/>
      <c r="F346" s="6"/>
      <c r="G346" s="7" t="e">
        <f>G347</f>
        <v>#REF!</v>
      </c>
      <c r="H346" s="7" t="e">
        <f t="shared" si="125"/>
        <v>#REF!</v>
      </c>
      <c r="I346" s="7" t="e">
        <f t="shared" si="125"/>
        <v>#REF!</v>
      </c>
      <c r="J346" s="7" t="e">
        <f t="shared" si="125"/>
        <v>#REF!</v>
      </c>
      <c r="K346" s="7" t="e">
        <f t="shared" si="125"/>
        <v>#REF!</v>
      </c>
      <c r="L346" s="7">
        <f t="shared" si="125"/>
        <v>2497.2</v>
      </c>
    </row>
    <row r="347" spans="1:12" ht="31.5">
      <c r="A347" s="26" t="s">
        <v>542</v>
      </c>
      <c r="B347" s="42" t="s">
        <v>544</v>
      </c>
      <c r="C347" s="42" t="s">
        <v>533</v>
      </c>
      <c r="D347" s="42" t="s">
        <v>275</v>
      </c>
      <c r="E347" s="42"/>
      <c r="F347" s="6"/>
      <c r="G347" s="7" t="e">
        <f>G348</f>
        <v>#REF!</v>
      </c>
      <c r="H347" s="7" t="e">
        <f t="shared" si="125"/>
        <v>#REF!</v>
      </c>
      <c r="I347" s="7" t="e">
        <f t="shared" si="125"/>
        <v>#REF!</v>
      </c>
      <c r="J347" s="7" t="e">
        <f t="shared" si="125"/>
        <v>#REF!</v>
      </c>
      <c r="K347" s="7" t="e">
        <f t="shared" si="125"/>
        <v>#REF!</v>
      </c>
      <c r="L347" s="7">
        <f t="shared" si="125"/>
        <v>2497.2</v>
      </c>
    </row>
    <row r="348" spans="1:12" ht="31.5">
      <c r="A348" s="31" t="s">
        <v>198</v>
      </c>
      <c r="B348" s="42" t="s">
        <v>545</v>
      </c>
      <c r="C348" s="42" t="s">
        <v>533</v>
      </c>
      <c r="D348" s="42" t="s">
        <v>275</v>
      </c>
      <c r="E348" s="42"/>
      <c r="F348" s="6"/>
      <c r="G348" s="7" t="e">
        <f aca="true" t="shared" si="126" ref="G348:L348">G351+G349</f>
        <v>#REF!</v>
      </c>
      <c r="H348" s="7" t="e">
        <f t="shared" si="126"/>
        <v>#REF!</v>
      </c>
      <c r="I348" s="7" t="e">
        <f t="shared" si="126"/>
        <v>#REF!</v>
      </c>
      <c r="J348" s="7" t="e">
        <f t="shared" si="126"/>
        <v>#REF!</v>
      </c>
      <c r="K348" s="7" t="e">
        <f t="shared" si="126"/>
        <v>#REF!</v>
      </c>
      <c r="L348" s="7">
        <f t="shared" si="126"/>
        <v>2497.2</v>
      </c>
    </row>
    <row r="349" spans="1:12" ht="78.75">
      <c r="A349" s="26" t="s">
        <v>168</v>
      </c>
      <c r="B349" s="42" t="s">
        <v>545</v>
      </c>
      <c r="C349" s="42" t="s">
        <v>533</v>
      </c>
      <c r="D349" s="42" t="s">
        <v>275</v>
      </c>
      <c r="E349" s="42" t="s">
        <v>169</v>
      </c>
      <c r="F349" s="6"/>
      <c r="G349" s="7" t="e">
        <f aca="true" t="shared" si="127" ref="G349:L349">G350</f>
        <v>#REF!</v>
      </c>
      <c r="H349" s="7" t="e">
        <f t="shared" si="127"/>
        <v>#REF!</v>
      </c>
      <c r="I349" s="7" t="e">
        <f t="shared" si="127"/>
        <v>#REF!</v>
      </c>
      <c r="J349" s="7" t="e">
        <f t="shared" si="127"/>
        <v>#REF!</v>
      </c>
      <c r="K349" s="7" t="e">
        <f t="shared" si="127"/>
        <v>#REF!</v>
      </c>
      <c r="L349" s="7">
        <f t="shared" si="127"/>
        <v>1911</v>
      </c>
    </row>
    <row r="350" spans="1:12" ht="38.25" customHeight="1">
      <c r="A350" s="26" t="s">
        <v>170</v>
      </c>
      <c r="B350" s="42" t="s">
        <v>545</v>
      </c>
      <c r="C350" s="42" t="s">
        <v>533</v>
      </c>
      <c r="D350" s="42" t="s">
        <v>275</v>
      </c>
      <c r="E350" s="42" t="s">
        <v>250</v>
      </c>
      <c r="F350" s="6"/>
      <c r="G350" s="7" t="e">
        <f>#REF!</f>
        <v>#REF!</v>
      </c>
      <c r="H350" s="7" t="e">
        <f>#REF!</f>
        <v>#REF!</v>
      </c>
      <c r="I350" s="7" t="e">
        <f>#REF!</f>
        <v>#REF!</v>
      </c>
      <c r="J350" s="7" t="e">
        <f>#REF!</f>
        <v>#REF!</v>
      </c>
      <c r="K350" s="7" t="e">
        <f>#REF!</f>
        <v>#REF!</v>
      </c>
      <c r="L350" s="7">
        <f>'Прил.№5 ведомств.'!G1002</f>
        <v>1911</v>
      </c>
    </row>
    <row r="351" spans="1:12" ht="31.5">
      <c r="A351" s="31" t="s">
        <v>172</v>
      </c>
      <c r="B351" s="42" t="s">
        <v>545</v>
      </c>
      <c r="C351" s="42" t="s">
        <v>533</v>
      </c>
      <c r="D351" s="42" t="s">
        <v>275</v>
      </c>
      <c r="E351" s="42" t="s">
        <v>173</v>
      </c>
      <c r="F351" s="6"/>
      <c r="G351" s="7" t="e">
        <f aca="true" t="shared" si="128" ref="G351:L351">G352</f>
        <v>#REF!</v>
      </c>
      <c r="H351" s="7" t="e">
        <f t="shared" si="128"/>
        <v>#REF!</v>
      </c>
      <c r="I351" s="7" t="e">
        <f t="shared" si="128"/>
        <v>#REF!</v>
      </c>
      <c r="J351" s="7" t="e">
        <f t="shared" si="128"/>
        <v>#REF!</v>
      </c>
      <c r="K351" s="7" t="e">
        <f t="shared" si="128"/>
        <v>#REF!</v>
      </c>
      <c r="L351" s="7">
        <f t="shared" si="128"/>
        <v>586.2</v>
      </c>
    </row>
    <row r="352" spans="1:12" ht="31.5">
      <c r="A352" s="31" t="s">
        <v>174</v>
      </c>
      <c r="B352" s="42" t="s">
        <v>545</v>
      </c>
      <c r="C352" s="42" t="s">
        <v>533</v>
      </c>
      <c r="D352" s="42" t="s">
        <v>275</v>
      </c>
      <c r="E352" s="42" t="s">
        <v>175</v>
      </c>
      <c r="F352" s="6"/>
      <c r="G352" s="7" t="e">
        <f>#REF!</f>
        <v>#REF!</v>
      </c>
      <c r="H352" s="7" t="e">
        <f>#REF!</f>
        <v>#REF!</v>
      </c>
      <c r="I352" s="7" t="e">
        <f>#REF!</f>
        <v>#REF!</v>
      </c>
      <c r="J352" s="7" t="e">
        <f>#REF!</f>
        <v>#REF!</v>
      </c>
      <c r="K352" s="7" t="e">
        <f>#REF!</f>
        <v>#REF!</v>
      </c>
      <c r="L352" s="7">
        <f>'Прил.№5 ведомств.'!G1004</f>
        <v>586.2</v>
      </c>
    </row>
    <row r="353" spans="1:12" ht="31.5">
      <c r="A353" s="47" t="s">
        <v>522</v>
      </c>
      <c r="B353" s="42" t="s">
        <v>544</v>
      </c>
      <c r="C353" s="42"/>
      <c r="D353" s="42"/>
      <c r="E353" s="42"/>
      <c r="F353" s="6">
        <v>907</v>
      </c>
      <c r="G353" s="11" t="e">
        <f aca="true" t="shared" si="129" ref="G353:L353">G345</f>
        <v>#REF!</v>
      </c>
      <c r="H353" s="11" t="e">
        <f t="shared" si="129"/>
        <v>#REF!</v>
      </c>
      <c r="I353" s="11" t="e">
        <f t="shared" si="129"/>
        <v>#REF!</v>
      </c>
      <c r="J353" s="11" t="e">
        <f t="shared" si="129"/>
        <v>#REF!</v>
      </c>
      <c r="K353" s="11" t="e">
        <f t="shared" si="129"/>
        <v>#REF!</v>
      </c>
      <c r="L353" s="11">
        <f t="shared" si="129"/>
        <v>2497.2</v>
      </c>
    </row>
    <row r="354" spans="1:13" ht="31.5">
      <c r="A354" s="43" t="s">
        <v>307</v>
      </c>
      <c r="B354" s="8" t="s">
        <v>308</v>
      </c>
      <c r="C354" s="82"/>
      <c r="D354" s="82"/>
      <c r="E354" s="82"/>
      <c r="F354" s="3"/>
      <c r="G354" s="66" t="e">
        <f aca="true" t="shared" si="130" ref="G354:L354">G446+G355+G392</f>
        <v>#REF!</v>
      </c>
      <c r="H354" s="66" t="e">
        <f t="shared" si="130"/>
        <v>#REF!</v>
      </c>
      <c r="I354" s="66" t="e">
        <f t="shared" si="130"/>
        <v>#REF!</v>
      </c>
      <c r="J354" s="66" t="e">
        <f t="shared" si="130"/>
        <v>#REF!</v>
      </c>
      <c r="K354" s="66" t="e">
        <f t="shared" si="130"/>
        <v>#REF!</v>
      </c>
      <c r="L354" s="66">
        <f t="shared" si="130"/>
        <v>61097.3</v>
      </c>
      <c r="M354" s="287"/>
    </row>
    <row r="355" spans="1:12" ht="60.75" customHeight="1">
      <c r="A355" s="43" t="s">
        <v>342</v>
      </c>
      <c r="B355" s="8" t="s">
        <v>343</v>
      </c>
      <c r="C355" s="8"/>
      <c r="D355" s="8"/>
      <c r="E355" s="82"/>
      <c r="F355" s="3"/>
      <c r="G355" s="66" t="e">
        <f>G356</f>
        <v>#REF!</v>
      </c>
      <c r="H355" s="66" t="e">
        <f aca="true" t="shared" si="131" ref="H355:L356">H356</f>
        <v>#REF!</v>
      </c>
      <c r="I355" s="66" t="e">
        <f t="shared" si="131"/>
        <v>#REF!</v>
      </c>
      <c r="J355" s="66" t="e">
        <f t="shared" si="131"/>
        <v>#REF!</v>
      </c>
      <c r="K355" s="66" t="e">
        <f t="shared" si="131"/>
        <v>#REF!</v>
      </c>
      <c r="L355" s="66">
        <f t="shared" si="131"/>
        <v>25924.600000000002</v>
      </c>
    </row>
    <row r="356" spans="1:12" ht="15.75">
      <c r="A356" s="83" t="s">
        <v>339</v>
      </c>
      <c r="B356" s="42" t="s">
        <v>343</v>
      </c>
      <c r="C356" s="42" t="s">
        <v>340</v>
      </c>
      <c r="D356" s="83"/>
      <c r="E356" s="83"/>
      <c r="F356" s="2"/>
      <c r="G356" s="11" t="e">
        <f>G357</f>
        <v>#REF!</v>
      </c>
      <c r="H356" s="11" t="e">
        <f t="shared" si="131"/>
        <v>#REF!</v>
      </c>
      <c r="I356" s="11" t="e">
        <f t="shared" si="131"/>
        <v>#REF!</v>
      </c>
      <c r="J356" s="11" t="e">
        <f t="shared" si="131"/>
        <v>#REF!</v>
      </c>
      <c r="K356" s="11" t="e">
        <f t="shared" si="131"/>
        <v>#REF!</v>
      </c>
      <c r="L356" s="11">
        <f t="shared" si="131"/>
        <v>25924.600000000002</v>
      </c>
    </row>
    <row r="357" spans="1:12" ht="15.75">
      <c r="A357" s="83" t="s">
        <v>341</v>
      </c>
      <c r="B357" s="42" t="s">
        <v>343</v>
      </c>
      <c r="C357" s="42" t="s">
        <v>340</v>
      </c>
      <c r="D357" s="42" t="s">
        <v>159</v>
      </c>
      <c r="E357" s="83"/>
      <c r="F357" s="2"/>
      <c r="G357" s="11" t="e">
        <f>G358+G364+G367+G361+G370+G373+G376</f>
        <v>#REF!</v>
      </c>
      <c r="H357" s="11" t="e">
        <f>H358+H364+H367+H361+H370+H373+H376</f>
        <v>#REF!</v>
      </c>
      <c r="I357" s="11" t="e">
        <f>I358+I364+I367+I361+I370+I373+I376</f>
        <v>#REF!</v>
      </c>
      <c r="J357" s="11" t="e">
        <f>J358+J364+J367+J361+J370+J373+J376</f>
        <v>#REF!</v>
      </c>
      <c r="K357" s="11" t="e">
        <f>K358+K364+K367+K361+K370+K373+K376</f>
        <v>#REF!</v>
      </c>
      <c r="L357" s="11">
        <f>L358+L364+L367+L361+L370+L373+L376+L384+L379</f>
        <v>25924.600000000002</v>
      </c>
    </row>
    <row r="358" spans="1:12" ht="31.5" customHeight="1" hidden="1">
      <c r="A358" s="31" t="s">
        <v>344</v>
      </c>
      <c r="B358" s="42" t="s">
        <v>345</v>
      </c>
      <c r="C358" s="42" t="s">
        <v>340</v>
      </c>
      <c r="D358" s="42" t="s">
        <v>159</v>
      </c>
      <c r="E358" s="83"/>
      <c r="F358" s="2"/>
      <c r="G358" s="11" t="e">
        <f>G359</f>
        <v>#REF!</v>
      </c>
      <c r="H358" s="11" t="e">
        <f aca="true" t="shared" si="132" ref="H358:L359">H359</f>
        <v>#REF!</v>
      </c>
      <c r="I358" s="11" t="e">
        <f t="shared" si="132"/>
        <v>#REF!</v>
      </c>
      <c r="J358" s="11" t="e">
        <f t="shared" si="132"/>
        <v>#REF!</v>
      </c>
      <c r="K358" s="11" t="e">
        <f t="shared" si="132"/>
        <v>#REF!</v>
      </c>
      <c r="L358" s="11">
        <f t="shared" si="132"/>
        <v>0</v>
      </c>
    </row>
    <row r="359" spans="1:12" ht="31.5" customHeight="1" hidden="1">
      <c r="A359" s="31" t="s">
        <v>313</v>
      </c>
      <c r="B359" s="42" t="s">
        <v>345</v>
      </c>
      <c r="C359" s="42" t="s">
        <v>340</v>
      </c>
      <c r="D359" s="42" t="s">
        <v>159</v>
      </c>
      <c r="E359" s="42" t="s">
        <v>314</v>
      </c>
      <c r="F359" s="2"/>
      <c r="G359" s="11" t="e">
        <f>G360</f>
        <v>#REF!</v>
      </c>
      <c r="H359" s="11" t="e">
        <f t="shared" si="132"/>
        <v>#REF!</v>
      </c>
      <c r="I359" s="11" t="e">
        <f t="shared" si="132"/>
        <v>#REF!</v>
      </c>
      <c r="J359" s="11" t="e">
        <f t="shared" si="132"/>
        <v>#REF!</v>
      </c>
      <c r="K359" s="11" t="e">
        <f t="shared" si="132"/>
        <v>#REF!</v>
      </c>
      <c r="L359" s="11">
        <f t="shared" si="132"/>
        <v>0</v>
      </c>
    </row>
    <row r="360" spans="1:12" ht="15.75" customHeight="1" hidden="1">
      <c r="A360" s="31" t="s">
        <v>315</v>
      </c>
      <c r="B360" s="42" t="s">
        <v>345</v>
      </c>
      <c r="C360" s="42" t="s">
        <v>340</v>
      </c>
      <c r="D360" s="42" t="s">
        <v>159</v>
      </c>
      <c r="E360" s="42" t="s">
        <v>316</v>
      </c>
      <c r="F360" s="2"/>
      <c r="G360" s="11" t="e">
        <f>#REF!</f>
        <v>#REF!</v>
      </c>
      <c r="H360" s="11" t="e">
        <f>#REF!</f>
        <v>#REF!</v>
      </c>
      <c r="I360" s="11" t="e">
        <f>#REF!</f>
        <v>#REF!</v>
      </c>
      <c r="J360" s="11" t="e">
        <f>#REF!</f>
        <v>#REF!</v>
      </c>
      <c r="K360" s="11" t="e">
        <f>#REF!</f>
        <v>#REF!</v>
      </c>
      <c r="L360" s="11">
        <f>'Прил.№5 ведомств.'!G390</f>
        <v>0</v>
      </c>
    </row>
    <row r="361" spans="1:12" ht="47.25" customHeight="1" hidden="1">
      <c r="A361" s="31" t="s">
        <v>317</v>
      </c>
      <c r="B361" s="42" t="s">
        <v>346</v>
      </c>
      <c r="C361" s="42" t="s">
        <v>340</v>
      </c>
      <c r="D361" s="42" t="s">
        <v>159</v>
      </c>
      <c r="E361" s="42"/>
      <c r="F361" s="2"/>
      <c r="G361" s="11" t="e">
        <f>G362</f>
        <v>#REF!</v>
      </c>
      <c r="H361" s="11" t="e">
        <f aca="true" t="shared" si="133" ref="H361:L362">H362</f>
        <v>#REF!</v>
      </c>
      <c r="I361" s="11" t="e">
        <f t="shared" si="133"/>
        <v>#REF!</v>
      </c>
      <c r="J361" s="11" t="e">
        <f t="shared" si="133"/>
        <v>#REF!</v>
      </c>
      <c r="K361" s="11" t="e">
        <f t="shared" si="133"/>
        <v>#REF!</v>
      </c>
      <c r="L361" s="11">
        <f t="shared" si="133"/>
        <v>0</v>
      </c>
    </row>
    <row r="362" spans="1:12" ht="31.5" customHeight="1" hidden="1">
      <c r="A362" s="31" t="s">
        <v>313</v>
      </c>
      <c r="B362" s="42" t="s">
        <v>346</v>
      </c>
      <c r="C362" s="42" t="s">
        <v>340</v>
      </c>
      <c r="D362" s="42" t="s">
        <v>159</v>
      </c>
      <c r="E362" s="42" t="s">
        <v>314</v>
      </c>
      <c r="F362" s="2"/>
      <c r="G362" s="11" t="e">
        <f>G363</f>
        <v>#REF!</v>
      </c>
      <c r="H362" s="11" t="e">
        <f t="shared" si="133"/>
        <v>#REF!</v>
      </c>
      <c r="I362" s="11" t="e">
        <f t="shared" si="133"/>
        <v>#REF!</v>
      </c>
      <c r="J362" s="11" t="e">
        <f t="shared" si="133"/>
        <v>#REF!</v>
      </c>
      <c r="K362" s="11" t="e">
        <f t="shared" si="133"/>
        <v>#REF!</v>
      </c>
      <c r="L362" s="11">
        <f t="shared" si="133"/>
        <v>0</v>
      </c>
    </row>
    <row r="363" spans="1:12" ht="15.75" customHeight="1" hidden="1">
      <c r="A363" s="31" t="s">
        <v>315</v>
      </c>
      <c r="B363" s="42" t="s">
        <v>346</v>
      </c>
      <c r="C363" s="42" t="s">
        <v>340</v>
      </c>
      <c r="D363" s="42" t="s">
        <v>159</v>
      </c>
      <c r="E363" s="42" t="s">
        <v>316</v>
      </c>
      <c r="F363" s="2"/>
      <c r="G363" s="11" t="e">
        <f>#REF!</f>
        <v>#REF!</v>
      </c>
      <c r="H363" s="11" t="e">
        <f>#REF!</f>
        <v>#REF!</v>
      </c>
      <c r="I363" s="11" t="e">
        <f>#REF!</f>
        <v>#REF!</v>
      </c>
      <c r="J363" s="11" t="e">
        <f>#REF!</f>
        <v>#REF!</v>
      </c>
      <c r="K363" s="11" t="e">
        <f>#REF!</f>
        <v>#REF!</v>
      </c>
      <c r="L363" s="11">
        <f>'Прил.№5 ведомств.'!G393</f>
        <v>0</v>
      </c>
    </row>
    <row r="364" spans="1:12" ht="31.5" customHeight="1" hidden="1">
      <c r="A364" s="31" t="s">
        <v>666</v>
      </c>
      <c r="B364" s="42" t="s">
        <v>347</v>
      </c>
      <c r="C364" s="42" t="s">
        <v>340</v>
      </c>
      <c r="D364" s="42" t="s">
        <v>159</v>
      </c>
      <c r="E364" s="42"/>
      <c r="F364" s="2"/>
      <c r="G364" s="11" t="e">
        <f>G365</f>
        <v>#REF!</v>
      </c>
      <c r="H364" s="11" t="e">
        <f aca="true" t="shared" si="134" ref="H364:L365">H365</f>
        <v>#REF!</v>
      </c>
      <c r="I364" s="11" t="e">
        <f t="shared" si="134"/>
        <v>#REF!</v>
      </c>
      <c r="J364" s="11" t="e">
        <f t="shared" si="134"/>
        <v>#REF!</v>
      </c>
      <c r="K364" s="11" t="e">
        <f t="shared" si="134"/>
        <v>#REF!</v>
      </c>
      <c r="L364" s="11">
        <f t="shared" si="134"/>
        <v>0</v>
      </c>
    </row>
    <row r="365" spans="1:12" ht="71.25" customHeight="1" hidden="1">
      <c r="A365" s="31" t="s">
        <v>313</v>
      </c>
      <c r="B365" s="42" t="s">
        <v>347</v>
      </c>
      <c r="C365" s="42" t="s">
        <v>340</v>
      </c>
      <c r="D365" s="42" t="s">
        <v>159</v>
      </c>
      <c r="E365" s="42" t="s">
        <v>314</v>
      </c>
      <c r="F365" s="2"/>
      <c r="G365" s="11" t="e">
        <f>G366</f>
        <v>#REF!</v>
      </c>
      <c r="H365" s="11" t="e">
        <f t="shared" si="134"/>
        <v>#REF!</v>
      </c>
      <c r="I365" s="11" t="e">
        <f t="shared" si="134"/>
        <v>#REF!</v>
      </c>
      <c r="J365" s="11" t="e">
        <f t="shared" si="134"/>
        <v>#REF!</v>
      </c>
      <c r="K365" s="11" t="e">
        <f t="shared" si="134"/>
        <v>#REF!</v>
      </c>
      <c r="L365" s="11">
        <f t="shared" si="134"/>
        <v>0</v>
      </c>
    </row>
    <row r="366" spans="1:12" ht="15.75" customHeight="1" hidden="1">
      <c r="A366" s="31" t="s">
        <v>315</v>
      </c>
      <c r="B366" s="42" t="s">
        <v>347</v>
      </c>
      <c r="C366" s="42" t="s">
        <v>340</v>
      </c>
      <c r="D366" s="42" t="s">
        <v>159</v>
      </c>
      <c r="E366" s="42" t="s">
        <v>316</v>
      </c>
      <c r="F366" s="2"/>
      <c r="G366" s="11" t="e">
        <f>#REF!</f>
        <v>#REF!</v>
      </c>
      <c r="H366" s="11" t="e">
        <f>#REF!</f>
        <v>#REF!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>
        <f>'Прил.№5 ведомств.'!G396</f>
        <v>0</v>
      </c>
    </row>
    <row r="367" spans="1:12" ht="15.75" customHeight="1" hidden="1">
      <c r="A367" s="31" t="s">
        <v>348</v>
      </c>
      <c r="B367" s="42" t="s">
        <v>349</v>
      </c>
      <c r="C367" s="42" t="s">
        <v>340</v>
      </c>
      <c r="D367" s="42" t="s">
        <v>159</v>
      </c>
      <c r="E367" s="42"/>
      <c r="F367" s="2"/>
      <c r="G367" s="11" t="e">
        <f>G368</f>
        <v>#REF!</v>
      </c>
      <c r="H367" s="11" t="e">
        <f aca="true" t="shared" si="135" ref="H367:L368">H368</f>
        <v>#REF!</v>
      </c>
      <c r="I367" s="11" t="e">
        <f t="shared" si="135"/>
        <v>#REF!</v>
      </c>
      <c r="J367" s="11" t="e">
        <f t="shared" si="135"/>
        <v>#REF!</v>
      </c>
      <c r="K367" s="11" t="e">
        <f t="shared" si="135"/>
        <v>#REF!</v>
      </c>
      <c r="L367" s="11">
        <f t="shared" si="135"/>
        <v>0</v>
      </c>
    </row>
    <row r="368" spans="1:12" ht="31.5" customHeight="1" hidden="1">
      <c r="A368" s="31" t="s">
        <v>313</v>
      </c>
      <c r="B368" s="42" t="s">
        <v>349</v>
      </c>
      <c r="C368" s="42" t="s">
        <v>340</v>
      </c>
      <c r="D368" s="42" t="s">
        <v>159</v>
      </c>
      <c r="E368" s="42" t="s">
        <v>314</v>
      </c>
      <c r="F368" s="2"/>
      <c r="G368" s="11" t="e">
        <f>G369</f>
        <v>#REF!</v>
      </c>
      <c r="H368" s="11" t="e">
        <f t="shared" si="135"/>
        <v>#REF!</v>
      </c>
      <c r="I368" s="11" t="e">
        <f t="shared" si="135"/>
        <v>#REF!</v>
      </c>
      <c r="J368" s="11" t="e">
        <f t="shared" si="135"/>
        <v>#REF!</v>
      </c>
      <c r="K368" s="11" t="e">
        <f t="shared" si="135"/>
        <v>#REF!</v>
      </c>
      <c r="L368" s="11">
        <f t="shared" si="135"/>
        <v>0</v>
      </c>
    </row>
    <row r="369" spans="1:12" ht="15.75" customHeight="1" hidden="1">
      <c r="A369" s="31" t="s">
        <v>315</v>
      </c>
      <c r="B369" s="42" t="s">
        <v>349</v>
      </c>
      <c r="C369" s="42" t="s">
        <v>340</v>
      </c>
      <c r="D369" s="42" t="s">
        <v>159</v>
      </c>
      <c r="E369" s="42" t="s">
        <v>316</v>
      </c>
      <c r="F369" s="2"/>
      <c r="G369" s="11" t="e">
        <f>#REF!</f>
        <v>#REF!</v>
      </c>
      <c r="H369" s="11" t="e">
        <f>#REF!</f>
        <v>#REF!</v>
      </c>
      <c r="I369" s="11" t="e">
        <f>#REF!</f>
        <v>#REF!</v>
      </c>
      <c r="J369" s="11" t="e">
        <f>#REF!</f>
        <v>#REF!</v>
      </c>
      <c r="K369" s="11" t="e">
        <f>#REF!</f>
        <v>#REF!</v>
      </c>
      <c r="L369" s="11">
        <f>'Прил.№5 ведомств.'!G399</f>
        <v>0</v>
      </c>
    </row>
    <row r="370" spans="1:12" ht="31.5" customHeight="1" hidden="1">
      <c r="A370" s="31" t="s">
        <v>325</v>
      </c>
      <c r="B370" s="42" t="s">
        <v>326</v>
      </c>
      <c r="C370" s="42" t="s">
        <v>340</v>
      </c>
      <c r="D370" s="42" t="s">
        <v>159</v>
      </c>
      <c r="E370" s="42"/>
      <c r="F370" s="2"/>
      <c r="G370" s="11" t="e">
        <f>G371</f>
        <v>#REF!</v>
      </c>
      <c r="H370" s="11" t="e">
        <f aca="true" t="shared" si="136" ref="H370:L371">H371</f>
        <v>#REF!</v>
      </c>
      <c r="I370" s="11" t="e">
        <f t="shared" si="136"/>
        <v>#REF!</v>
      </c>
      <c r="J370" s="11" t="e">
        <f t="shared" si="136"/>
        <v>#REF!</v>
      </c>
      <c r="K370" s="11" t="e">
        <f t="shared" si="136"/>
        <v>#REF!</v>
      </c>
      <c r="L370" s="11">
        <f t="shared" si="136"/>
        <v>0</v>
      </c>
    </row>
    <row r="371" spans="1:12" ht="31.5" customHeight="1" hidden="1">
      <c r="A371" s="31" t="s">
        <v>313</v>
      </c>
      <c r="B371" s="42" t="s">
        <v>326</v>
      </c>
      <c r="C371" s="42" t="s">
        <v>340</v>
      </c>
      <c r="D371" s="42" t="s">
        <v>159</v>
      </c>
      <c r="E371" s="42" t="s">
        <v>314</v>
      </c>
      <c r="F371" s="2"/>
      <c r="G371" s="11" t="e">
        <f>G372</f>
        <v>#REF!</v>
      </c>
      <c r="H371" s="11" t="e">
        <f t="shared" si="136"/>
        <v>#REF!</v>
      </c>
      <c r="I371" s="11" t="e">
        <f t="shared" si="136"/>
        <v>#REF!</v>
      </c>
      <c r="J371" s="11" t="e">
        <f t="shared" si="136"/>
        <v>#REF!</v>
      </c>
      <c r="K371" s="11" t="e">
        <f t="shared" si="136"/>
        <v>#REF!</v>
      </c>
      <c r="L371" s="11">
        <f t="shared" si="136"/>
        <v>0</v>
      </c>
    </row>
    <row r="372" spans="1:12" ht="15.75" customHeight="1" hidden="1">
      <c r="A372" s="31" t="s">
        <v>315</v>
      </c>
      <c r="B372" s="42" t="s">
        <v>326</v>
      </c>
      <c r="C372" s="42" t="s">
        <v>340</v>
      </c>
      <c r="D372" s="42" t="s">
        <v>159</v>
      </c>
      <c r="E372" s="42" t="s">
        <v>316</v>
      </c>
      <c r="F372" s="2"/>
      <c r="G372" s="11" t="e">
        <f>#REF!</f>
        <v>#REF!</v>
      </c>
      <c r="H372" s="11" t="e">
        <f>#REF!</f>
        <v>#REF!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>
        <f>'Прил.№5 ведомств.'!G402</f>
        <v>0</v>
      </c>
    </row>
    <row r="373" spans="1:12" ht="31.5" customHeight="1" hidden="1">
      <c r="A373" s="26" t="s">
        <v>328</v>
      </c>
      <c r="B373" s="21" t="s">
        <v>350</v>
      </c>
      <c r="C373" s="42" t="s">
        <v>340</v>
      </c>
      <c r="D373" s="42" t="s">
        <v>159</v>
      </c>
      <c r="E373" s="42"/>
      <c r="F373" s="2"/>
      <c r="G373" s="11" t="e">
        <f>G374</f>
        <v>#REF!</v>
      </c>
      <c r="H373" s="11" t="e">
        <f aca="true" t="shared" si="137" ref="H373:L374">H374</f>
        <v>#REF!</v>
      </c>
      <c r="I373" s="11" t="e">
        <f t="shared" si="137"/>
        <v>#REF!</v>
      </c>
      <c r="J373" s="11" t="e">
        <f t="shared" si="137"/>
        <v>#REF!</v>
      </c>
      <c r="K373" s="11" t="e">
        <f t="shared" si="137"/>
        <v>#REF!</v>
      </c>
      <c r="L373" s="11">
        <f t="shared" si="137"/>
        <v>0</v>
      </c>
    </row>
    <row r="374" spans="1:12" ht="31.5" customHeight="1" hidden="1">
      <c r="A374" s="26" t="s">
        <v>313</v>
      </c>
      <c r="B374" s="21" t="s">
        <v>350</v>
      </c>
      <c r="C374" s="42" t="s">
        <v>340</v>
      </c>
      <c r="D374" s="42" t="s">
        <v>159</v>
      </c>
      <c r="E374" s="42" t="s">
        <v>314</v>
      </c>
      <c r="F374" s="2"/>
      <c r="G374" s="11" t="e">
        <f>G375</f>
        <v>#REF!</v>
      </c>
      <c r="H374" s="11" t="e">
        <f t="shared" si="137"/>
        <v>#REF!</v>
      </c>
      <c r="I374" s="11" t="e">
        <f t="shared" si="137"/>
        <v>#REF!</v>
      </c>
      <c r="J374" s="11" t="e">
        <f t="shared" si="137"/>
        <v>#REF!</v>
      </c>
      <c r="K374" s="11" t="e">
        <f t="shared" si="137"/>
        <v>#REF!</v>
      </c>
      <c r="L374" s="11">
        <f t="shared" si="137"/>
        <v>0</v>
      </c>
    </row>
    <row r="375" spans="1:12" ht="15.75" customHeight="1" hidden="1">
      <c r="A375" s="26" t="s">
        <v>315</v>
      </c>
      <c r="B375" s="21" t="s">
        <v>350</v>
      </c>
      <c r="C375" s="42" t="s">
        <v>340</v>
      </c>
      <c r="D375" s="42" t="s">
        <v>159</v>
      </c>
      <c r="E375" s="42" t="s">
        <v>316</v>
      </c>
      <c r="F375" s="2"/>
      <c r="G375" s="11" t="e">
        <f>#REF!</f>
        <v>#REF!</v>
      </c>
      <c r="H375" s="11" t="e">
        <f>#REF!</f>
        <v>#REF!</v>
      </c>
      <c r="I375" s="11" t="e">
        <f>#REF!</f>
        <v>#REF!</v>
      </c>
      <c r="J375" s="11" t="e">
        <f>#REF!</f>
        <v>#REF!</v>
      </c>
      <c r="K375" s="11" t="e">
        <f>#REF!</f>
        <v>#REF!</v>
      </c>
      <c r="L375" s="11">
        <f>'Прил.№5 ведомств.'!G405</f>
        <v>0</v>
      </c>
    </row>
    <row r="376" spans="1:12" ht="31.5" customHeight="1" hidden="1">
      <c r="A376" s="31" t="s">
        <v>842</v>
      </c>
      <c r="B376" s="21" t="s">
        <v>847</v>
      </c>
      <c r="C376" s="42" t="s">
        <v>340</v>
      </c>
      <c r="D376" s="42" t="s">
        <v>159</v>
      </c>
      <c r="E376" s="42"/>
      <c r="F376" s="2"/>
      <c r="G376" s="11" t="e">
        <f>G377</f>
        <v>#REF!</v>
      </c>
      <c r="H376" s="11" t="e">
        <f aca="true" t="shared" si="138" ref="H376:L377">H377</f>
        <v>#REF!</v>
      </c>
      <c r="I376" s="11" t="e">
        <f t="shared" si="138"/>
        <v>#REF!</v>
      </c>
      <c r="J376" s="11" t="e">
        <f t="shared" si="138"/>
        <v>#REF!</v>
      </c>
      <c r="K376" s="11" t="e">
        <f t="shared" si="138"/>
        <v>#REF!</v>
      </c>
      <c r="L376" s="11">
        <f t="shared" si="138"/>
        <v>0</v>
      </c>
    </row>
    <row r="377" spans="1:12" ht="31.5" customHeight="1" hidden="1">
      <c r="A377" s="31" t="s">
        <v>313</v>
      </c>
      <c r="B377" s="21" t="s">
        <v>847</v>
      </c>
      <c r="C377" s="42" t="s">
        <v>340</v>
      </c>
      <c r="D377" s="42" t="s">
        <v>159</v>
      </c>
      <c r="E377" s="42" t="s">
        <v>314</v>
      </c>
      <c r="F377" s="2"/>
      <c r="G377" s="11" t="e">
        <f>G378</f>
        <v>#REF!</v>
      </c>
      <c r="H377" s="11" t="e">
        <f t="shared" si="138"/>
        <v>#REF!</v>
      </c>
      <c r="I377" s="11" t="e">
        <f t="shared" si="138"/>
        <v>#REF!</v>
      </c>
      <c r="J377" s="11" t="e">
        <f t="shared" si="138"/>
        <v>#REF!</v>
      </c>
      <c r="K377" s="11" t="e">
        <f t="shared" si="138"/>
        <v>#REF!</v>
      </c>
      <c r="L377" s="11">
        <f t="shared" si="138"/>
        <v>0</v>
      </c>
    </row>
    <row r="378" spans="1:12" ht="15.75" customHeight="1" hidden="1">
      <c r="A378" s="31" t="s">
        <v>315</v>
      </c>
      <c r="B378" s="21" t="s">
        <v>847</v>
      </c>
      <c r="C378" s="42" t="s">
        <v>340</v>
      </c>
      <c r="D378" s="42" t="s">
        <v>159</v>
      </c>
      <c r="E378" s="42" t="s">
        <v>316</v>
      </c>
      <c r="F378" s="2"/>
      <c r="G378" s="11" t="e">
        <f>#REF!</f>
        <v>#REF!</v>
      </c>
      <c r="H378" s="11" t="e">
        <f>#REF!</f>
        <v>#REF!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>
        <f>'Прил.№5 ведомств.'!G408</f>
        <v>0</v>
      </c>
    </row>
    <row r="379" spans="1:12" ht="31.5">
      <c r="A379" s="33" t="s">
        <v>1041</v>
      </c>
      <c r="B379" s="21" t="s">
        <v>1042</v>
      </c>
      <c r="C379" s="42" t="s">
        <v>340</v>
      </c>
      <c r="D379" s="42" t="s">
        <v>159</v>
      </c>
      <c r="E379" s="42"/>
      <c r="F379" s="2"/>
      <c r="G379" s="11"/>
      <c r="H379" s="11"/>
      <c r="I379" s="11"/>
      <c r="J379" s="11"/>
      <c r="K379" s="11"/>
      <c r="L379" s="11">
        <f>L380+L382</f>
        <v>2050</v>
      </c>
    </row>
    <row r="380" spans="1:12" ht="78.75">
      <c r="A380" s="26" t="s">
        <v>168</v>
      </c>
      <c r="B380" s="21" t="s">
        <v>1042</v>
      </c>
      <c r="C380" s="42" t="s">
        <v>340</v>
      </c>
      <c r="D380" s="42" t="s">
        <v>159</v>
      </c>
      <c r="E380" s="42" t="s">
        <v>169</v>
      </c>
      <c r="F380" s="2"/>
      <c r="G380" s="11"/>
      <c r="H380" s="11"/>
      <c r="I380" s="11"/>
      <c r="J380" s="11"/>
      <c r="K380" s="11"/>
      <c r="L380" s="11">
        <f>L381</f>
        <v>925</v>
      </c>
    </row>
    <row r="381" spans="1:12" ht="15.75">
      <c r="A381" s="26" t="s">
        <v>249</v>
      </c>
      <c r="B381" s="21" t="s">
        <v>1042</v>
      </c>
      <c r="C381" s="42" t="s">
        <v>340</v>
      </c>
      <c r="D381" s="42" t="s">
        <v>159</v>
      </c>
      <c r="E381" s="42" t="s">
        <v>250</v>
      </c>
      <c r="F381" s="2"/>
      <c r="G381" s="11"/>
      <c r="H381" s="11"/>
      <c r="I381" s="11"/>
      <c r="J381" s="11"/>
      <c r="K381" s="11"/>
      <c r="L381" s="11">
        <f>'Прил.№5 ведомств.'!G385</f>
        <v>925</v>
      </c>
    </row>
    <row r="382" spans="1:12" ht="31.5">
      <c r="A382" s="26" t="s">
        <v>172</v>
      </c>
      <c r="B382" s="21" t="s">
        <v>1042</v>
      </c>
      <c r="C382" s="42" t="s">
        <v>340</v>
      </c>
      <c r="D382" s="42" t="s">
        <v>159</v>
      </c>
      <c r="E382" s="42" t="s">
        <v>173</v>
      </c>
      <c r="F382" s="2"/>
      <c r="G382" s="11"/>
      <c r="H382" s="11"/>
      <c r="I382" s="11"/>
      <c r="J382" s="11"/>
      <c r="K382" s="11"/>
      <c r="L382" s="11">
        <f>L383</f>
        <v>1125</v>
      </c>
    </row>
    <row r="383" spans="1:12" ht="31.5">
      <c r="A383" s="26" t="s">
        <v>174</v>
      </c>
      <c r="B383" s="21" t="s">
        <v>1042</v>
      </c>
      <c r="C383" s="42" t="s">
        <v>340</v>
      </c>
      <c r="D383" s="42" t="s">
        <v>159</v>
      </c>
      <c r="E383" s="42" t="s">
        <v>175</v>
      </c>
      <c r="F383" s="2"/>
      <c r="G383" s="11"/>
      <c r="H383" s="11"/>
      <c r="I383" s="11"/>
      <c r="J383" s="11"/>
      <c r="K383" s="11"/>
      <c r="L383" s="11">
        <f>'Прил.№5 ведомств.'!G387</f>
        <v>1125</v>
      </c>
    </row>
    <row r="384" spans="1:12" ht="15.75">
      <c r="A384" s="26" t="s">
        <v>990</v>
      </c>
      <c r="B384" s="21" t="s">
        <v>352</v>
      </c>
      <c r="C384" s="42" t="s">
        <v>340</v>
      </c>
      <c r="D384" s="42" t="s">
        <v>159</v>
      </c>
      <c r="E384" s="42"/>
      <c r="F384" s="2"/>
      <c r="G384" s="11"/>
      <c r="H384" s="11"/>
      <c r="I384" s="11"/>
      <c r="J384" s="11"/>
      <c r="K384" s="11"/>
      <c r="L384" s="11">
        <f>L385+L387+L389</f>
        <v>23874.600000000002</v>
      </c>
    </row>
    <row r="385" spans="1:12" ht="78.75">
      <c r="A385" s="26" t="s">
        <v>168</v>
      </c>
      <c r="B385" s="21" t="s">
        <v>352</v>
      </c>
      <c r="C385" s="42" t="s">
        <v>340</v>
      </c>
      <c r="D385" s="42" t="s">
        <v>159</v>
      </c>
      <c r="E385" s="42" t="s">
        <v>169</v>
      </c>
      <c r="F385" s="2"/>
      <c r="G385" s="11"/>
      <c r="H385" s="11"/>
      <c r="I385" s="11"/>
      <c r="J385" s="11"/>
      <c r="K385" s="11"/>
      <c r="L385" s="11">
        <f>L386</f>
        <v>18085.4</v>
      </c>
    </row>
    <row r="386" spans="1:12" ht="15.75">
      <c r="A386" s="26" t="s">
        <v>249</v>
      </c>
      <c r="B386" s="21" t="s">
        <v>352</v>
      </c>
      <c r="C386" s="42" t="s">
        <v>340</v>
      </c>
      <c r="D386" s="42" t="s">
        <v>159</v>
      </c>
      <c r="E386" s="42" t="s">
        <v>250</v>
      </c>
      <c r="F386" s="2"/>
      <c r="G386" s="11"/>
      <c r="H386" s="11"/>
      <c r="I386" s="11"/>
      <c r="J386" s="11"/>
      <c r="K386" s="11"/>
      <c r="L386" s="11">
        <f>'Прил.№5 ведомств.'!G418</f>
        <v>18085.4</v>
      </c>
    </row>
    <row r="387" spans="1:12" ht="31.5">
      <c r="A387" s="26" t="s">
        <v>172</v>
      </c>
      <c r="B387" s="21" t="s">
        <v>352</v>
      </c>
      <c r="C387" s="42" t="s">
        <v>340</v>
      </c>
      <c r="D387" s="42" t="s">
        <v>159</v>
      </c>
      <c r="E387" s="42" t="s">
        <v>173</v>
      </c>
      <c r="F387" s="2"/>
      <c r="G387" s="11"/>
      <c r="H387" s="11"/>
      <c r="I387" s="11"/>
      <c r="J387" s="11"/>
      <c r="K387" s="11"/>
      <c r="L387" s="11">
        <f>L388</f>
        <v>5681.2</v>
      </c>
    </row>
    <row r="388" spans="1:12" ht="31.5">
      <c r="A388" s="26" t="s">
        <v>174</v>
      </c>
      <c r="B388" s="21" t="s">
        <v>352</v>
      </c>
      <c r="C388" s="42" t="s">
        <v>340</v>
      </c>
      <c r="D388" s="42" t="s">
        <v>159</v>
      </c>
      <c r="E388" s="42" t="s">
        <v>175</v>
      </c>
      <c r="F388" s="2"/>
      <c r="G388" s="11"/>
      <c r="H388" s="11"/>
      <c r="I388" s="11"/>
      <c r="J388" s="11"/>
      <c r="K388" s="11"/>
      <c r="L388" s="11">
        <f>'Прил.№5 ведомств.'!G420</f>
        <v>5681.2</v>
      </c>
    </row>
    <row r="389" spans="1:12" ht="15.75" customHeight="1">
      <c r="A389" s="26" t="s">
        <v>176</v>
      </c>
      <c r="B389" s="21" t="s">
        <v>352</v>
      </c>
      <c r="C389" s="42" t="s">
        <v>340</v>
      </c>
      <c r="D389" s="42" t="s">
        <v>159</v>
      </c>
      <c r="E389" s="42" t="s">
        <v>186</v>
      </c>
      <c r="F389" s="2"/>
      <c r="G389" s="11"/>
      <c r="H389" s="11"/>
      <c r="I389" s="11"/>
      <c r="J389" s="11"/>
      <c r="K389" s="11"/>
      <c r="L389" s="11">
        <f>L390</f>
        <v>108</v>
      </c>
    </row>
    <row r="390" spans="1:12" ht="15.75" customHeight="1">
      <c r="A390" s="26" t="s">
        <v>178</v>
      </c>
      <c r="B390" s="21" t="s">
        <v>352</v>
      </c>
      <c r="C390" s="42" t="s">
        <v>340</v>
      </c>
      <c r="D390" s="42" t="s">
        <v>159</v>
      </c>
      <c r="E390" s="42" t="s">
        <v>179</v>
      </c>
      <c r="F390" s="2"/>
      <c r="G390" s="11"/>
      <c r="H390" s="11"/>
      <c r="I390" s="11"/>
      <c r="J390" s="11"/>
      <c r="K390" s="11"/>
      <c r="L390" s="11">
        <f>'Прил.№5 ведомств.'!G422</f>
        <v>108</v>
      </c>
    </row>
    <row r="391" spans="1:12" ht="47.25">
      <c r="A391" s="47" t="s">
        <v>302</v>
      </c>
      <c r="B391" s="42" t="s">
        <v>343</v>
      </c>
      <c r="C391" s="42"/>
      <c r="D391" s="42"/>
      <c r="E391" s="42"/>
      <c r="F391" s="2">
        <v>903</v>
      </c>
      <c r="G391" s="11" t="e">
        <f aca="true" t="shared" si="139" ref="G391:L391">G355</f>
        <v>#REF!</v>
      </c>
      <c r="H391" s="11" t="e">
        <f t="shared" si="139"/>
        <v>#REF!</v>
      </c>
      <c r="I391" s="11" t="e">
        <f t="shared" si="139"/>
        <v>#REF!</v>
      </c>
      <c r="J391" s="11" t="e">
        <f t="shared" si="139"/>
        <v>#REF!</v>
      </c>
      <c r="K391" s="11" t="e">
        <f t="shared" si="139"/>
        <v>#REF!</v>
      </c>
      <c r="L391" s="11">
        <f t="shared" si="139"/>
        <v>25924.600000000002</v>
      </c>
    </row>
    <row r="392" spans="1:12" ht="31.5">
      <c r="A392" s="43" t="s">
        <v>353</v>
      </c>
      <c r="B392" s="8" t="s">
        <v>354</v>
      </c>
      <c r="C392" s="8"/>
      <c r="D392" s="8"/>
      <c r="E392" s="8"/>
      <c r="F392" s="85"/>
      <c r="G392" s="66" t="e">
        <f>G393</f>
        <v>#REF!</v>
      </c>
      <c r="H392" s="66" t="e">
        <f aca="true" t="shared" si="140" ref="H392:L393">H393</f>
        <v>#REF!</v>
      </c>
      <c r="I392" s="66" t="e">
        <f t="shared" si="140"/>
        <v>#REF!</v>
      </c>
      <c r="J392" s="66" t="e">
        <f t="shared" si="140"/>
        <v>#REF!</v>
      </c>
      <c r="K392" s="66" t="e">
        <f t="shared" si="140"/>
        <v>#REF!</v>
      </c>
      <c r="L392" s="66">
        <f>L393</f>
        <v>19518.699999999997</v>
      </c>
    </row>
    <row r="393" spans="1:12" ht="15.75">
      <c r="A393" s="83" t="s">
        <v>339</v>
      </c>
      <c r="B393" s="42" t="s">
        <v>354</v>
      </c>
      <c r="C393" s="42" t="s">
        <v>340</v>
      </c>
      <c r="D393" s="42"/>
      <c r="E393" s="8"/>
      <c r="F393" s="85"/>
      <c r="G393" s="11" t="e">
        <f>G394</f>
        <v>#REF!</v>
      </c>
      <c r="H393" s="11" t="e">
        <f t="shared" si="140"/>
        <v>#REF!</v>
      </c>
      <c r="I393" s="11" t="e">
        <f t="shared" si="140"/>
        <v>#REF!</v>
      </c>
      <c r="J393" s="11" t="e">
        <f t="shared" si="140"/>
        <v>#REF!</v>
      </c>
      <c r="K393" s="11" t="e">
        <f t="shared" si="140"/>
        <v>#REF!</v>
      </c>
      <c r="L393" s="11">
        <f t="shared" si="140"/>
        <v>19518.699999999997</v>
      </c>
    </row>
    <row r="394" spans="1:12" ht="15.75">
      <c r="A394" s="83" t="s">
        <v>341</v>
      </c>
      <c r="B394" s="42" t="s">
        <v>354</v>
      </c>
      <c r="C394" s="42" t="s">
        <v>340</v>
      </c>
      <c r="D394" s="42" t="s">
        <v>159</v>
      </c>
      <c r="E394" s="8"/>
      <c r="F394" s="85"/>
      <c r="G394" s="11" t="e">
        <f>G401+G420+G425+G404+G428+G431</f>
        <v>#REF!</v>
      </c>
      <c r="H394" s="11" t="e">
        <f>H401+H420+H425+H404+H428+H431</f>
        <v>#REF!</v>
      </c>
      <c r="I394" s="11" t="e">
        <f>I401+I420+I425+I404+I428+I431</f>
        <v>#REF!</v>
      </c>
      <c r="J394" s="11" t="e">
        <f>J401+J420+J425+J404+J428+J431</f>
        <v>#REF!</v>
      </c>
      <c r="K394" s="11" t="e">
        <f>K401+K420+K425+K404+K428+K431</f>
        <v>#REF!</v>
      </c>
      <c r="L394" s="11">
        <f>L401+L420+L425+L404+L428+L431+L434+L395+L398</f>
        <v>19518.699999999997</v>
      </c>
    </row>
    <row r="395" spans="1:12" ht="15.75">
      <c r="A395" s="26" t="s">
        <v>370</v>
      </c>
      <c r="B395" s="21" t="s">
        <v>357</v>
      </c>
      <c r="C395" s="42" t="s">
        <v>340</v>
      </c>
      <c r="D395" s="42" t="s">
        <v>159</v>
      </c>
      <c r="E395" s="8"/>
      <c r="F395" s="85"/>
      <c r="G395" s="11"/>
      <c r="H395" s="11"/>
      <c r="I395" s="11"/>
      <c r="J395" s="11"/>
      <c r="K395" s="11"/>
      <c r="L395" s="11">
        <f>L396</f>
        <v>3.5</v>
      </c>
    </row>
    <row r="396" spans="1:12" ht="31.5">
      <c r="A396" s="26" t="s">
        <v>172</v>
      </c>
      <c r="B396" s="21" t="s">
        <v>357</v>
      </c>
      <c r="C396" s="42" t="s">
        <v>340</v>
      </c>
      <c r="D396" s="42" t="s">
        <v>159</v>
      </c>
      <c r="E396" s="42" t="s">
        <v>173</v>
      </c>
      <c r="F396" s="85"/>
      <c r="G396" s="11"/>
      <c r="H396" s="11"/>
      <c r="I396" s="11"/>
      <c r="J396" s="11"/>
      <c r="K396" s="11"/>
      <c r="L396" s="11">
        <f>L397</f>
        <v>3.5</v>
      </c>
    </row>
    <row r="397" spans="1:12" ht="31.5">
      <c r="A397" s="26" t="s">
        <v>174</v>
      </c>
      <c r="B397" s="21" t="s">
        <v>357</v>
      </c>
      <c r="C397" s="42" t="s">
        <v>340</v>
      </c>
      <c r="D397" s="42" t="s">
        <v>159</v>
      </c>
      <c r="E397" s="42" t="s">
        <v>175</v>
      </c>
      <c r="F397" s="85"/>
      <c r="G397" s="11"/>
      <c r="H397" s="11"/>
      <c r="I397" s="11"/>
      <c r="J397" s="11"/>
      <c r="K397" s="11"/>
      <c r="L397" s="11">
        <f>'Прил.№5 ведомств.'!G426</f>
        <v>3.5</v>
      </c>
    </row>
    <row r="398" spans="1:12" ht="31.5">
      <c r="A398" s="26" t="s">
        <v>1057</v>
      </c>
      <c r="B398" s="21" t="s">
        <v>1058</v>
      </c>
      <c r="C398" s="42" t="s">
        <v>340</v>
      </c>
      <c r="D398" s="42" t="s">
        <v>159</v>
      </c>
      <c r="E398" s="8"/>
      <c r="F398" s="85"/>
      <c r="G398" s="11"/>
      <c r="H398" s="11"/>
      <c r="I398" s="11"/>
      <c r="J398" s="11"/>
      <c r="K398" s="11"/>
      <c r="L398" s="11">
        <f>L399</f>
        <v>227.5</v>
      </c>
    </row>
    <row r="399" spans="1:12" ht="31.5">
      <c r="A399" s="26" t="s">
        <v>172</v>
      </c>
      <c r="B399" s="21" t="s">
        <v>1058</v>
      </c>
      <c r="C399" s="42" t="s">
        <v>340</v>
      </c>
      <c r="D399" s="42" t="s">
        <v>159</v>
      </c>
      <c r="E399" s="42" t="s">
        <v>173</v>
      </c>
      <c r="F399" s="85"/>
      <c r="G399" s="11"/>
      <c r="H399" s="11"/>
      <c r="I399" s="11"/>
      <c r="J399" s="11"/>
      <c r="K399" s="11"/>
      <c r="L399" s="11">
        <f>L400</f>
        <v>227.5</v>
      </c>
    </row>
    <row r="400" spans="1:12" ht="31.5">
      <c r="A400" s="26" t="s">
        <v>174</v>
      </c>
      <c r="B400" s="21" t="s">
        <v>1058</v>
      </c>
      <c r="C400" s="42" t="s">
        <v>340</v>
      </c>
      <c r="D400" s="42" t="s">
        <v>159</v>
      </c>
      <c r="E400" s="42" t="s">
        <v>175</v>
      </c>
      <c r="F400" s="85"/>
      <c r="G400" s="11"/>
      <c r="H400" s="11"/>
      <c r="I400" s="11"/>
      <c r="J400" s="11"/>
      <c r="K400" s="11"/>
      <c r="L400" s="11">
        <f>'Прил.№5 ведомств.'!G429</f>
        <v>227.5</v>
      </c>
    </row>
    <row r="401" spans="1:12" ht="31.5" customHeight="1" hidden="1">
      <c r="A401" s="31" t="s">
        <v>344</v>
      </c>
      <c r="B401" s="42" t="s">
        <v>355</v>
      </c>
      <c r="C401" s="42" t="s">
        <v>340</v>
      </c>
      <c r="D401" s="42" t="s">
        <v>159</v>
      </c>
      <c r="E401" s="42"/>
      <c r="F401" s="84"/>
      <c r="G401" s="11" t="e">
        <f>G402</f>
        <v>#REF!</v>
      </c>
      <c r="H401" s="11" t="e">
        <f aca="true" t="shared" si="141" ref="H401:L402">H402</f>
        <v>#REF!</v>
      </c>
      <c r="I401" s="11" t="e">
        <f t="shared" si="141"/>
        <v>#REF!</v>
      </c>
      <c r="J401" s="11" t="e">
        <f t="shared" si="141"/>
        <v>#REF!</v>
      </c>
      <c r="K401" s="11" t="e">
        <f t="shared" si="141"/>
        <v>#REF!</v>
      </c>
      <c r="L401" s="11">
        <f t="shared" si="141"/>
        <v>0</v>
      </c>
    </row>
    <row r="402" spans="1:12" ht="31.5" customHeight="1" hidden="1">
      <c r="A402" s="31" t="s">
        <v>313</v>
      </c>
      <c r="B402" s="42" t="s">
        <v>355</v>
      </c>
      <c r="C402" s="42" t="s">
        <v>340</v>
      </c>
      <c r="D402" s="42" t="s">
        <v>159</v>
      </c>
      <c r="E402" s="42" t="s">
        <v>314</v>
      </c>
      <c r="F402" s="84"/>
      <c r="G402" s="11" t="e">
        <f>G403</f>
        <v>#REF!</v>
      </c>
      <c r="H402" s="11" t="e">
        <f t="shared" si="141"/>
        <v>#REF!</v>
      </c>
      <c r="I402" s="11" t="e">
        <f t="shared" si="141"/>
        <v>#REF!</v>
      </c>
      <c r="J402" s="11" t="e">
        <f t="shared" si="141"/>
        <v>#REF!</v>
      </c>
      <c r="K402" s="11" t="e">
        <f t="shared" si="141"/>
        <v>#REF!</v>
      </c>
      <c r="L402" s="11">
        <f t="shared" si="141"/>
        <v>0</v>
      </c>
    </row>
    <row r="403" spans="1:12" ht="15.75" customHeight="1" hidden="1">
      <c r="A403" s="31" t="s">
        <v>315</v>
      </c>
      <c r="B403" s="42" t="s">
        <v>355</v>
      </c>
      <c r="C403" s="42" t="s">
        <v>340</v>
      </c>
      <c r="D403" s="42" t="s">
        <v>159</v>
      </c>
      <c r="E403" s="42" t="s">
        <v>316</v>
      </c>
      <c r="F403" s="84"/>
      <c r="G403" s="7" t="e">
        <f>#REF!</f>
        <v>#REF!</v>
      </c>
      <c r="H403" s="7" t="e">
        <f>#REF!</f>
        <v>#REF!</v>
      </c>
      <c r="I403" s="7" t="e">
        <f>#REF!</f>
        <v>#REF!</v>
      </c>
      <c r="J403" s="7" t="e">
        <f>#REF!</f>
        <v>#REF!</v>
      </c>
      <c r="K403" s="7" t="e">
        <f>#REF!</f>
        <v>#REF!</v>
      </c>
      <c r="L403" s="7">
        <f>'Прил.№5 ведомств.'!G432</f>
        <v>0</v>
      </c>
    </row>
    <row r="404" spans="1:12" ht="47.25" customHeight="1" hidden="1">
      <c r="A404" s="31" t="s">
        <v>317</v>
      </c>
      <c r="B404" s="42" t="s">
        <v>358</v>
      </c>
      <c r="C404" s="42" t="s">
        <v>340</v>
      </c>
      <c r="D404" s="42" t="s">
        <v>159</v>
      </c>
      <c r="E404" s="42"/>
      <c r="F404" s="84"/>
      <c r="G404" s="11">
        <f>G405</f>
        <v>0</v>
      </c>
      <c r="H404" s="11">
        <f aca="true" t="shared" si="142" ref="H404:L405">H405</f>
        <v>0</v>
      </c>
      <c r="I404" s="11">
        <f t="shared" si="142"/>
        <v>0</v>
      </c>
      <c r="J404" s="11">
        <f t="shared" si="142"/>
        <v>0</v>
      </c>
      <c r="K404" s="11">
        <f t="shared" si="142"/>
        <v>0</v>
      </c>
      <c r="L404" s="11">
        <f t="shared" si="142"/>
        <v>0</v>
      </c>
    </row>
    <row r="405" spans="1:12" ht="31.5" customHeight="1" hidden="1">
      <c r="A405" s="31" t="s">
        <v>313</v>
      </c>
      <c r="B405" s="42" t="s">
        <v>358</v>
      </c>
      <c r="C405" s="42" t="s">
        <v>340</v>
      </c>
      <c r="D405" s="42" t="s">
        <v>159</v>
      </c>
      <c r="E405" s="42" t="s">
        <v>314</v>
      </c>
      <c r="F405" s="84"/>
      <c r="G405" s="11">
        <f>G406</f>
        <v>0</v>
      </c>
      <c r="H405" s="11">
        <f t="shared" si="142"/>
        <v>0</v>
      </c>
      <c r="I405" s="11">
        <f t="shared" si="142"/>
        <v>0</v>
      </c>
      <c r="J405" s="11">
        <f t="shared" si="142"/>
        <v>0</v>
      </c>
      <c r="K405" s="11">
        <f t="shared" si="142"/>
        <v>0</v>
      </c>
      <c r="L405" s="11">
        <f t="shared" si="142"/>
        <v>0</v>
      </c>
    </row>
    <row r="406" spans="1:12" ht="15.75" customHeight="1" hidden="1">
      <c r="A406" s="31" t="s">
        <v>315</v>
      </c>
      <c r="B406" s="42" t="s">
        <v>358</v>
      </c>
      <c r="C406" s="42" t="s">
        <v>340</v>
      </c>
      <c r="D406" s="42" t="s">
        <v>159</v>
      </c>
      <c r="E406" s="42" t="s">
        <v>316</v>
      </c>
      <c r="F406" s="84"/>
      <c r="G406" s="11"/>
      <c r="H406" s="11"/>
      <c r="I406" s="11"/>
      <c r="J406" s="11"/>
      <c r="K406" s="11"/>
      <c r="L406" s="11"/>
    </row>
    <row r="407" spans="1:12" ht="47.25" customHeight="1" hidden="1">
      <c r="A407" s="47" t="s">
        <v>302</v>
      </c>
      <c r="B407" s="42" t="s">
        <v>712</v>
      </c>
      <c r="C407" s="42" t="s">
        <v>340</v>
      </c>
      <c r="D407" s="42" t="s">
        <v>159</v>
      </c>
      <c r="E407" s="42"/>
      <c r="F407" s="2">
        <v>903</v>
      </c>
      <c r="G407" s="11">
        <f aca="true" t="shared" si="143" ref="G407:L407">G404</f>
        <v>0</v>
      </c>
      <c r="H407" s="11">
        <f t="shared" si="143"/>
        <v>0</v>
      </c>
      <c r="I407" s="11">
        <f t="shared" si="143"/>
        <v>0</v>
      </c>
      <c r="J407" s="11">
        <f t="shared" si="143"/>
        <v>0</v>
      </c>
      <c r="K407" s="11">
        <f t="shared" si="143"/>
        <v>0</v>
      </c>
      <c r="L407" s="11">
        <f t="shared" si="143"/>
        <v>0</v>
      </c>
    </row>
    <row r="408" spans="1:12" ht="31.5" customHeight="1" hidden="1">
      <c r="A408" s="26" t="s">
        <v>319</v>
      </c>
      <c r="B408" s="42" t="s">
        <v>359</v>
      </c>
      <c r="C408" s="42" t="s">
        <v>340</v>
      </c>
      <c r="D408" s="42" t="s">
        <v>159</v>
      </c>
      <c r="E408" s="42"/>
      <c r="F408" s="84"/>
      <c r="G408" s="11">
        <f>G409</f>
        <v>0</v>
      </c>
      <c r="H408" s="11">
        <f aca="true" t="shared" si="144" ref="H408:L409">H409</f>
        <v>0</v>
      </c>
      <c r="I408" s="11">
        <f t="shared" si="144"/>
        <v>0</v>
      </c>
      <c r="J408" s="11">
        <f t="shared" si="144"/>
        <v>0</v>
      </c>
      <c r="K408" s="11">
        <f t="shared" si="144"/>
        <v>0</v>
      </c>
      <c r="L408" s="11">
        <f t="shared" si="144"/>
        <v>0</v>
      </c>
    </row>
    <row r="409" spans="1:12" ht="31.5" customHeight="1" hidden="1">
      <c r="A409" s="31" t="s">
        <v>313</v>
      </c>
      <c r="B409" s="42" t="s">
        <v>359</v>
      </c>
      <c r="C409" s="42" t="s">
        <v>340</v>
      </c>
      <c r="D409" s="42" t="s">
        <v>159</v>
      </c>
      <c r="E409" s="42" t="s">
        <v>314</v>
      </c>
      <c r="F409" s="84"/>
      <c r="G409" s="11">
        <f>G410</f>
        <v>0</v>
      </c>
      <c r="H409" s="11">
        <f t="shared" si="144"/>
        <v>0</v>
      </c>
      <c r="I409" s="11">
        <f t="shared" si="144"/>
        <v>0</v>
      </c>
      <c r="J409" s="11">
        <f t="shared" si="144"/>
        <v>0</v>
      </c>
      <c r="K409" s="11">
        <f t="shared" si="144"/>
        <v>0</v>
      </c>
      <c r="L409" s="11">
        <f t="shared" si="144"/>
        <v>0</v>
      </c>
    </row>
    <row r="410" spans="1:12" ht="35.25" customHeight="1" hidden="1">
      <c r="A410" s="31" t="s">
        <v>315</v>
      </c>
      <c r="B410" s="42" t="s">
        <v>359</v>
      </c>
      <c r="C410" s="42" t="s">
        <v>340</v>
      </c>
      <c r="D410" s="42" t="s">
        <v>159</v>
      </c>
      <c r="E410" s="42" t="s">
        <v>316</v>
      </c>
      <c r="F410" s="84"/>
      <c r="G410" s="11"/>
      <c r="H410" s="11"/>
      <c r="I410" s="11"/>
      <c r="J410" s="11"/>
      <c r="K410" s="11"/>
      <c r="L410" s="11"/>
    </row>
    <row r="411" spans="1:12" ht="47.25" customHeight="1" hidden="1">
      <c r="A411" s="47" t="s">
        <v>302</v>
      </c>
      <c r="B411" s="42" t="s">
        <v>359</v>
      </c>
      <c r="C411" s="42" t="s">
        <v>340</v>
      </c>
      <c r="D411" s="42" t="s">
        <v>159</v>
      </c>
      <c r="E411" s="42"/>
      <c r="F411" s="2">
        <v>903</v>
      </c>
      <c r="G411" s="11">
        <f aca="true" t="shared" si="145" ref="G411:L411">G408</f>
        <v>0</v>
      </c>
      <c r="H411" s="11">
        <f t="shared" si="145"/>
        <v>0</v>
      </c>
      <c r="I411" s="11">
        <f t="shared" si="145"/>
        <v>0</v>
      </c>
      <c r="J411" s="11">
        <f t="shared" si="145"/>
        <v>0</v>
      </c>
      <c r="K411" s="11">
        <f t="shared" si="145"/>
        <v>0</v>
      </c>
      <c r="L411" s="11">
        <f t="shared" si="145"/>
        <v>0</v>
      </c>
    </row>
    <row r="412" spans="1:12" ht="15.75" customHeight="1" hidden="1">
      <c r="A412" s="31" t="s">
        <v>713</v>
      </c>
      <c r="B412" s="42" t="s">
        <v>360</v>
      </c>
      <c r="C412" s="42" t="s">
        <v>340</v>
      </c>
      <c r="D412" s="42" t="s">
        <v>159</v>
      </c>
      <c r="E412" s="42"/>
      <c r="F412" s="84"/>
      <c r="G412" s="11">
        <f>G413</f>
        <v>0</v>
      </c>
      <c r="H412" s="11">
        <f aca="true" t="shared" si="146" ref="H412:L413">H413</f>
        <v>0</v>
      </c>
      <c r="I412" s="11">
        <f t="shared" si="146"/>
        <v>0</v>
      </c>
      <c r="J412" s="11">
        <f t="shared" si="146"/>
        <v>0</v>
      </c>
      <c r="K412" s="11">
        <f t="shared" si="146"/>
        <v>0</v>
      </c>
      <c r="L412" s="11">
        <f t="shared" si="146"/>
        <v>0</v>
      </c>
    </row>
    <row r="413" spans="1:12" ht="31.5" customHeight="1" hidden="1">
      <c r="A413" s="31" t="s">
        <v>313</v>
      </c>
      <c r="B413" s="42" t="s">
        <v>360</v>
      </c>
      <c r="C413" s="42" t="s">
        <v>340</v>
      </c>
      <c r="D413" s="42" t="s">
        <v>159</v>
      </c>
      <c r="E413" s="42" t="s">
        <v>314</v>
      </c>
      <c r="F413" s="84"/>
      <c r="G413" s="11">
        <f>G414</f>
        <v>0</v>
      </c>
      <c r="H413" s="11">
        <f t="shared" si="146"/>
        <v>0</v>
      </c>
      <c r="I413" s="11">
        <f t="shared" si="146"/>
        <v>0</v>
      </c>
      <c r="J413" s="11">
        <f t="shared" si="146"/>
        <v>0</v>
      </c>
      <c r="K413" s="11">
        <f t="shared" si="146"/>
        <v>0</v>
      </c>
      <c r="L413" s="11">
        <f t="shared" si="146"/>
        <v>0</v>
      </c>
    </row>
    <row r="414" spans="1:12" ht="15.75" customHeight="1" hidden="1">
      <c r="A414" s="31" t="s">
        <v>315</v>
      </c>
      <c r="B414" s="42" t="s">
        <v>360</v>
      </c>
      <c r="C414" s="42" t="s">
        <v>340</v>
      </c>
      <c r="D414" s="42" t="s">
        <v>159</v>
      </c>
      <c r="E414" s="42" t="s">
        <v>316</v>
      </c>
      <c r="F414" s="84"/>
      <c r="G414" s="11"/>
      <c r="H414" s="11"/>
      <c r="I414" s="11"/>
      <c r="J414" s="11"/>
      <c r="K414" s="11"/>
      <c r="L414" s="11"/>
    </row>
    <row r="415" spans="1:12" ht="47.25" customHeight="1" hidden="1">
      <c r="A415" s="47" t="s">
        <v>302</v>
      </c>
      <c r="B415" s="42" t="s">
        <v>360</v>
      </c>
      <c r="C415" s="42" t="s">
        <v>340</v>
      </c>
      <c r="D415" s="42" t="s">
        <v>159</v>
      </c>
      <c r="E415" s="42"/>
      <c r="F415" s="2">
        <v>903</v>
      </c>
      <c r="G415" s="11">
        <f aca="true" t="shared" si="147" ref="G415:L415">G412</f>
        <v>0</v>
      </c>
      <c r="H415" s="11">
        <f t="shared" si="147"/>
        <v>0</v>
      </c>
      <c r="I415" s="11">
        <f t="shared" si="147"/>
        <v>0</v>
      </c>
      <c r="J415" s="11">
        <f t="shared" si="147"/>
        <v>0</v>
      </c>
      <c r="K415" s="11">
        <f t="shared" si="147"/>
        <v>0</v>
      </c>
      <c r="L415" s="11">
        <f t="shared" si="147"/>
        <v>0</v>
      </c>
    </row>
    <row r="416" spans="1:12" ht="31.5" customHeight="1" hidden="1">
      <c r="A416" s="31" t="s">
        <v>325</v>
      </c>
      <c r="B416" s="42" t="s">
        <v>667</v>
      </c>
      <c r="C416" s="42" t="s">
        <v>340</v>
      </c>
      <c r="D416" s="42" t="s">
        <v>159</v>
      </c>
      <c r="E416" s="42"/>
      <c r="F416" s="84"/>
      <c r="G416" s="11">
        <f>G417</f>
        <v>0</v>
      </c>
      <c r="H416" s="11">
        <f aca="true" t="shared" si="148" ref="H416:L417">H417</f>
        <v>0</v>
      </c>
      <c r="I416" s="11">
        <f t="shared" si="148"/>
        <v>0</v>
      </c>
      <c r="J416" s="11">
        <f t="shared" si="148"/>
        <v>0</v>
      </c>
      <c r="K416" s="11">
        <f t="shared" si="148"/>
        <v>0</v>
      </c>
      <c r="L416" s="11">
        <f t="shared" si="148"/>
        <v>0</v>
      </c>
    </row>
    <row r="417" spans="1:12" ht="31.5" customHeight="1" hidden="1">
      <c r="A417" s="31" t="s">
        <v>313</v>
      </c>
      <c r="B417" s="42" t="s">
        <v>667</v>
      </c>
      <c r="C417" s="42" t="s">
        <v>340</v>
      </c>
      <c r="D417" s="42" t="s">
        <v>159</v>
      </c>
      <c r="E417" s="42" t="s">
        <v>314</v>
      </c>
      <c r="F417" s="84"/>
      <c r="G417" s="11">
        <f>G418</f>
        <v>0</v>
      </c>
      <c r="H417" s="11">
        <f t="shared" si="148"/>
        <v>0</v>
      </c>
      <c r="I417" s="11">
        <f t="shared" si="148"/>
        <v>0</v>
      </c>
      <c r="J417" s="11">
        <f t="shared" si="148"/>
        <v>0</v>
      </c>
      <c r="K417" s="11">
        <f t="shared" si="148"/>
        <v>0</v>
      </c>
      <c r="L417" s="11">
        <f t="shared" si="148"/>
        <v>0</v>
      </c>
    </row>
    <row r="418" spans="1:12" ht="15.75" customHeight="1" hidden="1">
      <c r="A418" s="31" t="s">
        <v>315</v>
      </c>
      <c r="B418" s="42" t="s">
        <v>667</v>
      </c>
      <c r="C418" s="42" t="s">
        <v>340</v>
      </c>
      <c r="D418" s="42" t="s">
        <v>159</v>
      </c>
      <c r="E418" s="42" t="s">
        <v>316</v>
      </c>
      <c r="F418" s="84"/>
      <c r="G418" s="11"/>
      <c r="H418" s="11"/>
      <c r="I418" s="11"/>
      <c r="J418" s="11"/>
      <c r="K418" s="11"/>
      <c r="L418" s="11"/>
    </row>
    <row r="419" spans="1:12" ht="47.25" customHeight="1" hidden="1">
      <c r="A419" s="47" t="s">
        <v>302</v>
      </c>
      <c r="B419" s="42" t="s">
        <v>667</v>
      </c>
      <c r="C419" s="42" t="s">
        <v>340</v>
      </c>
      <c r="D419" s="42" t="s">
        <v>159</v>
      </c>
      <c r="E419" s="42"/>
      <c r="F419" s="2">
        <v>903</v>
      </c>
      <c r="G419" s="11">
        <f aca="true" t="shared" si="149" ref="G419:L419">G416</f>
        <v>0</v>
      </c>
      <c r="H419" s="11">
        <f t="shared" si="149"/>
        <v>0</v>
      </c>
      <c r="I419" s="11">
        <f t="shared" si="149"/>
        <v>0</v>
      </c>
      <c r="J419" s="11">
        <f t="shared" si="149"/>
        <v>0</v>
      </c>
      <c r="K419" s="11">
        <f t="shared" si="149"/>
        <v>0</v>
      </c>
      <c r="L419" s="11">
        <f t="shared" si="149"/>
        <v>0</v>
      </c>
    </row>
    <row r="420" spans="1:12" ht="15.75" customHeight="1" hidden="1">
      <c r="A420" s="47" t="s">
        <v>714</v>
      </c>
      <c r="B420" s="42" t="s">
        <v>357</v>
      </c>
      <c r="C420" s="42" t="s">
        <v>340</v>
      </c>
      <c r="D420" s="42" t="s">
        <v>159</v>
      </c>
      <c r="E420" s="42"/>
      <c r="F420" s="2"/>
      <c r="G420" s="11" t="e">
        <f aca="true" t="shared" si="150" ref="G420:L420">G421+G423</f>
        <v>#REF!</v>
      </c>
      <c r="H420" s="11" t="e">
        <f t="shared" si="150"/>
        <v>#REF!</v>
      </c>
      <c r="I420" s="11" t="e">
        <f t="shared" si="150"/>
        <v>#REF!</v>
      </c>
      <c r="J420" s="11" t="e">
        <f t="shared" si="150"/>
        <v>#REF!</v>
      </c>
      <c r="K420" s="11" t="e">
        <f t="shared" si="150"/>
        <v>#REF!</v>
      </c>
      <c r="L420" s="11">
        <f t="shared" si="150"/>
        <v>0</v>
      </c>
    </row>
    <row r="421" spans="1:12" ht="31.5" customHeight="1" hidden="1">
      <c r="A421" s="31" t="s">
        <v>172</v>
      </c>
      <c r="B421" s="42" t="s">
        <v>357</v>
      </c>
      <c r="C421" s="42" t="s">
        <v>340</v>
      </c>
      <c r="D421" s="42" t="s">
        <v>159</v>
      </c>
      <c r="E421" s="42" t="s">
        <v>173</v>
      </c>
      <c r="F421" s="2"/>
      <c r="G421" s="11">
        <f aca="true" t="shared" si="151" ref="G421:L421">G422</f>
        <v>0</v>
      </c>
      <c r="H421" s="11">
        <f t="shared" si="151"/>
        <v>0</v>
      </c>
      <c r="I421" s="11">
        <f t="shared" si="151"/>
        <v>0</v>
      </c>
      <c r="J421" s="11">
        <f t="shared" si="151"/>
        <v>0</v>
      </c>
      <c r="K421" s="11">
        <f t="shared" si="151"/>
        <v>0</v>
      </c>
      <c r="L421" s="11">
        <f t="shared" si="151"/>
        <v>0</v>
      </c>
    </row>
    <row r="422" spans="1:12" ht="31.5" customHeight="1" hidden="1">
      <c r="A422" s="31" t="s">
        <v>174</v>
      </c>
      <c r="B422" s="42" t="s">
        <v>357</v>
      </c>
      <c r="C422" s="42" t="s">
        <v>340</v>
      </c>
      <c r="D422" s="42" t="s">
        <v>159</v>
      </c>
      <c r="E422" s="42" t="s">
        <v>175</v>
      </c>
      <c r="F422" s="2"/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</row>
    <row r="423" spans="1:12" ht="62.25" customHeight="1" hidden="1">
      <c r="A423" s="31" t="s">
        <v>313</v>
      </c>
      <c r="B423" s="42" t="s">
        <v>357</v>
      </c>
      <c r="C423" s="42" t="s">
        <v>340</v>
      </c>
      <c r="D423" s="42" t="s">
        <v>159</v>
      </c>
      <c r="E423" s="42" t="s">
        <v>314</v>
      </c>
      <c r="F423" s="2"/>
      <c r="G423" s="11" t="e">
        <f aca="true" t="shared" si="152" ref="G423:L423">G424</f>
        <v>#REF!</v>
      </c>
      <c r="H423" s="11" t="e">
        <f t="shared" si="152"/>
        <v>#REF!</v>
      </c>
      <c r="I423" s="11" t="e">
        <f t="shared" si="152"/>
        <v>#REF!</v>
      </c>
      <c r="J423" s="11" t="e">
        <f t="shared" si="152"/>
        <v>#REF!</v>
      </c>
      <c r="K423" s="11" t="e">
        <f t="shared" si="152"/>
        <v>#REF!</v>
      </c>
      <c r="L423" s="11">
        <f t="shared" si="152"/>
        <v>0</v>
      </c>
    </row>
    <row r="424" spans="1:12" ht="15.75" customHeight="1" hidden="1">
      <c r="A424" s="31" t="s">
        <v>315</v>
      </c>
      <c r="B424" s="42" t="s">
        <v>357</v>
      </c>
      <c r="C424" s="42" t="s">
        <v>340</v>
      </c>
      <c r="D424" s="42" t="s">
        <v>159</v>
      </c>
      <c r="E424" s="42" t="s">
        <v>316</v>
      </c>
      <c r="F424" s="2"/>
      <c r="G424" s="11" t="e">
        <f>#REF!</f>
        <v>#REF!</v>
      </c>
      <c r="H424" s="11" t="e">
        <f>#REF!</f>
        <v>#REF!</v>
      </c>
      <c r="I424" s="11" t="e">
        <f>#REF!</f>
        <v>#REF!</v>
      </c>
      <c r="J424" s="11" t="e">
        <f>#REF!</f>
        <v>#REF!</v>
      </c>
      <c r="K424" s="11" t="e">
        <f>#REF!</f>
        <v>#REF!</v>
      </c>
      <c r="L424" s="11">
        <f>'Прил.№5 ведомств.'!G437</f>
        <v>0</v>
      </c>
    </row>
    <row r="425" spans="1:12" ht="15.75" customHeight="1" hidden="1">
      <c r="A425" s="26" t="s">
        <v>748</v>
      </c>
      <c r="B425" s="21" t="s">
        <v>749</v>
      </c>
      <c r="C425" s="42" t="s">
        <v>340</v>
      </c>
      <c r="D425" s="42" t="s">
        <v>159</v>
      </c>
      <c r="E425" s="42"/>
      <c r="F425" s="2"/>
      <c r="G425" s="11" t="e">
        <f>G426</f>
        <v>#REF!</v>
      </c>
      <c r="H425" s="11" t="e">
        <f aca="true" t="shared" si="153" ref="H425:L426">H426</f>
        <v>#REF!</v>
      </c>
      <c r="I425" s="11" t="e">
        <f t="shared" si="153"/>
        <v>#REF!</v>
      </c>
      <c r="J425" s="11" t="e">
        <f t="shared" si="153"/>
        <v>#REF!</v>
      </c>
      <c r="K425" s="11" t="e">
        <f t="shared" si="153"/>
        <v>#REF!</v>
      </c>
      <c r="L425" s="11">
        <f t="shared" si="153"/>
        <v>0</v>
      </c>
    </row>
    <row r="426" spans="1:12" ht="31.5" customHeight="1" hidden="1">
      <c r="A426" s="26" t="s">
        <v>313</v>
      </c>
      <c r="B426" s="21" t="s">
        <v>749</v>
      </c>
      <c r="C426" s="42" t="s">
        <v>340</v>
      </c>
      <c r="D426" s="42" t="s">
        <v>159</v>
      </c>
      <c r="E426" s="42" t="s">
        <v>314</v>
      </c>
      <c r="F426" s="2"/>
      <c r="G426" s="11" t="e">
        <f>G427</f>
        <v>#REF!</v>
      </c>
      <c r="H426" s="11" t="e">
        <f t="shared" si="153"/>
        <v>#REF!</v>
      </c>
      <c r="I426" s="11" t="e">
        <f t="shared" si="153"/>
        <v>#REF!</v>
      </c>
      <c r="J426" s="11" t="e">
        <f t="shared" si="153"/>
        <v>#REF!</v>
      </c>
      <c r="K426" s="11" t="e">
        <f t="shared" si="153"/>
        <v>#REF!</v>
      </c>
      <c r="L426" s="11">
        <f t="shared" si="153"/>
        <v>0</v>
      </c>
    </row>
    <row r="427" spans="1:12" ht="15.75" customHeight="1" hidden="1">
      <c r="A427" s="26" t="s">
        <v>315</v>
      </c>
      <c r="B427" s="21" t="s">
        <v>749</v>
      </c>
      <c r="C427" s="42" t="s">
        <v>340</v>
      </c>
      <c r="D427" s="42" t="s">
        <v>159</v>
      </c>
      <c r="E427" s="42" t="s">
        <v>316</v>
      </c>
      <c r="F427" s="2"/>
      <c r="G427" s="11" t="e">
        <f>#REF!</f>
        <v>#REF!</v>
      </c>
      <c r="H427" s="11" t="e">
        <f>#REF!</f>
        <v>#REF!</v>
      </c>
      <c r="I427" s="11" t="e">
        <f>#REF!</f>
        <v>#REF!</v>
      </c>
      <c r="J427" s="11" t="e">
        <f>#REF!</f>
        <v>#REF!</v>
      </c>
      <c r="K427" s="11" t="e">
        <f>#REF!</f>
        <v>#REF!</v>
      </c>
      <c r="L427" s="11">
        <f>'Прил.№5 ведомств.'!G440</f>
        <v>0</v>
      </c>
    </row>
    <row r="428" spans="1:12" ht="31.5" customHeight="1" hidden="1">
      <c r="A428" s="26" t="s">
        <v>362</v>
      </c>
      <c r="B428" s="21" t="s">
        <v>363</v>
      </c>
      <c r="C428" s="42" t="s">
        <v>340</v>
      </c>
      <c r="D428" s="42" t="s">
        <v>159</v>
      </c>
      <c r="E428" s="42"/>
      <c r="F428" s="2"/>
      <c r="G428" s="11" t="e">
        <f>G429</f>
        <v>#REF!</v>
      </c>
      <c r="H428" s="11" t="e">
        <f aca="true" t="shared" si="154" ref="H428:L429">H429</f>
        <v>#REF!</v>
      </c>
      <c r="I428" s="11" t="e">
        <f t="shared" si="154"/>
        <v>#REF!</v>
      </c>
      <c r="J428" s="11" t="e">
        <f t="shared" si="154"/>
        <v>#REF!</v>
      </c>
      <c r="K428" s="11" t="e">
        <f t="shared" si="154"/>
        <v>#REF!</v>
      </c>
      <c r="L428" s="11">
        <f t="shared" si="154"/>
        <v>0</v>
      </c>
    </row>
    <row r="429" spans="1:12" ht="31.5" customHeight="1" hidden="1">
      <c r="A429" s="26" t="s">
        <v>313</v>
      </c>
      <c r="B429" s="21" t="s">
        <v>363</v>
      </c>
      <c r="C429" s="42" t="s">
        <v>340</v>
      </c>
      <c r="D429" s="42" t="s">
        <v>159</v>
      </c>
      <c r="E429" s="42" t="s">
        <v>314</v>
      </c>
      <c r="F429" s="2"/>
      <c r="G429" s="11" t="e">
        <f>G430</f>
        <v>#REF!</v>
      </c>
      <c r="H429" s="11" t="e">
        <f t="shared" si="154"/>
        <v>#REF!</v>
      </c>
      <c r="I429" s="11" t="e">
        <f t="shared" si="154"/>
        <v>#REF!</v>
      </c>
      <c r="J429" s="11" t="e">
        <f t="shared" si="154"/>
        <v>#REF!</v>
      </c>
      <c r="K429" s="11" t="e">
        <f t="shared" si="154"/>
        <v>#REF!</v>
      </c>
      <c r="L429" s="11">
        <f t="shared" si="154"/>
        <v>0</v>
      </c>
    </row>
    <row r="430" spans="1:12" ht="15.75" customHeight="1" hidden="1">
      <c r="A430" s="26" t="s">
        <v>315</v>
      </c>
      <c r="B430" s="21" t="s">
        <v>363</v>
      </c>
      <c r="C430" s="42" t="s">
        <v>340</v>
      </c>
      <c r="D430" s="42" t="s">
        <v>159</v>
      </c>
      <c r="E430" s="42" t="s">
        <v>316</v>
      </c>
      <c r="F430" s="2"/>
      <c r="G430" s="11" t="e">
        <f>#REF!</f>
        <v>#REF!</v>
      </c>
      <c r="H430" s="11" t="e">
        <f>#REF!</f>
        <v>#REF!</v>
      </c>
      <c r="I430" s="11" t="e">
        <f>#REF!</f>
        <v>#REF!</v>
      </c>
      <c r="J430" s="11" t="e">
        <f>#REF!</f>
        <v>#REF!</v>
      </c>
      <c r="K430" s="11" t="e">
        <f>#REF!</f>
        <v>#REF!</v>
      </c>
      <c r="L430" s="11">
        <f>'Прил.№5 ведомств.'!G455</f>
        <v>0</v>
      </c>
    </row>
    <row r="431" spans="1:12" ht="31.5" customHeight="1" hidden="1">
      <c r="A431" s="31" t="s">
        <v>842</v>
      </c>
      <c r="B431" s="21" t="s">
        <v>855</v>
      </c>
      <c r="C431" s="42" t="s">
        <v>340</v>
      </c>
      <c r="D431" s="42" t="s">
        <v>159</v>
      </c>
      <c r="E431" s="42"/>
      <c r="F431" s="2"/>
      <c r="G431" s="11" t="e">
        <f>G432</f>
        <v>#REF!</v>
      </c>
      <c r="H431" s="11" t="e">
        <f aca="true" t="shared" si="155" ref="H431:L432">H432</f>
        <v>#REF!</v>
      </c>
      <c r="I431" s="11" t="e">
        <f t="shared" si="155"/>
        <v>#REF!</v>
      </c>
      <c r="J431" s="11" t="e">
        <f t="shared" si="155"/>
        <v>#REF!</v>
      </c>
      <c r="K431" s="11" t="e">
        <f t="shared" si="155"/>
        <v>#REF!</v>
      </c>
      <c r="L431" s="11">
        <f t="shared" si="155"/>
        <v>0</v>
      </c>
    </row>
    <row r="432" spans="1:12" ht="31.5" customHeight="1" hidden="1">
      <c r="A432" s="31" t="s">
        <v>313</v>
      </c>
      <c r="B432" s="21" t="s">
        <v>855</v>
      </c>
      <c r="C432" s="42" t="s">
        <v>340</v>
      </c>
      <c r="D432" s="42" t="s">
        <v>159</v>
      </c>
      <c r="E432" s="42" t="s">
        <v>314</v>
      </c>
      <c r="F432" s="2"/>
      <c r="G432" s="11" t="e">
        <f>G433</f>
        <v>#REF!</v>
      </c>
      <c r="H432" s="11" t="e">
        <f t="shared" si="155"/>
        <v>#REF!</v>
      </c>
      <c r="I432" s="11" t="e">
        <f t="shared" si="155"/>
        <v>#REF!</v>
      </c>
      <c r="J432" s="11" t="e">
        <f t="shared" si="155"/>
        <v>#REF!</v>
      </c>
      <c r="K432" s="11" t="e">
        <f t="shared" si="155"/>
        <v>#REF!</v>
      </c>
      <c r="L432" s="11">
        <f t="shared" si="155"/>
        <v>0</v>
      </c>
    </row>
    <row r="433" spans="1:12" ht="15.75" customHeight="1" hidden="1">
      <c r="A433" s="31" t="s">
        <v>315</v>
      </c>
      <c r="B433" s="21" t="s">
        <v>855</v>
      </c>
      <c r="C433" s="42" t="s">
        <v>340</v>
      </c>
      <c r="D433" s="42" t="s">
        <v>159</v>
      </c>
      <c r="E433" s="42" t="s">
        <v>316</v>
      </c>
      <c r="F433" s="2"/>
      <c r="G433" s="11" t="e">
        <f>#REF!</f>
        <v>#REF!</v>
      </c>
      <c r="H433" s="11" t="e">
        <f>#REF!</f>
        <v>#REF!</v>
      </c>
      <c r="I433" s="11" t="e">
        <f>#REF!</f>
        <v>#REF!</v>
      </c>
      <c r="J433" s="11" t="e">
        <f>#REF!</f>
        <v>#REF!</v>
      </c>
      <c r="K433" s="11" t="e">
        <f>#REF!</f>
        <v>#REF!</v>
      </c>
      <c r="L433" s="11">
        <f>'Прил.№5 ведомств.'!G458</f>
        <v>0</v>
      </c>
    </row>
    <row r="434" spans="1:12" ht="15.75">
      <c r="A434" s="26" t="s">
        <v>990</v>
      </c>
      <c r="B434" s="21" t="s">
        <v>992</v>
      </c>
      <c r="C434" s="42" t="s">
        <v>340</v>
      </c>
      <c r="D434" s="42" t="s">
        <v>159</v>
      </c>
      <c r="E434" s="42"/>
      <c r="F434" s="2"/>
      <c r="G434" s="11"/>
      <c r="H434" s="11"/>
      <c r="I434" s="11"/>
      <c r="J434" s="11"/>
      <c r="K434" s="11"/>
      <c r="L434" s="11">
        <f>L435+L437+L439</f>
        <v>19287.699999999997</v>
      </c>
    </row>
    <row r="435" spans="1:12" ht="78.75">
      <c r="A435" s="26" t="s">
        <v>168</v>
      </c>
      <c r="B435" s="21" t="s">
        <v>992</v>
      </c>
      <c r="C435" s="42" t="s">
        <v>340</v>
      </c>
      <c r="D435" s="42" t="s">
        <v>159</v>
      </c>
      <c r="E435" s="42" t="s">
        <v>169</v>
      </c>
      <c r="F435" s="2"/>
      <c r="G435" s="11"/>
      <c r="H435" s="11"/>
      <c r="I435" s="11"/>
      <c r="J435" s="11"/>
      <c r="K435" s="11"/>
      <c r="L435" s="11">
        <f>L436</f>
        <v>15393.199999999999</v>
      </c>
    </row>
    <row r="436" spans="1:12" ht="15.75">
      <c r="A436" s="26" t="s">
        <v>249</v>
      </c>
      <c r="B436" s="21" t="s">
        <v>992</v>
      </c>
      <c r="C436" s="42" t="s">
        <v>340</v>
      </c>
      <c r="D436" s="42" t="s">
        <v>159</v>
      </c>
      <c r="E436" s="42" t="s">
        <v>250</v>
      </c>
      <c r="F436" s="2"/>
      <c r="G436" s="11"/>
      <c r="H436" s="11"/>
      <c r="I436" s="11"/>
      <c r="J436" s="11"/>
      <c r="K436" s="11"/>
      <c r="L436" s="11">
        <f>'Прил.№5 ведомств.'!G465</f>
        <v>15393.199999999999</v>
      </c>
    </row>
    <row r="437" spans="1:12" ht="31.5">
      <c r="A437" s="26" t="s">
        <v>172</v>
      </c>
      <c r="B437" s="21" t="s">
        <v>992</v>
      </c>
      <c r="C437" s="42" t="s">
        <v>340</v>
      </c>
      <c r="D437" s="42" t="s">
        <v>159</v>
      </c>
      <c r="E437" s="42" t="s">
        <v>173</v>
      </c>
      <c r="F437" s="2"/>
      <c r="G437" s="11"/>
      <c r="H437" s="11"/>
      <c r="I437" s="11"/>
      <c r="J437" s="11"/>
      <c r="K437" s="11"/>
      <c r="L437" s="11">
        <f>L438</f>
        <v>3857.9</v>
      </c>
    </row>
    <row r="438" spans="1:12" ht="31.5">
      <c r="A438" s="26" t="s">
        <v>174</v>
      </c>
      <c r="B438" s="21" t="s">
        <v>992</v>
      </c>
      <c r="C438" s="42" t="s">
        <v>340</v>
      </c>
      <c r="D438" s="42" t="s">
        <v>159</v>
      </c>
      <c r="E438" s="42" t="s">
        <v>175</v>
      </c>
      <c r="F438" s="2"/>
      <c r="G438" s="11"/>
      <c r="H438" s="11"/>
      <c r="I438" s="11"/>
      <c r="J438" s="11"/>
      <c r="K438" s="11"/>
      <c r="L438" s="11">
        <f>'Прил.№5 ведомств.'!G467</f>
        <v>3857.9</v>
      </c>
    </row>
    <row r="439" spans="1:12" ht="15.75" customHeight="1">
      <c r="A439" s="26" t="s">
        <v>176</v>
      </c>
      <c r="B439" s="21" t="s">
        <v>992</v>
      </c>
      <c r="C439" s="42" t="s">
        <v>340</v>
      </c>
      <c r="D439" s="42" t="s">
        <v>159</v>
      </c>
      <c r="E439" s="42" t="s">
        <v>186</v>
      </c>
      <c r="F439" s="2"/>
      <c r="G439" s="11"/>
      <c r="H439" s="11"/>
      <c r="I439" s="11"/>
      <c r="J439" s="11"/>
      <c r="K439" s="11"/>
      <c r="L439" s="11">
        <f>L440</f>
        <v>36.6</v>
      </c>
    </row>
    <row r="440" spans="1:12" ht="15.75" customHeight="1">
      <c r="A440" s="26" t="s">
        <v>178</v>
      </c>
      <c r="B440" s="21" t="s">
        <v>992</v>
      </c>
      <c r="C440" s="42" t="s">
        <v>340</v>
      </c>
      <c r="D440" s="42" t="s">
        <v>159</v>
      </c>
      <c r="E440" s="42" t="s">
        <v>179</v>
      </c>
      <c r="F440" s="2"/>
      <c r="G440" s="11"/>
      <c r="H440" s="11"/>
      <c r="I440" s="11"/>
      <c r="J440" s="11"/>
      <c r="K440" s="11"/>
      <c r="L440" s="11">
        <f>'Прил.№5 ведомств.'!G469</f>
        <v>36.6</v>
      </c>
    </row>
    <row r="441" spans="1:12" ht="47.25">
      <c r="A441" s="47" t="s">
        <v>302</v>
      </c>
      <c r="B441" s="42" t="s">
        <v>354</v>
      </c>
      <c r="C441" s="42"/>
      <c r="D441" s="42"/>
      <c r="E441" s="42"/>
      <c r="F441" s="2">
        <v>903</v>
      </c>
      <c r="G441" s="11" t="e">
        <f aca="true" t="shared" si="156" ref="G441:L441">G392</f>
        <v>#REF!</v>
      </c>
      <c r="H441" s="11" t="e">
        <f t="shared" si="156"/>
        <v>#REF!</v>
      </c>
      <c r="I441" s="11" t="e">
        <f t="shared" si="156"/>
        <v>#REF!</v>
      </c>
      <c r="J441" s="11" t="e">
        <f t="shared" si="156"/>
        <v>#REF!</v>
      </c>
      <c r="K441" s="11" t="e">
        <f t="shared" si="156"/>
        <v>#REF!</v>
      </c>
      <c r="L441" s="11">
        <f t="shared" si="156"/>
        <v>19518.699999999997</v>
      </c>
    </row>
    <row r="442" spans="1:12" ht="31.5" customHeight="1" hidden="1">
      <c r="A442" s="31" t="s">
        <v>362</v>
      </c>
      <c r="B442" s="42" t="s">
        <v>363</v>
      </c>
      <c r="C442" s="42" t="s">
        <v>340</v>
      </c>
      <c r="D442" s="42" t="s">
        <v>159</v>
      </c>
      <c r="E442" s="42"/>
      <c r="F442" s="2"/>
      <c r="G442" s="11">
        <f aca="true" t="shared" si="157" ref="G442:L442">G443</f>
        <v>0</v>
      </c>
      <c r="H442" s="11">
        <f t="shared" si="157"/>
        <v>0</v>
      </c>
      <c r="I442" s="11">
        <f t="shared" si="157"/>
        <v>0</v>
      </c>
      <c r="J442" s="11">
        <f t="shared" si="157"/>
        <v>0</v>
      </c>
      <c r="K442" s="11">
        <f t="shared" si="157"/>
        <v>0</v>
      </c>
      <c r="L442" s="11">
        <f t="shared" si="157"/>
        <v>0</v>
      </c>
    </row>
    <row r="443" spans="1:12" ht="31.5" customHeight="1" hidden="1">
      <c r="A443" s="31" t="s">
        <v>313</v>
      </c>
      <c r="B443" s="42" t="s">
        <v>363</v>
      </c>
      <c r="C443" s="42" t="s">
        <v>340</v>
      </c>
      <c r="D443" s="42" t="s">
        <v>159</v>
      </c>
      <c r="E443" s="42" t="s">
        <v>314</v>
      </c>
      <c r="F443" s="2"/>
      <c r="G443" s="11"/>
      <c r="H443" s="11"/>
      <c r="I443" s="11"/>
      <c r="J443" s="11"/>
      <c r="K443" s="11"/>
      <c r="L443" s="11"/>
    </row>
    <row r="444" spans="1:12" ht="15.75" customHeight="1" hidden="1">
      <c r="A444" s="31" t="s">
        <v>315</v>
      </c>
      <c r="B444" s="42" t="s">
        <v>363</v>
      </c>
      <c r="C444" s="42" t="s">
        <v>340</v>
      </c>
      <c r="D444" s="42" t="s">
        <v>159</v>
      </c>
      <c r="E444" s="42" t="s">
        <v>316</v>
      </c>
      <c r="F444" s="2"/>
      <c r="G444" s="11"/>
      <c r="H444" s="11"/>
      <c r="I444" s="11"/>
      <c r="J444" s="11"/>
      <c r="K444" s="11"/>
      <c r="L444" s="11"/>
    </row>
    <row r="445" spans="1:12" ht="47.25" customHeight="1" hidden="1">
      <c r="A445" s="47" t="s">
        <v>302</v>
      </c>
      <c r="B445" s="42" t="s">
        <v>363</v>
      </c>
      <c r="C445" s="42" t="s">
        <v>340</v>
      </c>
      <c r="D445" s="42" t="s">
        <v>159</v>
      </c>
      <c r="E445" s="42"/>
      <c r="F445" s="2">
        <v>903</v>
      </c>
      <c r="G445" s="11">
        <f aca="true" t="shared" si="158" ref="G445:L445">G444</f>
        <v>0</v>
      </c>
      <c r="H445" s="11">
        <f t="shared" si="158"/>
        <v>0</v>
      </c>
      <c r="I445" s="11">
        <f t="shared" si="158"/>
        <v>0</v>
      </c>
      <c r="J445" s="11">
        <f t="shared" si="158"/>
        <v>0</v>
      </c>
      <c r="K445" s="11">
        <f t="shared" si="158"/>
        <v>0</v>
      </c>
      <c r="L445" s="11">
        <f t="shared" si="158"/>
        <v>0</v>
      </c>
    </row>
    <row r="446" spans="1:12" ht="47.25">
      <c r="A446" s="43" t="s">
        <v>309</v>
      </c>
      <c r="B446" s="8" t="s">
        <v>310</v>
      </c>
      <c r="C446" s="82"/>
      <c r="D446" s="82"/>
      <c r="E446" s="82"/>
      <c r="F446" s="3"/>
      <c r="G446" s="66" t="e">
        <f>G447</f>
        <v>#REF!</v>
      </c>
      <c r="H446" s="66" t="e">
        <f aca="true" t="shared" si="159" ref="H446:L447">H447</f>
        <v>#REF!</v>
      </c>
      <c r="I446" s="66" t="e">
        <f t="shared" si="159"/>
        <v>#REF!</v>
      </c>
      <c r="J446" s="66" t="e">
        <f t="shared" si="159"/>
        <v>#REF!</v>
      </c>
      <c r="K446" s="66" t="e">
        <f t="shared" si="159"/>
        <v>#REF!</v>
      </c>
      <c r="L446" s="66">
        <f t="shared" si="159"/>
        <v>15654</v>
      </c>
    </row>
    <row r="447" spans="1:12" ht="15.75">
      <c r="A447" s="31" t="s">
        <v>304</v>
      </c>
      <c r="B447" s="42" t="s">
        <v>310</v>
      </c>
      <c r="C447" s="42" t="s">
        <v>305</v>
      </c>
      <c r="D447" s="82"/>
      <c r="E447" s="82"/>
      <c r="F447" s="3"/>
      <c r="G447" s="11" t="e">
        <f>G448</f>
        <v>#REF!</v>
      </c>
      <c r="H447" s="11" t="e">
        <f t="shared" si="159"/>
        <v>#REF!</v>
      </c>
      <c r="I447" s="11" t="e">
        <f t="shared" si="159"/>
        <v>#REF!</v>
      </c>
      <c r="J447" s="11" t="e">
        <f t="shared" si="159"/>
        <v>#REF!</v>
      </c>
      <c r="K447" s="11" t="e">
        <f t="shared" si="159"/>
        <v>#REF!</v>
      </c>
      <c r="L447" s="11">
        <f t="shared" si="159"/>
        <v>15654</v>
      </c>
    </row>
    <row r="448" spans="1:12" ht="15.75">
      <c r="A448" s="31" t="s">
        <v>306</v>
      </c>
      <c r="B448" s="42" t="s">
        <v>310</v>
      </c>
      <c r="C448" s="42" t="s">
        <v>305</v>
      </c>
      <c r="D448" s="42" t="s">
        <v>256</v>
      </c>
      <c r="E448" s="82"/>
      <c r="F448" s="3"/>
      <c r="G448" s="11" t="e">
        <f>G449+G464+G467+G470+G473</f>
        <v>#REF!</v>
      </c>
      <c r="H448" s="11" t="e">
        <f>H449+H464+H467+H470+H473</f>
        <v>#REF!</v>
      </c>
      <c r="I448" s="11" t="e">
        <f>I449+I464+I467+I470+I473</f>
        <v>#REF!</v>
      </c>
      <c r="J448" s="11" t="e">
        <f>J449+J464+J467+J470+J473</f>
        <v>#REF!</v>
      </c>
      <c r="K448" s="11" t="e">
        <f>K449+K464+K467+K470+K473</f>
        <v>#REF!</v>
      </c>
      <c r="L448" s="11">
        <f>L449+L464+L467+L470+L473+L456+L476+L484+L479</f>
        <v>15654</v>
      </c>
    </row>
    <row r="449" spans="1:12" ht="47.25" customHeight="1" hidden="1">
      <c r="A449" s="31" t="s">
        <v>311</v>
      </c>
      <c r="B449" s="42" t="s">
        <v>312</v>
      </c>
      <c r="C449" s="42" t="s">
        <v>305</v>
      </c>
      <c r="D449" s="42" t="s">
        <v>256</v>
      </c>
      <c r="E449" s="82"/>
      <c r="F449" s="3"/>
      <c r="G449" s="11" t="e">
        <f>G450</f>
        <v>#REF!</v>
      </c>
      <c r="H449" s="11" t="e">
        <f aca="true" t="shared" si="160" ref="H449:L450">H450</f>
        <v>#REF!</v>
      </c>
      <c r="I449" s="11" t="e">
        <f t="shared" si="160"/>
        <v>#REF!</v>
      </c>
      <c r="J449" s="11" t="e">
        <f t="shared" si="160"/>
        <v>#REF!</v>
      </c>
      <c r="K449" s="11" t="e">
        <f t="shared" si="160"/>
        <v>#REF!</v>
      </c>
      <c r="L449" s="11">
        <f t="shared" si="160"/>
        <v>0</v>
      </c>
    </row>
    <row r="450" spans="1:12" ht="31.5" customHeight="1" hidden="1">
      <c r="A450" s="31" t="s">
        <v>313</v>
      </c>
      <c r="B450" s="42" t="s">
        <v>312</v>
      </c>
      <c r="C450" s="42" t="s">
        <v>305</v>
      </c>
      <c r="D450" s="42" t="s">
        <v>256</v>
      </c>
      <c r="E450" s="42" t="s">
        <v>314</v>
      </c>
      <c r="F450" s="3"/>
      <c r="G450" s="11" t="e">
        <f>G451</f>
        <v>#REF!</v>
      </c>
      <c r="H450" s="11" t="e">
        <f t="shared" si="160"/>
        <v>#REF!</v>
      </c>
      <c r="I450" s="11" t="e">
        <f t="shared" si="160"/>
        <v>#REF!</v>
      </c>
      <c r="J450" s="11" t="e">
        <f t="shared" si="160"/>
        <v>#REF!</v>
      </c>
      <c r="K450" s="11" t="e">
        <f t="shared" si="160"/>
        <v>#REF!</v>
      </c>
      <c r="L450" s="11">
        <f t="shared" si="160"/>
        <v>0</v>
      </c>
    </row>
    <row r="451" spans="1:12" ht="15.75" customHeight="1" hidden="1">
      <c r="A451" s="31" t="s">
        <v>315</v>
      </c>
      <c r="B451" s="42" t="s">
        <v>312</v>
      </c>
      <c r="C451" s="42" t="s">
        <v>305</v>
      </c>
      <c r="D451" s="42" t="s">
        <v>256</v>
      </c>
      <c r="E451" s="42" t="s">
        <v>316</v>
      </c>
      <c r="F451" s="3"/>
      <c r="G451" s="7" t="e">
        <f>#REF!</f>
        <v>#REF!</v>
      </c>
      <c r="H451" s="7" t="e">
        <f>#REF!</f>
        <v>#REF!</v>
      </c>
      <c r="I451" s="7" t="e">
        <f>#REF!</f>
        <v>#REF!</v>
      </c>
      <c r="J451" s="7" t="e">
        <f>#REF!</f>
        <v>#REF!</v>
      </c>
      <c r="K451" s="7" t="e">
        <f>#REF!</f>
        <v>#REF!</v>
      </c>
      <c r="L451" s="7">
        <f>'Прил.№5 ведомств.'!G311</f>
        <v>0</v>
      </c>
    </row>
    <row r="452" spans="1:12" ht="47.25" customHeight="1" hidden="1">
      <c r="A452" s="31" t="s">
        <v>317</v>
      </c>
      <c r="B452" s="42" t="s">
        <v>709</v>
      </c>
      <c r="C452" s="42" t="s">
        <v>305</v>
      </c>
      <c r="D452" s="42" t="s">
        <v>256</v>
      </c>
      <c r="E452" s="42"/>
      <c r="F452" s="3"/>
      <c r="G452" s="11">
        <f>G453</f>
        <v>0</v>
      </c>
      <c r="H452" s="11">
        <f aca="true" t="shared" si="161" ref="H452:L453">H453</f>
        <v>0</v>
      </c>
      <c r="I452" s="11">
        <f t="shared" si="161"/>
        <v>0</v>
      </c>
      <c r="J452" s="11">
        <f t="shared" si="161"/>
        <v>0</v>
      </c>
      <c r="K452" s="11">
        <f t="shared" si="161"/>
        <v>0</v>
      </c>
      <c r="L452" s="11">
        <f t="shared" si="161"/>
        <v>0</v>
      </c>
    </row>
    <row r="453" spans="1:12" ht="31.5" customHeight="1" hidden="1">
      <c r="A453" s="31" t="s">
        <v>313</v>
      </c>
      <c r="B453" s="42" t="s">
        <v>709</v>
      </c>
      <c r="C453" s="42" t="s">
        <v>305</v>
      </c>
      <c r="D453" s="42" t="s">
        <v>256</v>
      </c>
      <c r="E453" s="42" t="s">
        <v>314</v>
      </c>
      <c r="F453" s="3"/>
      <c r="G453" s="11">
        <f>G454</f>
        <v>0</v>
      </c>
      <c r="H453" s="11">
        <f t="shared" si="161"/>
        <v>0</v>
      </c>
      <c r="I453" s="11">
        <f t="shared" si="161"/>
        <v>0</v>
      </c>
      <c r="J453" s="11">
        <f t="shared" si="161"/>
        <v>0</v>
      </c>
      <c r="K453" s="11">
        <f t="shared" si="161"/>
        <v>0</v>
      </c>
      <c r="L453" s="11">
        <f t="shared" si="161"/>
        <v>0</v>
      </c>
    </row>
    <row r="454" spans="1:12" ht="15.75" customHeight="1" hidden="1">
      <c r="A454" s="31" t="s">
        <v>315</v>
      </c>
      <c r="B454" s="42" t="s">
        <v>709</v>
      </c>
      <c r="C454" s="42" t="s">
        <v>305</v>
      </c>
      <c r="D454" s="42" t="s">
        <v>256</v>
      </c>
      <c r="E454" s="42" t="s">
        <v>316</v>
      </c>
      <c r="F454" s="3"/>
      <c r="G454" s="11"/>
      <c r="H454" s="11"/>
      <c r="I454" s="11"/>
      <c r="J454" s="11"/>
      <c r="K454" s="11"/>
      <c r="L454" s="11"/>
    </row>
    <row r="455" spans="1:12" ht="47.25" customHeight="1" hidden="1">
      <c r="A455" s="47" t="s">
        <v>302</v>
      </c>
      <c r="B455" s="42" t="s">
        <v>709</v>
      </c>
      <c r="C455" s="42" t="s">
        <v>305</v>
      </c>
      <c r="D455" s="42" t="s">
        <v>256</v>
      </c>
      <c r="E455" s="42"/>
      <c r="F455" s="2">
        <v>903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</row>
    <row r="456" spans="1:12" ht="31.5" customHeight="1" hidden="1">
      <c r="A456" s="31" t="s">
        <v>319</v>
      </c>
      <c r="B456" s="42" t="s">
        <v>320</v>
      </c>
      <c r="C456" s="42" t="s">
        <v>305</v>
      </c>
      <c r="D456" s="42" t="s">
        <v>256</v>
      </c>
      <c r="E456" s="42"/>
      <c r="F456" s="3"/>
      <c r="G456" s="11">
        <f>G457</f>
        <v>0</v>
      </c>
      <c r="H456" s="11">
        <f aca="true" t="shared" si="162" ref="H456:L457">H457</f>
        <v>0</v>
      </c>
      <c r="I456" s="11">
        <f t="shared" si="162"/>
        <v>0</v>
      </c>
      <c r="J456" s="11">
        <f t="shared" si="162"/>
        <v>0</v>
      </c>
      <c r="K456" s="11">
        <f t="shared" si="162"/>
        <v>0</v>
      </c>
      <c r="L456" s="11">
        <f t="shared" si="162"/>
        <v>0</v>
      </c>
    </row>
    <row r="457" spans="1:12" ht="31.5" customHeight="1" hidden="1">
      <c r="A457" s="31" t="s">
        <v>313</v>
      </c>
      <c r="B457" s="42" t="s">
        <v>320</v>
      </c>
      <c r="C457" s="42" t="s">
        <v>305</v>
      </c>
      <c r="D457" s="42" t="s">
        <v>256</v>
      </c>
      <c r="E457" s="42" t="s">
        <v>314</v>
      </c>
      <c r="F457" s="3"/>
      <c r="G457" s="11">
        <f>G458</f>
        <v>0</v>
      </c>
      <c r="H457" s="11">
        <f t="shared" si="162"/>
        <v>0</v>
      </c>
      <c r="I457" s="11">
        <f t="shared" si="162"/>
        <v>0</v>
      </c>
      <c r="J457" s="11">
        <f t="shared" si="162"/>
        <v>0</v>
      </c>
      <c r="K457" s="11">
        <f t="shared" si="162"/>
        <v>0</v>
      </c>
      <c r="L457" s="11">
        <f t="shared" si="162"/>
        <v>0</v>
      </c>
    </row>
    <row r="458" spans="1:12" ht="15.75" customHeight="1" hidden="1">
      <c r="A458" s="31" t="s">
        <v>315</v>
      </c>
      <c r="B458" s="42" t="s">
        <v>320</v>
      </c>
      <c r="C458" s="42" t="s">
        <v>305</v>
      </c>
      <c r="D458" s="42" t="s">
        <v>256</v>
      </c>
      <c r="E458" s="42" t="s">
        <v>316</v>
      </c>
      <c r="F458" s="3"/>
      <c r="G458" s="11"/>
      <c r="H458" s="11"/>
      <c r="I458" s="11"/>
      <c r="J458" s="11"/>
      <c r="K458" s="11"/>
      <c r="L458" s="11">
        <f>'Прил.№5 ведомств.'!G317</f>
        <v>0</v>
      </c>
    </row>
    <row r="459" spans="1:12" ht="47.25" customHeight="1" hidden="1">
      <c r="A459" s="47" t="s">
        <v>302</v>
      </c>
      <c r="B459" s="42" t="s">
        <v>710</v>
      </c>
      <c r="C459" s="42" t="s">
        <v>305</v>
      </c>
      <c r="D459" s="42" t="s">
        <v>256</v>
      </c>
      <c r="E459" s="42"/>
      <c r="F459" s="2">
        <v>903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</row>
    <row r="460" spans="1:12" ht="31.5" customHeight="1" hidden="1">
      <c r="A460" s="31" t="s">
        <v>321</v>
      </c>
      <c r="B460" s="42" t="s">
        <v>711</v>
      </c>
      <c r="C460" s="42" t="s">
        <v>305</v>
      </c>
      <c r="D460" s="42" t="s">
        <v>256</v>
      </c>
      <c r="E460" s="42"/>
      <c r="F460" s="3"/>
      <c r="G460" s="11">
        <f>G461</f>
        <v>0</v>
      </c>
      <c r="H460" s="11">
        <f aca="true" t="shared" si="163" ref="H460:L461">H461</f>
        <v>0</v>
      </c>
      <c r="I460" s="11">
        <f t="shared" si="163"/>
        <v>0</v>
      </c>
      <c r="J460" s="11">
        <f t="shared" si="163"/>
        <v>0</v>
      </c>
      <c r="K460" s="11">
        <f t="shared" si="163"/>
        <v>0</v>
      </c>
      <c r="L460" s="11">
        <f t="shared" si="163"/>
        <v>0</v>
      </c>
    </row>
    <row r="461" spans="1:12" ht="31.5" customHeight="1" hidden="1">
      <c r="A461" s="31" t="s">
        <v>313</v>
      </c>
      <c r="B461" s="42" t="s">
        <v>711</v>
      </c>
      <c r="C461" s="42" t="s">
        <v>305</v>
      </c>
      <c r="D461" s="42" t="s">
        <v>256</v>
      </c>
      <c r="E461" s="42" t="s">
        <v>314</v>
      </c>
      <c r="F461" s="3"/>
      <c r="G461" s="11">
        <f>G462</f>
        <v>0</v>
      </c>
      <c r="H461" s="11">
        <f t="shared" si="163"/>
        <v>0</v>
      </c>
      <c r="I461" s="11">
        <f t="shared" si="163"/>
        <v>0</v>
      </c>
      <c r="J461" s="11">
        <f t="shared" si="163"/>
        <v>0</v>
      </c>
      <c r="K461" s="11">
        <f t="shared" si="163"/>
        <v>0</v>
      </c>
      <c r="L461" s="11">
        <f t="shared" si="163"/>
        <v>0</v>
      </c>
    </row>
    <row r="462" spans="1:12" ht="15.75" customHeight="1" hidden="1">
      <c r="A462" s="31" t="s">
        <v>315</v>
      </c>
      <c r="B462" s="42" t="s">
        <v>711</v>
      </c>
      <c r="C462" s="42" t="s">
        <v>305</v>
      </c>
      <c r="D462" s="42" t="s">
        <v>256</v>
      </c>
      <c r="E462" s="42" t="s">
        <v>316</v>
      </c>
      <c r="F462" s="3"/>
      <c r="G462" s="11"/>
      <c r="H462" s="11"/>
      <c r="I462" s="11"/>
      <c r="J462" s="11"/>
      <c r="K462" s="11"/>
      <c r="L462" s="11"/>
    </row>
    <row r="463" spans="1:12" ht="47.25" customHeight="1" hidden="1">
      <c r="A463" s="47" t="s">
        <v>302</v>
      </c>
      <c r="B463" s="42" t="s">
        <v>711</v>
      </c>
      <c r="C463" s="42" t="s">
        <v>305</v>
      </c>
      <c r="D463" s="42" t="s">
        <v>256</v>
      </c>
      <c r="E463" s="42"/>
      <c r="F463" s="2">
        <v>903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</row>
    <row r="464" spans="1:12" ht="31.5" customHeight="1" hidden="1">
      <c r="A464" s="31" t="s">
        <v>323</v>
      </c>
      <c r="B464" s="42" t="s">
        <v>324</v>
      </c>
      <c r="C464" s="42" t="s">
        <v>305</v>
      </c>
      <c r="D464" s="42" t="s">
        <v>256</v>
      </c>
      <c r="E464" s="42"/>
      <c r="F464" s="3"/>
      <c r="G464" s="11" t="e">
        <f>G465</f>
        <v>#REF!</v>
      </c>
      <c r="H464" s="11" t="e">
        <f aca="true" t="shared" si="164" ref="H464:L465">H465</f>
        <v>#REF!</v>
      </c>
      <c r="I464" s="11" t="e">
        <f t="shared" si="164"/>
        <v>#REF!</v>
      </c>
      <c r="J464" s="11" t="e">
        <f t="shared" si="164"/>
        <v>#REF!</v>
      </c>
      <c r="K464" s="11" t="e">
        <f t="shared" si="164"/>
        <v>#REF!</v>
      </c>
      <c r="L464" s="11">
        <f t="shared" si="164"/>
        <v>0</v>
      </c>
    </row>
    <row r="465" spans="1:12" ht="31.5" customHeight="1" hidden="1">
      <c r="A465" s="31" t="s">
        <v>313</v>
      </c>
      <c r="B465" s="42" t="s">
        <v>324</v>
      </c>
      <c r="C465" s="42" t="s">
        <v>305</v>
      </c>
      <c r="D465" s="42" t="s">
        <v>256</v>
      </c>
      <c r="E465" s="42" t="s">
        <v>314</v>
      </c>
      <c r="F465" s="3"/>
      <c r="G465" s="11" t="e">
        <f>G466</f>
        <v>#REF!</v>
      </c>
      <c r="H465" s="11" t="e">
        <f t="shared" si="164"/>
        <v>#REF!</v>
      </c>
      <c r="I465" s="11" t="e">
        <f t="shared" si="164"/>
        <v>#REF!</v>
      </c>
      <c r="J465" s="11" t="e">
        <f t="shared" si="164"/>
        <v>#REF!</v>
      </c>
      <c r="K465" s="11" t="e">
        <f t="shared" si="164"/>
        <v>#REF!</v>
      </c>
      <c r="L465" s="11">
        <f t="shared" si="164"/>
        <v>0</v>
      </c>
    </row>
    <row r="466" spans="1:12" ht="15.75" customHeight="1" hidden="1">
      <c r="A466" s="31" t="s">
        <v>315</v>
      </c>
      <c r="B466" s="42" t="s">
        <v>324</v>
      </c>
      <c r="C466" s="42" t="s">
        <v>305</v>
      </c>
      <c r="D466" s="42" t="s">
        <v>256</v>
      </c>
      <c r="E466" s="42" t="s">
        <v>316</v>
      </c>
      <c r="F466" s="3"/>
      <c r="G466" s="7" t="e">
        <f>#REF!</f>
        <v>#REF!</v>
      </c>
      <c r="H466" s="7" t="e">
        <f>#REF!</f>
        <v>#REF!</v>
      </c>
      <c r="I466" s="7" t="e">
        <f>#REF!</f>
        <v>#REF!</v>
      </c>
      <c r="J466" s="7" t="e">
        <f>#REF!</f>
        <v>#REF!</v>
      </c>
      <c r="K466" s="7" t="e">
        <f>#REF!</f>
        <v>#REF!</v>
      </c>
      <c r="L466" s="7">
        <f>'Прил.№5 ведомств.'!G323</f>
        <v>0</v>
      </c>
    </row>
    <row r="467" spans="1:12" ht="31.5" customHeight="1" hidden="1">
      <c r="A467" s="26" t="s">
        <v>325</v>
      </c>
      <c r="B467" s="42" t="s">
        <v>327</v>
      </c>
      <c r="C467" s="42" t="s">
        <v>305</v>
      </c>
      <c r="D467" s="42" t="s">
        <v>256</v>
      </c>
      <c r="E467" s="42"/>
      <c r="F467" s="3"/>
      <c r="G467" s="11" t="e">
        <f>G468</f>
        <v>#REF!</v>
      </c>
      <c r="H467" s="11" t="e">
        <f aca="true" t="shared" si="165" ref="H467:L468">H468</f>
        <v>#REF!</v>
      </c>
      <c r="I467" s="11" t="e">
        <f t="shared" si="165"/>
        <v>#REF!</v>
      </c>
      <c r="J467" s="11" t="e">
        <f t="shared" si="165"/>
        <v>#REF!</v>
      </c>
      <c r="K467" s="11" t="e">
        <f t="shared" si="165"/>
        <v>#REF!</v>
      </c>
      <c r="L467" s="11">
        <f t="shared" si="165"/>
        <v>0</v>
      </c>
    </row>
    <row r="468" spans="1:12" ht="31.5" customHeight="1" hidden="1">
      <c r="A468" s="26" t="s">
        <v>313</v>
      </c>
      <c r="B468" s="42" t="s">
        <v>327</v>
      </c>
      <c r="C468" s="42" t="s">
        <v>305</v>
      </c>
      <c r="D468" s="42" t="s">
        <v>256</v>
      </c>
      <c r="E468" s="42" t="s">
        <v>314</v>
      </c>
      <c r="F468" s="3"/>
      <c r="G468" s="11" t="e">
        <f>G469</f>
        <v>#REF!</v>
      </c>
      <c r="H468" s="11" t="e">
        <f t="shared" si="165"/>
        <v>#REF!</v>
      </c>
      <c r="I468" s="11" t="e">
        <f t="shared" si="165"/>
        <v>#REF!</v>
      </c>
      <c r="J468" s="11" t="e">
        <f t="shared" si="165"/>
        <v>#REF!</v>
      </c>
      <c r="K468" s="11" t="e">
        <f t="shared" si="165"/>
        <v>#REF!</v>
      </c>
      <c r="L468" s="11">
        <f t="shared" si="165"/>
        <v>0</v>
      </c>
    </row>
    <row r="469" spans="1:12" ht="15.75" customHeight="1" hidden="1">
      <c r="A469" s="26" t="s">
        <v>315</v>
      </c>
      <c r="B469" s="42" t="s">
        <v>327</v>
      </c>
      <c r="C469" s="42" t="s">
        <v>305</v>
      </c>
      <c r="D469" s="42" t="s">
        <v>256</v>
      </c>
      <c r="E469" s="42" t="s">
        <v>316</v>
      </c>
      <c r="F469" s="3"/>
      <c r="G469" s="11" t="e">
        <f>#REF!</f>
        <v>#REF!</v>
      </c>
      <c r="H469" s="11" t="e">
        <f>#REF!</f>
        <v>#REF!</v>
      </c>
      <c r="I469" s="11" t="e">
        <f>#REF!</f>
        <v>#REF!</v>
      </c>
      <c r="J469" s="11" t="e">
        <f>#REF!</f>
        <v>#REF!</v>
      </c>
      <c r="K469" s="11" t="e">
        <f>#REF!</f>
        <v>#REF!</v>
      </c>
      <c r="L469" s="11">
        <f>'Прил.№5 ведомств.'!G326</f>
        <v>0</v>
      </c>
    </row>
    <row r="470" spans="1:12" ht="31.5" customHeight="1" hidden="1">
      <c r="A470" s="31" t="s">
        <v>328</v>
      </c>
      <c r="B470" s="21" t="s">
        <v>329</v>
      </c>
      <c r="C470" s="42" t="s">
        <v>305</v>
      </c>
      <c r="D470" s="42" t="s">
        <v>256</v>
      </c>
      <c r="E470" s="42"/>
      <c r="F470" s="3"/>
      <c r="G470" s="11" t="e">
        <f>G471</f>
        <v>#REF!</v>
      </c>
      <c r="H470" s="11" t="e">
        <f aca="true" t="shared" si="166" ref="H470:L471">H471</f>
        <v>#REF!</v>
      </c>
      <c r="I470" s="11" t="e">
        <f t="shared" si="166"/>
        <v>#REF!</v>
      </c>
      <c r="J470" s="11" t="e">
        <f t="shared" si="166"/>
        <v>#REF!</v>
      </c>
      <c r="K470" s="11" t="e">
        <f t="shared" si="166"/>
        <v>#REF!</v>
      </c>
      <c r="L470" s="11">
        <f t="shared" si="166"/>
        <v>0</v>
      </c>
    </row>
    <row r="471" spans="1:12" ht="31.5" customHeight="1" hidden="1">
      <c r="A471" s="31" t="s">
        <v>313</v>
      </c>
      <c r="B471" s="21" t="s">
        <v>329</v>
      </c>
      <c r="C471" s="42" t="s">
        <v>305</v>
      </c>
      <c r="D471" s="42" t="s">
        <v>256</v>
      </c>
      <c r="E471" s="42" t="s">
        <v>314</v>
      </c>
      <c r="F471" s="3"/>
      <c r="G471" s="11" t="e">
        <f>G472</f>
        <v>#REF!</v>
      </c>
      <c r="H471" s="11" t="e">
        <f t="shared" si="166"/>
        <v>#REF!</v>
      </c>
      <c r="I471" s="11" t="e">
        <f t="shared" si="166"/>
        <v>#REF!</v>
      </c>
      <c r="J471" s="11" t="e">
        <f t="shared" si="166"/>
        <v>#REF!</v>
      </c>
      <c r="K471" s="11" t="e">
        <f t="shared" si="166"/>
        <v>#REF!</v>
      </c>
      <c r="L471" s="11">
        <f t="shared" si="166"/>
        <v>0</v>
      </c>
    </row>
    <row r="472" spans="1:12" ht="15.75" customHeight="1" hidden="1">
      <c r="A472" s="31" t="s">
        <v>315</v>
      </c>
      <c r="B472" s="21" t="s">
        <v>329</v>
      </c>
      <c r="C472" s="42" t="s">
        <v>305</v>
      </c>
      <c r="D472" s="42" t="s">
        <v>256</v>
      </c>
      <c r="E472" s="42" t="s">
        <v>316</v>
      </c>
      <c r="F472" s="3"/>
      <c r="G472" s="11" t="e">
        <f>#REF!</f>
        <v>#REF!</v>
      </c>
      <c r="H472" s="11" t="e">
        <f>#REF!</f>
        <v>#REF!</v>
      </c>
      <c r="I472" s="11" t="e">
        <f>#REF!</f>
        <v>#REF!</v>
      </c>
      <c r="J472" s="11" t="e">
        <f>#REF!</f>
        <v>#REF!</v>
      </c>
      <c r="K472" s="11" t="e">
        <f>#REF!</f>
        <v>#REF!</v>
      </c>
      <c r="L472" s="11">
        <f>'Прил.№5 ведомств.'!G329</f>
        <v>0</v>
      </c>
    </row>
    <row r="473" spans="1:12" ht="31.5" customHeight="1" hidden="1">
      <c r="A473" s="31" t="s">
        <v>842</v>
      </c>
      <c r="B473" s="21" t="s">
        <v>848</v>
      </c>
      <c r="C473" s="42" t="s">
        <v>305</v>
      </c>
      <c r="D473" s="42" t="s">
        <v>256</v>
      </c>
      <c r="E473" s="42"/>
      <c r="F473" s="3"/>
      <c r="G473" s="11" t="e">
        <f>G474</f>
        <v>#REF!</v>
      </c>
      <c r="H473" s="11" t="e">
        <f aca="true" t="shared" si="167" ref="H473:L474">H474</f>
        <v>#REF!</v>
      </c>
      <c r="I473" s="11" t="e">
        <f t="shared" si="167"/>
        <v>#REF!</v>
      </c>
      <c r="J473" s="11" t="e">
        <f t="shared" si="167"/>
        <v>#REF!</v>
      </c>
      <c r="K473" s="11" t="e">
        <f t="shared" si="167"/>
        <v>#REF!</v>
      </c>
      <c r="L473" s="11">
        <f t="shared" si="167"/>
        <v>0</v>
      </c>
    </row>
    <row r="474" spans="1:12" ht="31.5" customHeight="1" hidden="1">
      <c r="A474" s="31" t="s">
        <v>313</v>
      </c>
      <c r="B474" s="21" t="s">
        <v>848</v>
      </c>
      <c r="C474" s="42" t="s">
        <v>305</v>
      </c>
      <c r="D474" s="42" t="s">
        <v>256</v>
      </c>
      <c r="E474" s="42" t="s">
        <v>314</v>
      </c>
      <c r="F474" s="3"/>
      <c r="G474" s="11" t="e">
        <f>G475</f>
        <v>#REF!</v>
      </c>
      <c r="H474" s="11" t="e">
        <f t="shared" si="167"/>
        <v>#REF!</v>
      </c>
      <c r="I474" s="11" t="e">
        <f t="shared" si="167"/>
        <v>#REF!</v>
      </c>
      <c r="J474" s="11" t="e">
        <f t="shared" si="167"/>
        <v>#REF!</v>
      </c>
      <c r="K474" s="11" t="e">
        <f t="shared" si="167"/>
        <v>#REF!</v>
      </c>
      <c r="L474" s="11">
        <f t="shared" si="167"/>
        <v>0</v>
      </c>
    </row>
    <row r="475" spans="1:12" ht="15.75" customHeight="1" hidden="1">
      <c r="A475" s="31" t="s">
        <v>315</v>
      </c>
      <c r="B475" s="21" t="s">
        <v>848</v>
      </c>
      <c r="C475" s="42" t="s">
        <v>305</v>
      </c>
      <c r="D475" s="42" t="s">
        <v>256</v>
      </c>
      <c r="E475" s="42" t="s">
        <v>316</v>
      </c>
      <c r="F475" s="3"/>
      <c r="G475" s="11" t="e">
        <f>#REF!</f>
        <v>#REF!</v>
      </c>
      <c r="H475" s="11" t="e">
        <f>#REF!</f>
        <v>#REF!</v>
      </c>
      <c r="I475" s="11" t="e">
        <f>#REF!</f>
        <v>#REF!</v>
      </c>
      <c r="J475" s="11" t="e">
        <f>#REF!</f>
        <v>#REF!</v>
      </c>
      <c r="K475" s="11" t="e">
        <f>#REF!</f>
        <v>#REF!</v>
      </c>
      <c r="L475" s="11">
        <f>'Прил.№5 ведомств.'!G332</f>
        <v>0</v>
      </c>
    </row>
    <row r="476" spans="1:12" ht="19.5" customHeight="1">
      <c r="A476" s="265" t="s">
        <v>988</v>
      </c>
      <c r="B476" s="21" t="s">
        <v>989</v>
      </c>
      <c r="C476" s="42" t="s">
        <v>305</v>
      </c>
      <c r="D476" s="42" t="s">
        <v>256</v>
      </c>
      <c r="E476" s="42"/>
      <c r="F476" s="3"/>
      <c r="G476" s="11"/>
      <c r="H476" s="11"/>
      <c r="I476" s="11"/>
      <c r="J476" s="11"/>
      <c r="K476" s="11"/>
      <c r="L476" s="11">
        <f>L477</f>
        <v>45</v>
      </c>
    </row>
    <row r="477" spans="1:12" ht="15.75">
      <c r="A477" s="26" t="s">
        <v>289</v>
      </c>
      <c r="B477" s="21" t="s">
        <v>989</v>
      </c>
      <c r="C477" s="42" t="s">
        <v>305</v>
      </c>
      <c r="D477" s="42" t="s">
        <v>256</v>
      </c>
      <c r="E477" s="42" t="s">
        <v>290</v>
      </c>
      <c r="F477" s="3"/>
      <c r="G477" s="11"/>
      <c r="H477" s="11"/>
      <c r="I477" s="11"/>
      <c r="J477" s="11"/>
      <c r="K477" s="11"/>
      <c r="L477" s="11">
        <f>L478</f>
        <v>45</v>
      </c>
    </row>
    <row r="478" spans="1:12" ht="15.75">
      <c r="A478" s="26" t="s">
        <v>1056</v>
      </c>
      <c r="B478" s="21" t="s">
        <v>989</v>
      </c>
      <c r="C478" s="42" t="s">
        <v>305</v>
      </c>
      <c r="D478" s="42" t="s">
        <v>256</v>
      </c>
      <c r="E478" s="42" t="s">
        <v>1055</v>
      </c>
      <c r="F478" s="3"/>
      <c r="G478" s="11"/>
      <c r="H478" s="11"/>
      <c r="I478" s="11"/>
      <c r="J478" s="11"/>
      <c r="K478" s="11"/>
      <c r="L478" s="11">
        <f>'Прил.№5 ведомств.'!G308</f>
        <v>45</v>
      </c>
    </row>
    <row r="479" spans="1:12" ht="31.5">
      <c r="A479" s="33" t="s">
        <v>1041</v>
      </c>
      <c r="B479" s="21" t="s">
        <v>1040</v>
      </c>
      <c r="C479" s="42" t="s">
        <v>305</v>
      </c>
      <c r="D479" s="42" t="s">
        <v>256</v>
      </c>
      <c r="E479" s="42"/>
      <c r="F479" s="262"/>
      <c r="G479" s="11"/>
      <c r="H479" s="11"/>
      <c r="I479" s="11"/>
      <c r="J479" s="11"/>
      <c r="K479" s="11"/>
      <c r="L479" s="11">
        <f>L482+L480</f>
        <v>264.6</v>
      </c>
    </row>
    <row r="480" spans="1:12" ht="78.75">
      <c r="A480" s="26" t="s">
        <v>168</v>
      </c>
      <c r="B480" s="21" t="s">
        <v>1040</v>
      </c>
      <c r="C480" s="42" t="s">
        <v>305</v>
      </c>
      <c r="D480" s="42" t="s">
        <v>256</v>
      </c>
      <c r="E480" s="42" t="s">
        <v>169</v>
      </c>
      <c r="F480" s="262"/>
      <c r="G480" s="11"/>
      <c r="H480" s="11"/>
      <c r="I480" s="11"/>
      <c r="J480" s="11"/>
      <c r="K480" s="11"/>
      <c r="L480" s="11">
        <f>L481</f>
        <v>264.6</v>
      </c>
    </row>
    <row r="481" spans="1:12" ht="15.75">
      <c r="A481" s="47" t="s">
        <v>383</v>
      </c>
      <c r="B481" s="21" t="s">
        <v>1040</v>
      </c>
      <c r="C481" s="42" t="s">
        <v>305</v>
      </c>
      <c r="D481" s="42" t="s">
        <v>256</v>
      </c>
      <c r="E481" s="42" t="s">
        <v>250</v>
      </c>
      <c r="F481" s="262"/>
      <c r="G481" s="11"/>
      <c r="H481" s="11"/>
      <c r="I481" s="11"/>
      <c r="J481" s="11"/>
      <c r="K481" s="11"/>
      <c r="L481" s="11">
        <f>'Прил.№5 ведомств.'!G335</f>
        <v>264.6</v>
      </c>
    </row>
    <row r="482" spans="1:12" ht="31.5" hidden="1">
      <c r="A482" s="26" t="s">
        <v>172</v>
      </c>
      <c r="B482" s="21" t="s">
        <v>1040</v>
      </c>
      <c r="C482" s="42" t="s">
        <v>305</v>
      </c>
      <c r="D482" s="42" t="s">
        <v>256</v>
      </c>
      <c r="E482" s="42" t="s">
        <v>173</v>
      </c>
      <c r="F482" s="3"/>
      <c r="G482" s="11"/>
      <c r="H482" s="11"/>
      <c r="I482" s="11"/>
      <c r="J482" s="11"/>
      <c r="K482" s="11"/>
      <c r="L482" s="11">
        <f>L483</f>
        <v>0</v>
      </c>
    </row>
    <row r="483" spans="1:12" ht="31.5" hidden="1">
      <c r="A483" s="26" t="s">
        <v>174</v>
      </c>
      <c r="B483" s="21" t="s">
        <v>1040</v>
      </c>
      <c r="C483" s="42" t="s">
        <v>305</v>
      </c>
      <c r="D483" s="42" t="s">
        <v>256</v>
      </c>
      <c r="E483" s="42" t="s">
        <v>175</v>
      </c>
      <c r="F483" s="3"/>
      <c r="G483" s="11"/>
      <c r="H483" s="11"/>
      <c r="I483" s="11"/>
      <c r="J483" s="11"/>
      <c r="K483" s="11"/>
      <c r="L483" s="11">
        <f>'Прил.№5 ведомств.'!G337</f>
        <v>0</v>
      </c>
    </row>
    <row r="484" spans="1:12" ht="15.75">
      <c r="A484" s="26" t="s">
        <v>990</v>
      </c>
      <c r="B484" s="21" t="s">
        <v>991</v>
      </c>
      <c r="C484" s="42" t="s">
        <v>305</v>
      </c>
      <c r="D484" s="42" t="s">
        <v>256</v>
      </c>
      <c r="E484" s="42"/>
      <c r="F484" s="3"/>
      <c r="G484" s="11"/>
      <c r="H484" s="11"/>
      <c r="I484" s="11"/>
      <c r="J484" s="11"/>
      <c r="K484" s="11"/>
      <c r="L484" s="11">
        <f>L485+L487+L489</f>
        <v>15344.4</v>
      </c>
    </row>
    <row r="485" spans="1:12" ht="78.75">
      <c r="A485" s="26" t="s">
        <v>168</v>
      </c>
      <c r="B485" s="21" t="s">
        <v>991</v>
      </c>
      <c r="C485" s="42" t="s">
        <v>305</v>
      </c>
      <c r="D485" s="42" t="s">
        <v>256</v>
      </c>
      <c r="E485" s="42" t="s">
        <v>169</v>
      </c>
      <c r="F485" s="3"/>
      <c r="G485" s="11"/>
      <c r="H485" s="11"/>
      <c r="I485" s="11"/>
      <c r="J485" s="11"/>
      <c r="K485" s="11"/>
      <c r="L485" s="11">
        <f>L486</f>
        <v>13065.1</v>
      </c>
    </row>
    <row r="486" spans="1:12" ht="15.75">
      <c r="A486" s="47" t="s">
        <v>383</v>
      </c>
      <c r="B486" s="21" t="s">
        <v>991</v>
      </c>
      <c r="C486" s="42" t="s">
        <v>305</v>
      </c>
      <c r="D486" s="42" t="s">
        <v>256</v>
      </c>
      <c r="E486" s="42" t="s">
        <v>250</v>
      </c>
      <c r="F486" s="3"/>
      <c r="G486" s="11"/>
      <c r="H486" s="11"/>
      <c r="I486" s="11"/>
      <c r="J486" s="11"/>
      <c r="K486" s="11"/>
      <c r="L486" s="11">
        <f>'Прил.№5 ведомств.'!G340</f>
        <v>13065.1</v>
      </c>
    </row>
    <row r="487" spans="1:12" ht="31.5">
      <c r="A487" s="26" t="s">
        <v>172</v>
      </c>
      <c r="B487" s="21" t="s">
        <v>991</v>
      </c>
      <c r="C487" s="42" t="s">
        <v>305</v>
      </c>
      <c r="D487" s="42" t="s">
        <v>256</v>
      </c>
      <c r="E487" s="42" t="s">
        <v>173</v>
      </c>
      <c r="F487" s="3"/>
      <c r="G487" s="11"/>
      <c r="H487" s="11"/>
      <c r="I487" s="11"/>
      <c r="J487" s="11"/>
      <c r="K487" s="11"/>
      <c r="L487" s="11">
        <f>L488</f>
        <v>2200.7</v>
      </c>
    </row>
    <row r="488" spans="1:12" ht="31.5">
      <c r="A488" s="26" t="s">
        <v>174</v>
      </c>
      <c r="B488" s="21" t="s">
        <v>991</v>
      </c>
      <c r="C488" s="42" t="s">
        <v>305</v>
      </c>
      <c r="D488" s="42" t="s">
        <v>256</v>
      </c>
      <c r="E488" s="42" t="s">
        <v>175</v>
      </c>
      <c r="F488" s="3"/>
      <c r="G488" s="11"/>
      <c r="H488" s="11"/>
      <c r="I488" s="11"/>
      <c r="J488" s="11"/>
      <c r="K488" s="11"/>
      <c r="L488" s="11">
        <f>'Прил.№5 ведомств.'!G342</f>
        <v>2200.7</v>
      </c>
    </row>
    <row r="489" spans="1:12" ht="15.75" customHeight="1">
      <c r="A489" s="26" t="s">
        <v>176</v>
      </c>
      <c r="B489" s="21" t="s">
        <v>991</v>
      </c>
      <c r="C489" s="42" t="s">
        <v>305</v>
      </c>
      <c r="D489" s="42" t="s">
        <v>256</v>
      </c>
      <c r="E489" s="42" t="s">
        <v>186</v>
      </c>
      <c r="F489" s="3"/>
      <c r="G489" s="11"/>
      <c r="H489" s="11"/>
      <c r="I489" s="11"/>
      <c r="J489" s="11"/>
      <c r="K489" s="11"/>
      <c r="L489" s="11">
        <f>L490</f>
        <v>78.6</v>
      </c>
    </row>
    <row r="490" spans="1:12" ht="15.75" customHeight="1">
      <c r="A490" s="26" t="s">
        <v>779</v>
      </c>
      <c r="B490" s="21" t="s">
        <v>991</v>
      </c>
      <c r="C490" s="42" t="s">
        <v>305</v>
      </c>
      <c r="D490" s="42" t="s">
        <v>256</v>
      </c>
      <c r="E490" s="42" t="s">
        <v>179</v>
      </c>
      <c r="F490" s="3"/>
      <c r="G490" s="11"/>
      <c r="H490" s="11"/>
      <c r="I490" s="11"/>
      <c r="J490" s="11"/>
      <c r="K490" s="11"/>
      <c r="L490" s="11">
        <f>'Прил.№5 ведомств.'!G344</f>
        <v>78.6</v>
      </c>
    </row>
    <row r="491" spans="1:12" ht="47.25">
      <c r="A491" s="47" t="s">
        <v>302</v>
      </c>
      <c r="B491" s="42" t="s">
        <v>310</v>
      </c>
      <c r="C491" s="42"/>
      <c r="D491" s="42"/>
      <c r="E491" s="42"/>
      <c r="F491" s="2">
        <v>903</v>
      </c>
      <c r="G491" s="11" t="e">
        <f aca="true" t="shared" si="168" ref="G491:L491">G446</f>
        <v>#REF!</v>
      </c>
      <c r="H491" s="11" t="e">
        <f t="shared" si="168"/>
        <v>#REF!</v>
      </c>
      <c r="I491" s="11" t="e">
        <f t="shared" si="168"/>
        <v>#REF!</v>
      </c>
      <c r="J491" s="11" t="e">
        <f t="shared" si="168"/>
        <v>#REF!</v>
      </c>
      <c r="K491" s="11" t="e">
        <f t="shared" si="168"/>
        <v>#REF!</v>
      </c>
      <c r="L491" s="11">
        <f t="shared" si="168"/>
        <v>15654</v>
      </c>
    </row>
    <row r="492" spans="1:13" s="1" customFormat="1" ht="59.25" customHeight="1">
      <c r="A492" s="43" t="s">
        <v>967</v>
      </c>
      <c r="B492" s="8" t="s">
        <v>365</v>
      </c>
      <c r="C492" s="82"/>
      <c r="D492" s="82"/>
      <c r="E492" s="82"/>
      <c r="F492" s="82"/>
      <c r="G492" s="66" t="e">
        <f>G503</f>
        <v>#REF!</v>
      </c>
      <c r="H492" s="66" t="e">
        <f>H503</f>
        <v>#REF!</v>
      </c>
      <c r="I492" s="66" t="e">
        <f>I503</f>
        <v>#REF!</v>
      </c>
      <c r="J492" s="66" t="e">
        <f>J503</f>
        <v>#REF!</v>
      </c>
      <c r="K492" s="66" t="e">
        <f>K503</f>
        <v>#REF!</v>
      </c>
      <c r="L492" s="66">
        <f>L493+L498</f>
        <v>847</v>
      </c>
      <c r="M492" s="286"/>
    </row>
    <row r="493" spans="1:13" s="1" customFormat="1" ht="15.75">
      <c r="A493" s="26" t="s">
        <v>304</v>
      </c>
      <c r="B493" s="42" t="s">
        <v>365</v>
      </c>
      <c r="C493" s="42" t="s">
        <v>305</v>
      </c>
      <c r="D493" s="82"/>
      <c r="E493" s="82"/>
      <c r="F493" s="82"/>
      <c r="G493" s="66"/>
      <c r="H493" s="66"/>
      <c r="I493" s="66"/>
      <c r="J493" s="66"/>
      <c r="K493" s="66"/>
      <c r="L493" s="11">
        <f>L494</f>
        <v>697</v>
      </c>
      <c r="M493" s="286"/>
    </row>
    <row r="494" spans="1:13" s="1" customFormat="1" ht="15.75">
      <c r="A494" s="26" t="s">
        <v>446</v>
      </c>
      <c r="B494" s="42" t="s">
        <v>365</v>
      </c>
      <c r="C494" s="42" t="s">
        <v>305</v>
      </c>
      <c r="D494" s="42" t="s">
        <v>159</v>
      </c>
      <c r="E494" s="82"/>
      <c r="F494" s="82"/>
      <c r="G494" s="66"/>
      <c r="H494" s="66"/>
      <c r="I494" s="66"/>
      <c r="J494" s="66"/>
      <c r="K494" s="66"/>
      <c r="L494" s="11">
        <f>L495</f>
        <v>697</v>
      </c>
      <c r="M494" s="286"/>
    </row>
    <row r="495" spans="1:13" s="1" customFormat="1" ht="47.25">
      <c r="A495" s="33" t="s">
        <v>366</v>
      </c>
      <c r="B495" s="21" t="s">
        <v>367</v>
      </c>
      <c r="C495" s="42" t="s">
        <v>305</v>
      </c>
      <c r="D495" s="42" t="s">
        <v>159</v>
      </c>
      <c r="E495" s="82"/>
      <c r="F495" s="82"/>
      <c r="G495" s="66"/>
      <c r="H495" s="66"/>
      <c r="I495" s="66"/>
      <c r="J495" s="66"/>
      <c r="K495" s="66"/>
      <c r="L495" s="11">
        <f>L496</f>
        <v>697</v>
      </c>
      <c r="M495" s="286"/>
    </row>
    <row r="496" spans="1:13" s="1" customFormat="1" ht="31.5">
      <c r="A496" s="33" t="s">
        <v>313</v>
      </c>
      <c r="B496" s="21" t="s">
        <v>367</v>
      </c>
      <c r="C496" s="42" t="s">
        <v>305</v>
      </c>
      <c r="D496" s="42" t="s">
        <v>159</v>
      </c>
      <c r="E496" s="42" t="s">
        <v>314</v>
      </c>
      <c r="F496" s="82"/>
      <c r="G496" s="66"/>
      <c r="H496" s="66"/>
      <c r="I496" s="66"/>
      <c r="J496" s="66"/>
      <c r="K496" s="66"/>
      <c r="L496" s="11">
        <f>L497</f>
        <v>697</v>
      </c>
      <c r="M496" s="286"/>
    </row>
    <row r="497" spans="1:13" s="1" customFormat="1" ht="15.75">
      <c r="A497" s="33" t="s">
        <v>315</v>
      </c>
      <c r="B497" s="21" t="s">
        <v>367</v>
      </c>
      <c r="C497" s="42" t="s">
        <v>305</v>
      </c>
      <c r="D497" s="42" t="s">
        <v>159</v>
      </c>
      <c r="E497" s="42" t="s">
        <v>316</v>
      </c>
      <c r="F497" s="82"/>
      <c r="G497" s="66"/>
      <c r="H497" s="66"/>
      <c r="I497" s="66"/>
      <c r="J497" s="66"/>
      <c r="K497" s="66"/>
      <c r="L497" s="11">
        <f>'Прил.№5 ведомств.'!G724</f>
        <v>697</v>
      </c>
      <c r="M497" s="286"/>
    </row>
    <row r="498" spans="1:13" s="1" customFormat="1" ht="15.75">
      <c r="A498" s="31" t="s">
        <v>467</v>
      </c>
      <c r="B498" s="42" t="s">
        <v>365</v>
      </c>
      <c r="C498" s="42" t="s">
        <v>305</v>
      </c>
      <c r="D498" s="42" t="s">
        <v>254</v>
      </c>
      <c r="E498" s="42"/>
      <c r="F498" s="82"/>
      <c r="G498" s="66"/>
      <c r="H498" s="66"/>
      <c r="I498" s="66"/>
      <c r="J498" s="66"/>
      <c r="K498" s="66"/>
      <c r="L498" s="11">
        <f>L499</f>
        <v>150</v>
      </c>
      <c r="M498" s="286"/>
    </row>
    <row r="499" spans="1:13" s="1" customFormat="1" ht="47.25">
      <c r="A499" s="33" t="s">
        <v>366</v>
      </c>
      <c r="B499" s="21" t="s">
        <v>367</v>
      </c>
      <c r="C499" s="42" t="s">
        <v>305</v>
      </c>
      <c r="D499" s="42" t="s">
        <v>254</v>
      </c>
      <c r="E499" s="42"/>
      <c r="F499" s="82"/>
      <c r="G499" s="66"/>
      <c r="H499" s="66"/>
      <c r="I499" s="66"/>
      <c r="J499" s="66"/>
      <c r="K499" s="66"/>
      <c r="L499" s="11">
        <f>L500</f>
        <v>150</v>
      </c>
      <c r="M499" s="286"/>
    </row>
    <row r="500" spans="1:13" s="1" customFormat="1" ht="31.5">
      <c r="A500" s="33" t="s">
        <v>313</v>
      </c>
      <c r="B500" s="21" t="s">
        <v>367</v>
      </c>
      <c r="C500" s="42" t="s">
        <v>305</v>
      </c>
      <c r="D500" s="42" t="s">
        <v>254</v>
      </c>
      <c r="E500" s="42" t="s">
        <v>314</v>
      </c>
      <c r="F500" s="82"/>
      <c r="G500" s="66"/>
      <c r="H500" s="66"/>
      <c r="I500" s="66"/>
      <c r="J500" s="66"/>
      <c r="K500" s="66"/>
      <c r="L500" s="11">
        <f>L501</f>
        <v>150</v>
      </c>
      <c r="M500" s="286"/>
    </row>
    <row r="501" spans="1:13" s="1" customFormat="1" ht="15.75">
      <c r="A501" s="33" t="s">
        <v>315</v>
      </c>
      <c r="B501" s="21" t="s">
        <v>367</v>
      </c>
      <c r="C501" s="42" t="s">
        <v>305</v>
      </c>
      <c r="D501" s="42" t="s">
        <v>254</v>
      </c>
      <c r="E501" s="42" t="s">
        <v>316</v>
      </c>
      <c r="F501" s="82"/>
      <c r="G501" s="66"/>
      <c r="H501" s="66"/>
      <c r="I501" s="66"/>
      <c r="J501" s="66"/>
      <c r="K501" s="66"/>
      <c r="L501" s="11">
        <f>'Прил.№5 ведомств.'!G795</f>
        <v>150</v>
      </c>
      <c r="M501" s="286"/>
    </row>
    <row r="502" spans="1:13" s="1" customFormat="1" ht="31.5">
      <c r="A502" s="33" t="s">
        <v>445</v>
      </c>
      <c r="B502" s="21" t="s">
        <v>365</v>
      </c>
      <c r="C502" s="42"/>
      <c r="D502" s="42"/>
      <c r="E502" s="42"/>
      <c r="F502" s="2">
        <v>906</v>
      </c>
      <c r="G502" s="66"/>
      <c r="H502" s="66"/>
      <c r="I502" s="66"/>
      <c r="J502" s="66"/>
      <c r="K502" s="66"/>
      <c r="L502" s="11">
        <f>L492</f>
        <v>847</v>
      </c>
      <c r="M502" s="286"/>
    </row>
    <row r="503" spans="1:13" s="1" customFormat="1" ht="15.75" customHeight="1" hidden="1">
      <c r="A503" s="83" t="s">
        <v>532</v>
      </c>
      <c r="B503" s="42" t="s">
        <v>365</v>
      </c>
      <c r="C503" s="42" t="s">
        <v>533</v>
      </c>
      <c r="D503" s="83"/>
      <c r="E503" s="83"/>
      <c r="F503" s="83"/>
      <c r="G503" s="11" t="e">
        <f aca="true" t="shared" si="169" ref="G503:L503">G504</f>
        <v>#REF!</v>
      </c>
      <c r="H503" s="11" t="e">
        <f t="shared" si="169"/>
        <v>#REF!</v>
      </c>
      <c r="I503" s="11" t="e">
        <f t="shared" si="169"/>
        <v>#REF!</v>
      </c>
      <c r="J503" s="11" t="e">
        <f t="shared" si="169"/>
        <v>#REF!</v>
      </c>
      <c r="K503" s="11" t="e">
        <f t="shared" si="169"/>
        <v>#REF!</v>
      </c>
      <c r="L503" s="11">
        <f t="shared" si="169"/>
        <v>0</v>
      </c>
      <c r="M503" s="286"/>
    </row>
    <row r="504" spans="1:13" s="1" customFormat="1" ht="15.75" customHeight="1" hidden="1">
      <c r="A504" s="83" t="s">
        <v>534</v>
      </c>
      <c r="B504" s="42" t="s">
        <v>365</v>
      </c>
      <c r="C504" s="42" t="s">
        <v>533</v>
      </c>
      <c r="D504" s="42" t="s">
        <v>159</v>
      </c>
      <c r="E504" s="83"/>
      <c r="F504" s="83"/>
      <c r="G504" s="11" t="e">
        <f>G505</f>
        <v>#REF!</v>
      </c>
      <c r="H504" s="11" t="e">
        <f aca="true" t="shared" si="170" ref="H504:K505">H505</f>
        <v>#REF!</v>
      </c>
      <c r="I504" s="11" t="e">
        <f t="shared" si="170"/>
        <v>#REF!</v>
      </c>
      <c r="J504" s="11" t="e">
        <f t="shared" si="170"/>
        <v>#REF!</v>
      </c>
      <c r="K504" s="11" t="e">
        <f t="shared" si="170"/>
        <v>#REF!</v>
      </c>
      <c r="L504" s="11">
        <f>L505</f>
        <v>0</v>
      </c>
      <c r="M504" s="286"/>
    </row>
    <row r="505" spans="1:13" s="1" customFormat="1" ht="47.25" customHeight="1" hidden="1">
      <c r="A505" s="33" t="s">
        <v>366</v>
      </c>
      <c r="B505" s="42" t="s">
        <v>367</v>
      </c>
      <c r="C505" s="42" t="s">
        <v>533</v>
      </c>
      <c r="D505" s="42" t="s">
        <v>159</v>
      </c>
      <c r="E505" s="83"/>
      <c r="F505" s="83"/>
      <c r="G505" s="11" t="e">
        <f>G506</f>
        <v>#REF!</v>
      </c>
      <c r="H505" s="11" t="e">
        <f t="shared" si="170"/>
        <v>#REF!</v>
      </c>
      <c r="I505" s="11" t="e">
        <f t="shared" si="170"/>
        <v>#REF!</v>
      </c>
      <c r="J505" s="11" t="e">
        <f t="shared" si="170"/>
        <v>#REF!</v>
      </c>
      <c r="K505" s="11" t="e">
        <f t="shared" si="170"/>
        <v>#REF!</v>
      </c>
      <c r="L505" s="11">
        <f>L506</f>
        <v>0</v>
      </c>
      <c r="M505" s="286"/>
    </row>
    <row r="506" spans="1:13" s="1" customFormat="1" ht="31.5" customHeight="1" hidden="1">
      <c r="A506" s="26" t="s">
        <v>313</v>
      </c>
      <c r="B506" s="42" t="s">
        <v>367</v>
      </c>
      <c r="C506" s="42" t="s">
        <v>533</v>
      </c>
      <c r="D506" s="42" t="s">
        <v>159</v>
      </c>
      <c r="E506" s="42" t="s">
        <v>314</v>
      </c>
      <c r="F506" s="83"/>
      <c r="G506" s="11" t="e">
        <f>G507</f>
        <v>#REF!</v>
      </c>
      <c r="H506" s="11" t="e">
        <f>H507</f>
        <v>#REF!</v>
      </c>
      <c r="I506" s="11" t="e">
        <f>I507</f>
        <v>#REF!</v>
      </c>
      <c r="J506" s="11" t="e">
        <f>J507</f>
        <v>#REF!</v>
      </c>
      <c r="K506" s="11" t="e">
        <f>K507</f>
        <v>#REF!</v>
      </c>
      <c r="L506" s="11">
        <f>L507</f>
        <v>0</v>
      </c>
      <c r="M506" s="286"/>
    </row>
    <row r="507" spans="1:13" s="1" customFormat="1" ht="15.75" customHeight="1" hidden="1">
      <c r="A507" s="26" t="s">
        <v>315</v>
      </c>
      <c r="B507" s="42" t="s">
        <v>367</v>
      </c>
      <c r="C507" s="42" t="s">
        <v>533</v>
      </c>
      <c r="D507" s="42" t="s">
        <v>159</v>
      </c>
      <c r="E507" s="42" t="s">
        <v>316</v>
      </c>
      <c r="F507" s="83"/>
      <c r="G507" s="11" t="e">
        <f>#REF!</f>
        <v>#REF!</v>
      </c>
      <c r="H507" s="11" t="e">
        <f>#REF!</f>
        <v>#REF!</v>
      </c>
      <c r="I507" s="11" t="e">
        <f>#REF!</f>
        <v>#REF!</v>
      </c>
      <c r="J507" s="11" t="e">
        <f>#REF!</f>
        <v>#REF!</v>
      </c>
      <c r="K507" s="11" t="e">
        <f>#REF!</f>
        <v>#REF!</v>
      </c>
      <c r="L507" s="11"/>
      <c r="M507" s="286"/>
    </row>
    <row r="508" spans="1:13" s="1" customFormat="1" ht="31.5" customHeight="1" hidden="1">
      <c r="A508" s="47" t="s">
        <v>522</v>
      </c>
      <c r="B508" s="42" t="s">
        <v>365</v>
      </c>
      <c r="C508" s="42"/>
      <c r="D508" s="42"/>
      <c r="E508" s="83"/>
      <c r="F508" s="2">
        <v>907</v>
      </c>
      <c r="G508" s="11" t="e">
        <f>G492</f>
        <v>#REF!</v>
      </c>
      <c r="H508" s="11" t="e">
        <f>H492</f>
        <v>#REF!</v>
      </c>
      <c r="I508" s="11" t="e">
        <f>I492</f>
        <v>#REF!</v>
      </c>
      <c r="J508" s="11" t="e">
        <f>J492</f>
        <v>#REF!</v>
      </c>
      <c r="K508" s="11" t="e">
        <f>K492</f>
        <v>#REF!</v>
      </c>
      <c r="L508" s="11">
        <f>L504</f>
        <v>0</v>
      </c>
      <c r="M508" s="286"/>
    </row>
    <row r="509" spans="1:12" ht="47.25">
      <c r="A509" s="43" t="s">
        <v>584</v>
      </c>
      <c r="B509" s="8" t="s">
        <v>585</v>
      </c>
      <c r="C509" s="2"/>
      <c r="D509" s="2"/>
      <c r="E509" s="2"/>
      <c r="F509" s="2"/>
      <c r="G509" s="66" t="e">
        <f aca="true" t="shared" si="171" ref="G509:L509">G510+G529</f>
        <v>#REF!</v>
      </c>
      <c r="H509" s="66" t="e">
        <f t="shared" si="171"/>
        <v>#REF!</v>
      </c>
      <c r="I509" s="66" t="e">
        <f t="shared" si="171"/>
        <v>#REF!</v>
      </c>
      <c r="J509" s="66" t="e">
        <f t="shared" si="171"/>
        <v>#REF!</v>
      </c>
      <c r="K509" s="66" t="e">
        <f t="shared" si="171"/>
        <v>#REF!</v>
      </c>
      <c r="L509" s="66">
        <f t="shared" si="171"/>
        <v>2124.3699999999994</v>
      </c>
    </row>
    <row r="510" spans="1:12" ht="47.25">
      <c r="A510" s="43" t="s">
        <v>586</v>
      </c>
      <c r="B510" s="8" t="s">
        <v>587</v>
      </c>
      <c r="C510" s="8"/>
      <c r="D510" s="8"/>
      <c r="E510" s="3"/>
      <c r="F510" s="3"/>
      <c r="G510" s="66" t="e">
        <f>G511</f>
        <v>#REF!</v>
      </c>
      <c r="H510" s="66" t="e">
        <f aca="true" t="shared" si="172" ref="H510:L511">H511</f>
        <v>#REF!</v>
      </c>
      <c r="I510" s="66" t="e">
        <f t="shared" si="172"/>
        <v>#REF!</v>
      </c>
      <c r="J510" s="66" t="e">
        <f t="shared" si="172"/>
        <v>#REF!</v>
      </c>
      <c r="K510" s="66" t="e">
        <f t="shared" si="172"/>
        <v>#REF!</v>
      </c>
      <c r="L510" s="66">
        <f t="shared" si="172"/>
        <v>1401.8699999999994</v>
      </c>
    </row>
    <row r="511" spans="1:12" ht="15.75">
      <c r="A511" s="83" t="s">
        <v>432</v>
      </c>
      <c r="B511" s="42" t="s">
        <v>587</v>
      </c>
      <c r="C511" s="42" t="s">
        <v>275</v>
      </c>
      <c r="D511" s="42"/>
      <c r="E511" s="2"/>
      <c r="F511" s="2"/>
      <c r="G511" s="11" t="e">
        <f>G512</f>
        <v>#REF!</v>
      </c>
      <c r="H511" s="11" t="e">
        <f t="shared" si="172"/>
        <v>#REF!</v>
      </c>
      <c r="I511" s="11" t="e">
        <f t="shared" si="172"/>
        <v>#REF!</v>
      </c>
      <c r="J511" s="11" t="e">
        <f t="shared" si="172"/>
        <v>#REF!</v>
      </c>
      <c r="K511" s="11" t="e">
        <f t="shared" si="172"/>
        <v>#REF!</v>
      </c>
      <c r="L511" s="11">
        <f t="shared" si="172"/>
        <v>1401.8699999999994</v>
      </c>
    </row>
    <row r="512" spans="1:12" ht="15.75">
      <c r="A512" s="83" t="s">
        <v>583</v>
      </c>
      <c r="B512" s="42" t="s">
        <v>587</v>
      </c>
      <c r="C512" s="42" t="s">
        <v>275</v>
      </c>
      <c r="D512" s="42" t="s">
        <v>256</v>
      </c>
      <c r="E512" s="2"/>
      <c r="F512" s="2"/>
      <c r="G512" s="11" t="e">
        <f>G513+G516+G522</f>
        <v>#REF!</v>
      </c>
      <c r="H512" s="11" t="e">
        <f>H513+H516+H522</f>
        <v>#REF!</v>
      </c>
      <c r="I512" s="11" t="e">
        <f>I513+I516+I522</f>
        <v>#REF!</v>
      </c>
      <c r="J512" s="11" t="e">
        <f>J513+J516+J522</f>
        <v>#REF!</v>
      </c>
      <c r="K512" s="11" t="e">
        <f>K513+K516+K522</f>
        <v>#REF!</v>
      </c>
      <c r="L512" s="11">
        <f>L513+L516+L522+L525</f>
        <v>1401.8699999999994</v>
      </c>
    </row>
    <row r="513" spans="1:12" ht="15.75" customHeight="1" hidden="1">
      <c r="A513" s="26" t="s">
        <v>588</v>
      </c>
      <c r="B513" s="21" t="s">
        <v>589</v>
      </c>
      <c r="C513" s="42" t="s">
        <v>275</v>
      </c>
      <c r="D513" s="42" t="s">
        <v>256</v>
      </c>
      <c r="E513" s="2"/>
      <c r="F513" s="2"/>
      <c r="G513" s="11" t="e">
        <f>G514</f>
        <v>#REF!</v>
      </c>
      <c r="H513" s="11" t="e">
        <f aca="true" t="shared" si="173" ref="H513:L514">H514</f>
        <v>#REF!</v>
      </c>
      <c r="I513" s="11" t="e">
        <f t="shared" si="173"/>
        <v>#REF!</v>
      </c>
      <c r="J513" s="11" t="e">
        <f t="shared" si="173"/>
        <v>#REF!</v>
      </c>
      <c r="K513" s="11" t="e">
        <f t="shared" si="173"/>
        <v>#REF!</v>
      </c>
      <c r="L513" s="11">
        <f t="shared" si="173"/>
        <v>12.5</v>
      </c>
    </row>
    <row r="514" spans="1:12" ht="51" customHeight="1" hidden="1">
      <c r="A514" s="26" t="s">
        <v>172</v>
      </c>
      <c r="B514" s="21" t="s">
        <v>589</v>
      </c>
      <c r="C514" s="42" t="s">
        <v>275</v>
      </c>
      <c r="D514" s="42" t="s">
        <v>256</v>
      </c>
      <c r="E514" s="2">
        <v>200</v>
      </c>
      <c r="F514" s="2"/>
      <c r="G514" s="11" t="e">
        <f>G515</f>
        <v>#REF!</v>
      </c>
      <c r="H514" s="11" t="e">
        <f t="shared" si="173"/>
        <v>#REF!</v>
      </c>
      <c r="I514" s="11" t="e">
        <f t="shared" si="173"/>
        <v>#REF!</v>
      </c>
      <c r="J514" s="11" t="e">
        <f t="shared" si="173"/>
        <v>#REF!</v>
      </c>
      <c r="K514" s="11" t="e">
        <f t="shared" si="173"/>
        <v>#REF!</v>
      </c>
      <c r="L514" s="11">
        <f t="shared" si="173"/>
        <v>12.5</v>
      </c>
    </row>
    <row r="515" spans="1:12" ht="31.5" customHeight="1" hidden="1">
      <c r="A515" s="26" t="s">
        <v>174</v>
      </c>
      <c r="B515" s="21" t="s">
        <v>589</v>
      </c>
      <c r="C515" s="42" t="s">
        <v>275</v>
      </c>
      <c r="D515" s="42" t="s">
        <v>256</v>
      </c>
      <c r="E515" s="2">
        <v>240</v>
      </c>
      <c r="F515" s="2"/>
      <c r="G515" s="11" t="e">
        <f>#REF!</f>
        <v>#REF!</v>
      </c>
      <c r="H515" s="11" t="e">
        <f>#REF!</f>
        <v>#REF!</v>
      </c>
      <c r="I515" s="11" t="e">
        <f>#REF!</f>
        <v>#REF!</v>
      </c>
      <c r="J515" s="11" t="e">
        <f>#REF!</f>
        <v>#REF!</v>
      </c>
      <c r="K515" s="11" t="e">
        <f>#REF!</f>
        <v>#REF!</v>
      </c>
      <c r="L515" s="11">
        <f>'Прил.№5 ведомств.'!G1168</f>
        <v>12.5</v>
      </c>
    </row>
    <row r="516" spans="1:12" ht="31.5" customHeight="1">
      <c r="A516" s="26" t="s">
        <v>590</v>
      </c>
      <c r="B516" s="21" t="s">
        <v>591</v>
      </c>
      <c r="C516" s="42" t="s">
        <v>275</v>
      </c>
      <c r="D516" s="42" t="s">
        <v>256</v>
      </c>
      <c r="E516" s="2"/>
      <c r="F516" s="2"/>
      <c r="G516" s="11" t="e">
        <f>G517</f>
        <v>#REF!</v>
      </c>
      <c r="H516" s="11" t="e">
        <f aca="true" t="shared" si="174" ref="H516:L517">H517</f>
        <v>#REF!</v>
      </c>
      <c r="I516" s="11" t="e">
        <f t="shared" si="174"/>
        <v>#REF!</v>
      </c>
      <c r="J516" s="11" t="e">
        <f t="shared" si="174"/>
        <v>#REF!</v>
      </c>
      <c r="K516" s="11" t="e">
        <f t="shared" si="174"/>
        <v>#REF!</v>
      </c>
      <c r="L516" s="11">
        <f>L517+L519</f>
        <v>643.3</v>
      </c>
    </row>
    <row r="517" spans="1:12" ht="31.5">
      <c r="A517" s="26" t="s">
        <v>172</v>
      </c>
      <c r="B517" s="21" t="s">
        <v>591</v>
      </c>
      <c r="C517" s="42" t="s">
        <v>275</v>
      </c>
      <c r="D517" s="42" t="s">
        <v>256</v>
      </c>
      <c r="E517" s="2">
        <v>200</v>
      </c>
      <c r="F517" s="2"/>
      <c r="G517" s="11" t="e">
        <f>G518</f>
        <v>#REF!</v>
      </c>
      <c r="H517" s="11" t="e">
        <f t="shared" si="174"/>
        <v>#REF!</v>
      </c>
      <c r="I517" s="11" t="e">
        <f t="shared" si="174"/>
        <v>#REF!</v>
      </c>
      <c r="J517" s="11" t="e">
        <f t="shared" si="174"/>
        <v>#REF!</v>
      </c>
      <c r="K517" s="11" t="e">
        <f t="shared" si="174"/>
        <v>#REF!</v>
      </c>
      <c r="L517" s="11">
        <f t="shared" si="174"/>
        <v>602</v>
      </c>
    </row>
    <row r="518" spans="1:12" ht="31.5">
      <c r="A518" s="26" t="s">
        <v>174</v>
      </c>
      <c r="B518" s="21" t="s">
        <v>591</v>
      </c>
      <c r="C518" s="42" t="s">
        <v>275</v>
      </c>
      <c r="D518" s="42" t="s">
        <v>256</v>
      </c>
      <c r="E518" s="2">
        <v>240</v>
      </c>
      <c r="F518" s="2"/>
      <c r="G518" s="11" t="e">
        <f>#REF!</f>
        <v>#REF!</v>
      </c>
      <c r="H518" s="11" t="e">
        <f>#REF!</f>
        <v>#REF!</v>
      </c>
      <c r="I518" s="11" t="e">
        <f>#REF!</f>
        <v>#REF!</v>
      </c>
      <c r="J518" s="11" t="e">
        <f>#REF!</f>
        <v>#REF!</v>
      </c>
      <c r="K518" s="11" t="e">
        <f>#REF!</f>
        <v>#REF!</v>
      </c>
      <c r="L518" s="11">
        <f>'Прил.№5 ведомств.'!G1171</f>
        <v>602</v>
      </c>
    </row>
    <row r="519" spans="1:12" ht="15.75">
      <c r="A519" s="26" t="s">
        <v>176</v>
      </c>
      <c r="B519" s="21" t="s">
        <v>591</v>
      </c>
      <c r="C519" s="42" t="s">
        <v>275</v>
      </c>
      <c r="D519" s="42" t="s">
        <v>256</v>
      </c>
      <c r="E519" s="2">
        <v>800</v>
      </c>
      <c r="F519" s="2"/>
      <c r="G519" s="11"/>
      <c r="H519" s="11"/>
      <c r="I519" s="11"/>
      <c r="J519" s="11"/>
      <c r="K519" s="11"/>
      <c r="L519" s="11">
        <f>L521+L520</f>
        <v>41.3</v>
      </c>
    </row>
    <row r="520" spans="1:13" s="285" customFormat="1" ht="15.75">
      <c r="A520" s="26" t="s">
        <v>187</v>
      </c>
      <c r="B520" s="21" t="s">
        <v>591</v>
      </c>
      <c r="C520" s="42" t="s">
        <v>275</v>
      </c>
      <c r="D520" s="42" t="s">
        <v>256</v>
      </c>
      <c r="E520" s="2">
        <v>830</v>
      </c>
      <c r="F520" s="2"/>
      <c r="G520" s="11"/>
      <c r="H520" s="11"/>
      <c r="I520" s="11"/>
      <c r="J520" s="11"/>
      <c r="K520" s="11"/>
      <c r="L520" s="11">
        <f>'Прил.№5 ведомств.'!G1173</f>
        <v>41.3</v>
      </c>
      <c r="M520" s="286"/>
    </row>
    <row r="521" spans="1:12" ht="15.75" hidden="1">
      <c r="A521" s="26" t="s">
        <v>610</v>
      </c>
      <c r="B521" s="21" t="s">
        <v>591</v>
      </c>
      <c r="C521" s="42" t="s">
        <v>275</v>
      </c>
      <c r="D521" s="42" t="s">
        <v>256</v>
      </c>
      <c r="E521" s="2">
        <v>850</v>
      </c>
      <c r="F521" s="2"/>
      <c r="G521" s="11"/>
      <c r="H521" s="11"/>
      <c r="I521" s="11"/>
      <c r="J521" s="11"/>
      <c r="K521" s="11"/>
      <c r="L521" s="11">
        <f>'Прил.№5 ведомств.'!G1174</f>
        <v>0</v>
      </c>
    </row>
    <row r="522" spans="1:12" ht="15.75">
      <c r="A522" s="26" t="s">
        <v>592</v>
      </c>
      <c r="B522" s="21" t="s">
        <v>593</v>
      </c>
      <c r="C522" s="42" t="s">
        <v>275</v>
      </c>
      <c r="D522" s="42" t="s">
        <v>256</v>
      </c>
      <c r="E522" s="2"/>
      <c r="F522" s="2"/>
      <c r="G522" s="11" t="e">
        <f>G523</f>
        <v>#REF!</v>
      </c>
      <c r="H522" s="11" t="e">
        <f aca="true" t="shared" si="175" ref="H522:L523">H523</f>
        <v>#REF!</v>
      </c>
      <c r="I522" s="11" t="e">
        <f t="shared" si="175"/>
        <v>#REF!</v>
      </c>
      <c r="J522" s="11" t="e">
        <f t="shared" si="175"/>
        <v>#REF!</v>
      </c>
      <c r="K522" s="11" t="e">
        <f t="shared" si="175"/>
        <v>#REF!</v>
      </c>
      <c r="L522" s="11">
        <f t="shared" si="175"/>
        <v>746.0699999999995</v>
      </c>
    </row>
    <row r="523" spans="1:12" ht="31.5">
      <c r="A523" s="26" t="s">
        <v>172</v>
      </c>
      <c r="B523" s="21" t="s">
        <v>593</v>
      </c>
      <c r="C523" s="42" t="s">
        <v>275</v>
      </c>
      <c r="D523" s="42" t="s">
        <v>256</v>
      </c>
      <c r="E523" s="2">
        <v>200</v>
      </c>
      <c r="F523" s="2"/>
      <c r="G523" s="11" t="e">
        <f>G524</f>
        <v>#REF!</v>
      </c>
      <c r="H523" s="11" t="e">
        <f t="shared" si="175"/>
        <v>#REF!</v>
      </c>
      <c r="I523" s="11" t="e">
        <f t="shared" si="175"/>
        <v>#REF!</v>
      </c>
      <c r="J523" s="11" t="e">
        <f t="shared" si="175"/>
        <v>#REF!</v>
      </c>
      <c r="K523" s="11" t="e">
        <f t="shared" si="175"/>
        <v>#REF!</v>
      </c>
      <c r="L523" s="11">
        <f t="shared" si="175"/>
        <v>746.0699999999995</v>
      </c>
    </row>
    <row r="524" spans="1:12" ht="31.5">
      <c r="A524" s="26" t="s">
        <v>174</v>
      </c>
      <c r="B524" s="21" t="s">
        <v>593</v>
      </c>
      <c r="C524" s="42" t="s">
        <v>275</v>
      </c>
      <c r="D524" s="42" t="s">
        <v>256</v>
      </c>
      <c r="E524" s="2">
        <v>240</v>
      </c>
      <c r="F524" s="2"/>
      <c r="G524" s="11" t="e">
        <f>#REF!</f>
        <v>#REF!</v>
      </c>
      <c r="H524" s="11" t="e">
        <f>#REF!</f>
        <v>#REF!</v>
      </c>
      <c r="I524" s="11" t="e">
        <f>#REF!</f>
        <v>#REF!</v>
      </c>
      <c r="J524" s="11" t="e">
        <f>#REF!</f>
        <v>#REF!</v>
      </c>
      <c r="K524" s="11" t="e">
        <f>#REF!</f>
        <v>#REF!</v>
      </c>
      <c r="L524" s="11">
        <f>'Прил.№5 ведомств.'!G1177</f>
        <v>746.0699999999995</v>
      </c>
    </row>
    <row r="525" spans="1:12" ht="31.5" customHeight="1" hidden="1">
      <c r="A525" s="26" t="s">
        <v>603</v>
      </c>
      <c r="B525" s="21" t="s">
        <v>943</v>
      </c>
      <c r="C525" s="42" t="s">
        <v>908</v>
      </c>
      <c r="D525" s="42" t="s">
        <v>256</v>
      </c>
      <c r="E525" s="2"/>
      <c r="F525" s="2"/>
      <c r="G525" s="11"/>
      <c r="H525" s="11"/>
      <c r="I525" s="11"/>
      <c r="J525" s="11"/>
      <c r="K525" s="11"/>
      <c r="L525" s="11">
        <f>L526</f>
        <v>0</v>
      </c>
    </row>
    <row r="526" spans="1:12" ht="31.5" customHeight="1" hidden="1">
      <c r="A526" s="26" t="s">
        <v>172</v>
      </c>
      <c r="B526" s="21" t="s">
        <v>943</v>
      </c>
      <c r="C526" s="42" t="s">
        <v>908</v>
      </c>
      <c r="D526" s="42" t="s">
        <v>256</v>
      </c>
      <c r="E526" s="2">
        <v>200</v>
      </c>
      <c r="F526" s="2"/>
      <c r="G526" s="11"/>
      <c r="H526" s="11"/>
      <c r="I526" s="11"/>
      <c r="J526" s="11"/>
      <c r="K526" s="11"/>
      <c r="L526" s="11">
        <f>L527</f>
        <v>0</v>
      </c>
    </row>
    <row r="527" spans="1:12" ht="31.5" customHeight="1" hidden="1">
      <c r="A527" s="26" t="s">
        <v>174</v>
      </c>
      <c r="B527" s="21" t="s">
        <v>943</v>
      </c>
      <c r="C527" s="42" t="s">
        <v>908</v>
      </c>
      <c r="D527" s="42" t="s">
        <v>256</v>
      </c>
      <c r="E527" s="2">
        <v>240</v>
      </c>
      <c r="F527" s="2"/>
      <c r="G527" s="11"/>
      <c r="H527" s="11"/>
      <c r="I527" s="11"/>
      <c r="J527" s="11"/>
      <c r="K527" s="11"/>
      <c r="L527" s="11">
        <f>'Прил.№5 ведомств.'!G1180</f>
        <v>0</v>
      </c>
    </row>
    <row r="528" spans="1:12" ht="31.5">
      <c r="A528" s="47" t="s">
        <v>683</v>
      </c>
      <c r="B528" s="42" t="s">
        <v>587</v>
      </c>
      <c r="C528" s="42"/>
      <c r="D528" s="42"/>
      <c r="E528" s="2"/>
      <c r="F528" s="2">
        <v>908</v>
      </c>
      <c r="G528" s="11" t="e">
        <f aca="true" t="shared" si="176" ref="G528:L528">G510</f>
        <v>#REF!</v>
      </c>
      <c r="H528" s="11" t="e">
        <f t="shared" si="176"/>
        <v>#REF!</v>
      </c>
      <c r="I528" s="11" t="e">
        <f t="shared" si="176"/>
        <v>#REF!</v>
      </c>
      <c r="J528" s="11" t="e">
        <f t="shared" si="176"/>
        <v>#REF!</v>
      </c>
      <c r="K528" s="11" t="e">
        <f t="shared" si="176"/>
        <v>#REF!</v>
      </c>
      <c r="L528" s="11">
        <f t="shared" si="176"/>
        <v>1401.8699999999994</v>
      </c>
    </row>
    <row r="529" spans="1:12" ht="47.25">
      <c r="A529" s="24" t="s">
        <v>594</v>
      </c>
      <c r="B529" s="8" t="s">
        <v>595</v>
      </c>
      <c r="C529" s="8"/>
      <c r="D529" s="8"/>
      <c r="E529" s="3"/>
      <c r="F529" s="3"/>
      <c r="G529" s="66" t="e">
        <f>G530</f>
        <v>#REF!</v>
      </c>
      <c r="H529" s="66" t="e">
        <f aca="true" t="shared" si="177" ref="H529:L530">H530</f>
        <v>#REF!</v>
      </c>
      <c r="I529" s="66" t="e">
        <f t="shared" si="177"/>
        <v>#REF!</v>
      </c>
      <c r="J529" s="66" t="e">
        <f t="shared" si="177"/>
        <v>#REF!</v>
      </c>
      <c r="K529" s="66" t="e">
        <f t="shared" si="177"/>
        <v>#REF!</v>
      </c>
      <c r="L529" s="66">
        <f t="shared" si="177"/>
        <v>722.5</v>
      </c>
    </row>
    <row r="530" spans="1:12" ht="15.75">
      <c r="A530" s="83" t="s">
        <v>432</v>
      </c>
      <c r="B530" s="42" t="s">
        <v>595</v>
      </c>
      <c r="C530" s="42" t="s">
        <v>275</v>
      </c>
      <c r="D530" s="42"/>
      <c r="E530" s="2"/>
      <c r="F530" s="2"/>
      <c r="G530" s="11" t="e">
        <f>G531</f>
        <v>#REF!</v>
      </c>
      <c r="H530" s="11" t="e">
        <f t="shared" si="177"/>
        <v>#REF!</v>
      </c>
      <c r="I530" s="11" t="e">
        <f t="shared" si="177"/>
        <v>#REF!</v>
      </c>
      <c r="J530" s="11" t="e">
        <f t="shared" si="177"/>
        <v>#REF!</v>
      </c>
      <c r="K530" s="11" t="e">
        <f t="shared" si="177"/>
        <v>#REF!</v>
      </c>
      <c r="L530" s="11">
        <f t="shared" si="177"/>
        <v>722.5</v>
      </c>
    </row>
    <row r="531" spans="1:12" ht="15.75">
      <c r="A531" s="83" t="s">
        <v>583</v>
      </c>
      <c r="B531" s="42" t="s">
        <v>595</v>
      </c>
      <c r="C531" s="42" t="s">
        <v>275</v>
      </c>
      <c r="D531" s="42" t="s">
        <v>256</v>
      </c>
      <c r="E531" s="2"/>
      <c r="F531" s="2"/>
      <c r="G531" s="11" t="e">
        <f aca="true" t="shared" si="178" ref="G531:L531">G532+G537+G540+G545</f>
        <v>#REF!</v>
      </c>
      <c r="H531" s="11" t="e">
        <f t="shared" si="178"/>
        <v>#REF!</v>
      </c>
      <c r="I531" s="11" t="e">
        <f t="shared" si="178"/>
        <v>#REF!</v>
      </c>
      <c r="J531" s="11" t="e">
        <f t="shared" si="178"/>
        <v>#REF!</v>
      </c>
      <c r="K531" s="11" t="e">
        <f t="shared" si="178"/>
        <v>#REF!</v>
      </c>
      <c r="L531" s="11">
        <f t="shared" si="178"/>
        <v>722.5</v>
      </c>
    </row>
    <row r="532" spans="1:12" ht="15.75">
      <c r="A532" s="26" t="s">
        <v>592</v>
      </c>
      <c r="B532" s="21" t="s">
        <v>596</v>
      </c>
      <c r="C532" s="42" t="s">
        <v>275</v>
      </c>
      <c r="D532" s="42" t="s">
        <v>256</v>
      </c>
      <c r="E532" s="2"/>
      <c r="F532" s="2"/>
      <c r="G532" s="11" t="e">
        <f aca="true" t="shared" si="179" ref="G532:L532">G533+G535</f>
        <v>#REF!</v>
      </c>
      <c r="H532" s="11" t="e">
        <f t="shared" si="179"/>
        <v>#REF!</v>
      </c>
      <c r="I532" s="11" t="e">
        <f t="shared" si="179"/>
        <v>#REF!</v>
      </c>
      <c r="J532" s="11" t="e">
        <f t="shared" si="179"/>
        <v>#REF!</v>
      </c>
      <c r="K532" s="11" t="e">
        <f t="shared" si="179"/>
        <v>#REF!</v>
      </c>
      <c r="L532" s="11">
        <f t="shared" si="179"/>
        <v>11</v>
      </c>
    </row>
    <row r="533" spans="1:12" ht="78.75" customHeight="1" hidden="1">
      <c r="A533" s="26" t="s">
        <v>168</v>
      </c>
      <c r="B533" s="21" t="s">
        <v>596</v>
      </c>
      <c r="C533" s="42" t="s">
        <v>275</v>
      </c>
      <c r="D533" s="42" t="s">
        <v>256</v>
      </c>
      <c r="E533" s="2">
        <v>100</v>
      </c>
      <c r="F533" s="2"/>
      <c r="G533" s="11" t="e">
        <f aca="true" t="shared" si="180" ref="G533:L533">G534</f>
        <v>#REF!</v>
      </c>
      <c r="H533" s="11" t="e">
        <f t="shared" si="180"/>
        <v>#REF!</v>
      </c>
      <c r="I533" s="11" t="e">
        <f t="shared" si="180"/>
        <v>#REF!</v>
      </c>
      <c r="J533" s="11" t="e">
        <f t="shared" si="180"/>
        <v>#REF!</v>
      </c>
      <c r="K533" s="11" t="e">
        <f t="shared" si="180"/>
        <v>#REF!</v>
      </c>
      <c r="L533" s="11">
        <f t="shared" si="180"/>
        <v>0</v>
      </c>
    </row>
    <row r="534" spans="1:12" ht="15.75" customHeight="1" hidden="1">
      <c r="A534" s="47" t="s">
        <v>383</v>
      </c>
      <c r="B534" s="21" t="s">
        <v>596</v>
      </c>
      <c r="C534" s="42" t="s">
        <v>275</v>
      </c>
      <c r="D534" s="42" t="s">
        <v>256</v>
      </c>
      <c r="E534" s="2">
        <v>110</v>
      </c>
      <c r="F534" s="2"/>
      <c r="G534" s="11" t="e">
        <f>#REF!</f>
        <v>#REF!</v>
      </c>
      <c r="H534" s="11" t="e">
        <f>#REF!</f>
        <v>#REF!</v>
      </c>
      <c r="I534" s="11" t="e">
        <f>#REF!</f>
        <v>#REF!</v>
      </c>
      <c r="J534" s="11" t="e">
        <f>#REF!</f>
        <v>#REF!</v>
      </c>
      <c r="K534" s="11" t="e">
        <f>#REF!</f>
        <v>#REF!</v>
      </c>
      <c r="L534" s="11">
        <f>'Прил.№5 ведомств.'!G1184</f>
        <v>0</v>
      </c>
    </row>
    <row r="535" spans="1:12" ht="31.5">
      <c r="A535" s="26" t="s">
        <v>172</v>
      </c>
      <c r="B535" s="21" t="s">
        <v>596</v>
      </c>
      <c r="C535" s="42" t="s">
        <v>275</v>
      </c>
      <c r="D535" s="42" t="s">
        <v>256</v>
      </c>
      <c r="E535" s="2">
        <v>200</v>
      </c>
      <c r="F535" s="2"/>
      <c r="G535" s="11" t="e">
        <f aca="true" t="shared" si="181" ref="G535:L535">G536</f>
        <v>#REF!</v>
      </c>
      <c r="H535" s="11" t="e">
        <f t="shared" si="181"/>
        <v>#REF!</v>
      </c>
      <c r="I535" s="11" t="e">
        <f t="shared" si="181"/>
        <v>#REF!</v>
      </c>
      <c r="J535" s="11" t="e">
        <f t="shared" si="181"/>
        <v>#REF!</v>
      </c>
      <c r="K535" s="11" t="e">
        <f t="shared" si="181"/>
        <v>#REF!</v>
      </c>
      <c r="L535" s="11">
        <f t="shared" si="181"/>
        <v>11</v>
      </c>
    </row>
    <row r="536" spans="1:13" ht="31.5">
      <c r="A536" s="26" t="s">
        <v>174</v>
      </c>
      <c r="B536" s="21" t="s">
        <v>596</v>
      </c>
      <c r="C536" s="42" t="s">
        <v>275</v>
      </c>
      <c r="D536" s="42" t="s">
        <v>256</v>
      </c>
      <c r="E536" s="2">
        <v>240</v>
      </c>
      <c r="F536" s="2"/>
      <c r="G536" s="11" t="e">
        <f>#REF!</f>
        <v>#REF!</v>
      </c>
      <c r="H536" s="11" t="e">
        <f>#REF!</f>
        <v>#REF!</v>
      </c>
      <c r="I536" s="11" t="e">
        <f>#REF!</f>
        <v>#REF!</v>
      </c>
      <c r="J536" s="11" t="e">
        <f>#REF!</f>
        <v>#REF!</v>
      </c>
      <c r="K536" s="11" t="e">
        <f>#REF!</f>
        <v>#REF!</v>
      </c>
      <c r="L536" s="11">
        <f>'Прил.№5 ведомств.'!G1186</f>
        <v>11</v>
      </c>
      <c r="M536" s="286" t="s">
        <v>1089</v>
      </c>
    </row>
    <row r="537" spans="1:12" ht="15.75">
      <c r="A537" s="26" t="s">
        <v>597</v>
      </c>
      <c r="B537" s="21" t="s">
        <v>598</v>
      </c>
      <c r="C537" s="42" t="s">
        <v>275</v>
      </c>
      <c r="D537" s="42" t="s">
        <v>256</v>
      </c>
      <c r="E537" s="2"/>
      <c r="F537" s="2"/>
      <c r="G537" s="11" t="e">
        <f>G538</f>
        <v>#REF!</v>
      </c>
      <c r="H537" s="11" t="e">
        <f aca="true" t="shared" si="182" ref="H537:L538">H538</f>
        <v>#REF!</v>
      </c>
      <c r="I537" s="11" t="e">
        <f t="shared" si="182"/>
        <v>#REF!</v>
      </c>
      <c r="J537" s="11" t="e">
        <f t="shared" si="182"/>
        <v>#REF!</v>
      </c>
      <c r="K537" s="11" t="e">
        <f t="shared" si="182"/>
        <v>#REF!</v>
      </c>
      <c r="L537" s="11">
        <f t="shared" si="182"/>
        <v>4</v>
      </c>
    </row>
    <row r="538" spans="1:12" ht="31.5">
      <c r="A538" s="26" t="s">
        <v>172</v>
      </c>
      <c r="B538" s="21" t="s">
        <v>598</v>
      </c>
      <c r="C538" s="42" t="s">
        <v>275</v>
      </c>
      <c r="D538" s="42" t="s">
        <v>256</v>
      </c>
      <c r="E538" s="2">
        <v>200</v>
      </c>
      <c r="F538" s="2"/>
      <c r="G538" s="11" t="e">
        <f>G539</f>
        <v>#REF!</v>
      </c>
      <c r="H538" s="11" t="e">
        <f t="shared" si="182"/>
        <v>#REF!</v>
      </c>
      <c r="I538" s="11" t="e">
        <f t="shared" si="182"/>
        <v>#REF!</v>
      </c>
      <c r="J538" s="11" t="e">
        <f t="shared" si="182"/>
        <v>#REF!</v>
      </c>
      <c r="K538" s="11" t="e">
        <f t="shared" si="182"/>
        <v>#REF!</v>
      </c>
      <c r="L538" s="11">
        <f t="shared" si="182"/>
        <v>4</v>
      </c>
    </row>
    <row r="539" spans="1:13" ht="31.5">
      <c r="A539" s="26" t="s">
        <v>174</v>
      </c>
      <c r="B539" s="21" t="s">
        <v>598</v>
      </c>
      <c r="C539" s="42" t="s">
        <v>275</v>
      </c>
      <c r="D539" s="42" t="s">
        <v>256</v>
      </c>
      <c r="E539" s="2">
        <v>240</v>
      </c>
      <c r="F539" s="2"/>
      <c r="G539" s="11" t="e">
        <f>#REF!</f>
        <v>#REF!</v>
      </c>
      <c r="H539" s="11" t="e">
        <f>#REF!</f>
        <v>#REF!</v>
      </c>
      <c r="I539" s="11" t="e">
        <f>#REF!</f>
        <v>#REF!</v>
      </c>
      <c r="J539" s="11" t="e">
        <f>#REF!</f>
        <v>#REF!</v>
      </c>
      <c r="K539" s="11" t="e">
        <f>#REF!</f>
        <v>#REF!</v>
      </c>
      <c r="L539" s="11">
        <f>'Прил.№5 ведомств.'!G1189</f>
        <v>4</v>
      </c>
      <c r="M539" s="286" t="s">
        <v>1090</v>
      </c>
    </row>
    <row r="540" spans="1:12" ht="47.25">
      <c r="A540" s="47" t="s">
        <v>599</v>
      </c>
      <c r="B540" s="21" t="s">
        <v>600</v>
      </c>
      <c r="C540" s="42" t="s">
        <v>275</v>
      </c>
      <c r="D540" s="42" t="s">
        <v>256</v>
      </c>
      <c r="E540" s="2"/>
      <c r="F540" s="2"/>
      <c r="G540" s="11" t="e">
        <f>G541</f>
        <v>#REF!</v>
      </c>
      <c r="H540" s="11" t="e">
        <f aca="true" t="shared" si="183" ref="H540:L541">H541</f>
        <v>#REF!</v>
      </c>
      <c r="I540" s="11" t="e">
        <f t="shared" si="183"/>
        <v>#REF!</v>
      </c>
      <c r="J540" s="11" t="e">
        <f t="shared" si="183"/>
        <v>#REF!</v>
      </c>
      <c r="K540" s="11" t="e">
        <f t="shared" si="183"/>
        <v>#REF!</v>
      </c>
      <c r="L540" s="11">
        <f>L541+L543</f>
        <v>707.5</v>
      </c>
    </row>
    <row r="541" spans="1:12" ht="31.5">
      <c r="A541" s="26" t="s">
        <v>172</v>
      </c>
      <c r="B541" s="21" t="s">
        <v>600</v>
      </c>
      <c r="C541" s="42" t="s">
        <v>275</v>
      </c>
      <c r="D541" s="42" t="s">
        <v>256</v>
      </c>
      <c r="E541" s="2">
        <v>200</v>
      </c>
      <c r="F541" s="2"/>
      <c r="G541" s="11" t="e">
        <f>G542</f>
        <v>#REF!</v>
      </c>
      <c r="H541" s="11" t="e">
        <f t="shared" si="183"/>
        <v>#REF!</v>
      </c>
      <c r="I541" s="11" t="e">
        <f t="shared" si="183"/>
        <v>#REF!</v>
      </c>
      <c r="J541" s="11" t="e">
        <f t="shared" si="183"/>
        <v>#REF!</v>
      </c>
      <c r="K541" s="11" t="e">
        <f t="shared" si="183"/>
        <v>#REF!</v>
      </c>
      <c r="L541" s="11">
        <f t="shared" si="183"/>
        <v>632.5</v>
      </c>
    </row>
    <row r="542" spans="1:12" ht="31.5">
      <c r="A542" s="26" t="s">
        <v>174</v>
      </c>
      <c r="B542" s="21" t="s">
        <v>600</v>
      </c>
      <c r="C542" s="42" t="s">
        <v>275</v>
      </c>
      <c r="D542" s="42" t="s">
        <v>256</v>
      </c>
      <c r="E542" s="2">
        <v>240</v>
      </c>
      <c r="F542" s="2"/>
      <c r="G542" s="11" t="e">
        <f>#REF!</f>
        <v>#REF!</v>
      </c>
      <c r="H542" s="11" t="e">
        <f>#REF!</f>
        <v>#REF!</v>
      </c>
      <c r="I542" s="11" t="e">
        <f>#REF!</f>
        <v>#REF!</v>
      </c>
      <c r="J542" s="11" t="e">
        <f>#REF!</f>
        <v>#REF!</v>
      </c>
      <c r="K542" s="11" t="e">
        <f>#REF!</f>
        <v>#REF!</v>
      </c>
      <c r="L542" s="11">
        <f>'Прил.№5 ведомств.'!G1192</f>
        <v>632.5</v>
      </c>
    </row>
    <row r="543" spans="1:13" s="285" customFormat="1" ht="15.75">
      <c r="A543" s="31" t="s">
        <v>176</v>
      </c>
      <c r="B543" s="21" t="s">
        <v>600</v>
      </c>
      <c r="C543" s="42" t="s">
        <v>275</v>
      </c>
      <c r="D543" s="42" t="s">
        <v>256</v>
      </c>
      <c r="E543" s="2">
        <v>800</v>
      </c>
      <c r="F543" s="2"/>
      <c r="G543" s="11"/>
      <c r="H543" s="11"/>
      <c r="I543" s="11"/>
      <c r="J543" s="11"/>
      <c r="K543" s="11"/>
      <c r="L543" s="11">
        <f>L544</f>
        <v>75</v>
      </c>
      <c r="M543" s="286"/>
    </row>
    <row r="544" spans="1:13" s="285" customFormat="1" ht="15.75">
      <c r="A544" s="26" t="s">
        <v>779</v>
      </c>
      <c r="B544" s="21" t="s">
        <v>600</v>
      </c>
      <c r="C544" s="42" t="s">
        <v>275</v>
      </c>
      <c r="D544" s="42" t="s">
        <v>256</v>
      </c>
      <c r="E544" s="2">
        <v>850</v>
      </c>
      <c r="F544" s="2"/>
      <c r="G544" s="11"/>
      <c r="H544" s="11"/>
      <c r="I544" s="11"/>
      <c r="J544" s="11"/>
      <c r="K544" s="11"/>
      <c r="L544" s="11">
        <f>'Прил.№5 ведомств.'!G1194</f>
        <v>75</v>
      </c>
      <c r="M544" s="286" t="s">
        <v>1088</v>
      </c>
    </row>
    <row r="545" spans="1:12" ht="15.75" customHeight="1" hidden="1">
      <c r="A545" s="47" t="s">
        <v>601</v>
      </c>
      <c r="B545" s="21" t="s">
        <v>602</v>
      </c>
      <c r="C545" s="42" t="s">
        <v>275</v>
      </c>
      <c r="D545" s="42" t="s">
        <v>256</v>
      </c>
      <c r="E545" s="2"/>
      <c r="F545" s="2"/>
      <c r="G545" s="11" t="e">
        <f>G546</f>
        <v>#REF!</v>
      </c>
      <c r="H545" s="11" t="e">
        <f aca="true" t="shared" si="184" ref="H545:L546">H546</f>
        <v>#REF!</v>
      </c>
      <c r="I545" s="11" t="e">
        <f t="shared" si="184"/>
        <v>#REF!</v>
      </c>
      <c r="J545" s="11" t="e">
        <f t="shared" si="184"/>
        <v>#REF!</v>
      </c>
      <c r="K545" s="11" t="e">
        <f t="shared" si="184"/>
        <v>#REF!</v>
      </c>
      <c r="L545" s="11">
        <f t="shared" si="184"/>
        <v>0</v>
      </c>
    </row>
    <row r="546" spans="1:12" ht="31.5" customHeight="1" hidden="1">
      <c r="A546" s="26" t="s">
        <v>172</v>
      </c>
      <c r="B546" s="21" t="s">
        <v>602</v>
      </c>
      <c r="C546" s="42" t="s">
        <v>275</v>
      </c>
      <c r="D546" s="42" t="s">
        <v>256</v>
      </c>
      <c r="E546" s="2">
        <v>200</v>
      </c>
      <c r="F546" s="2"/>
      <c r="G546" s="11" t="e">
        <f>G547</f>
        <v>#REF!</v>
      </c>
      <c r="H546" s="11" t="e">
        <f t="shared" si="184"/>
        <v>#REF!</v>
      </c>
      <c r="I546" s="11" t="e">
        <f t="shared" si="184"/>
        <v>#REF!</v>
      </c>
      <c r="J546" s="11" t="e">
        <f t="shared" si="184"/>
        <v>#REF!</v>
      </c>
      <c r="K546" s="11" t="e">
        <f t="shared" si="184"/>
        <v>#REF!</v>
      </c>
      <c r="L546" s="11">
        <f t="shared" si="184"/>
        <v>0</v>
      </c>
    </row>
    <row r="547" spans="1:12" ht="31.5" customHeight="1" hidden="1">
      <c r="A547" s="26" t="s">
        <v>174</v>
      </c>
      <c r="B547" s="21" t="s">
        <v>602</v>
      </c>
      <c r="C547" s="42" t="s">
        <v>275</v>
      </c>
      <c r="D547" s="42" t="s">
        <v>256</v>
      </c>
      <c r="E547" s="2">
        <v>240</v>
      </c>
      <c r="F547" s="2"/>
      <c r="G547" s="11" t="e">
        <f>#REF!</f>
        <v>#REF!</v>
      </c>
      <c r="H547" s="11" t="e">
        <f>#REF!</f>
        <v>#REF!</v>
      </c>
      <c r="I547" s="11" t="e">
        <f>#REF!</f>
        <v>#REF!</v>
      </c>
      <c r="J547" s="11" t="e">
        <f>#REF!</f>
        <v>#REF!</v>
      </c>
      <c r="K547" s="11" t="e">
        <f>#REF!</f>
        <v>#REF!</v>
      </c>
      <c r="L547" s="11">
        <f>'Прил.№5 ведомств.'!G1197</f>
        <v>0</v>
      </c>
    </row>
    <row r="548" spans="1:12" ht="31.5">
      <c r="A548" s="47" t="s">
        <v>683</v>
      </c>
      <c r="B548" s="21" t="s">
        <v>595</v>
      </c>
      <c r="C548" s="42"/>
      <c r="D548" s="42"/>
      <c r="E548" s="2"/>
      <c r="F548" s="2">
        <v>908</v>
      </c>
      <c r="G548" s="11" t="e">
        <f aca="true" t="shared" si="185" ref="G548:L548">G529</f>
        <v>#REF!</v>
      </c>
      <c r="H548" s="11" t="e">
        <f t="shared" si="185"/>
        <v>#REF!</v>
      </c>
      <c r="I548" s="11" t="e">
        <f t="shared" si="185"/>
        <v>#REF!</v>
      </c>
      <c r="J548" s="11" t="e">
        <f t="shared" si="185"/>
        <v>#REF!</v>
      </c>
      <c r="K548" s="11" t="e">
        <f t="shared" si="185"/>
        <v>#REF!</v>
      </c>
      <c r="L548" s="11">
        <f t="shared" si="185"/>
        <v>722.5</v>
      </c>
    </row>
    <row r="549" spans="1:12" ht="47.25">
      <c r="A549" s="36" t="s">
        <v>222</v>
      </c>
      <c r="B549" s="263" t="s">
        <v>223</v>
      </c>
      <c r="C549" s="8"/>
      <c r="D549" s="8"/>
      <c r="E549" s="8"/>
      <c r="F549" s="3"/>
      <c r="G549" s="66" t="e">
        <f aca="true" t="shared" si="186" ref="G549:L549">G550+G556</f>
        <v>#REF!</v>
      </c>
      <c r="H549" s="66" t="e">
        <f t="shared" si="186"/>
        <v>#REF!</v>
      </c>
      <c r="I549" s="66" t="e">
        <f t="shared" si="186"/>
        <v>#REF!</v>
      </c>
      <c r="J549" s="66" t="e">
        <f t="shared" si="186"/>
        <v>#REF!</v>
      </c>
      <c r="K549" s="66" t="e">
        <f t="shared" si="186"/>
        <v>#REF!</v>
      </c>
      <c r="L549" s="66">
        <f t="shared" si="186"/>
        <v>100</v>
      </c>
    </row>
    <row r="550" spans="1:12" ht="15.75" customHeight="1" hidden="1">
      <c r="A550" s="26" t="s">
        <v>158</v>
      </c>
      <c r="B550" s="6" t="s">
        <v>223</v>
      </c>
      <c r="C550" s="42" t="s">
        <v>159</v>
      </c>
      <c r="D550" s="42"/>
      <c r="E550" s="42"/>
      <c r="F550" s="2"/>
      <c r="G550" s="11" t="e">
        <f>G551</f>
        <v>#REF!</v>
      </c>
      <c r="H550" s="11" t="e">
        <f aca="true" t="shared" si="187" ref="H550:L553">H551</f>
        <v>#REF!</v>
      </c>
      <c r="I550" s="11" t="e">
        <f t="shared" si="187"/>
        <v>#REF!</v>
      </c>
      <c r="J550" s="11" t="e">
        <f t="shared" si="187"/>
        <v>#REF!</v>
      </c>
      <c r="K550" s="11" t="e">
        <f t="shared" si="187"/>
        <v>#REF!</v>
      </c>
      <c r="L550" s="11">
        <f t="shared" si="187"/>
        <v>0</v>
      </c>
    </row>
    <row r="551" spans="1:12" ht="15.75" customHeight="1" hidden="1">
      <c r="A551" s="26" t="s">
        <v>180</v>
      </c>
      <c r="B551" s="6" t="s">
        <v>223</v>
      </c>
      <c r="C551" s="42" t="s">
        <v>159</v>
      </c>
      <c r="D551" s="42" t="s">
        <v>181</v>
      </c>
      <c r="E551" s="42"/>
      <c r="F551" s="2"/>
      <c r="G551" s="11" t="e">
        <f>G552</f>
        <v>#REF!</v>
      </c>
      <c r="H551" s="11" t="e">
        <f t="shared" si="187"/>
        <v>#REF!</v>
      </c>
      <c r="I551" s="11" t="e">
        <f t="shared" si="187"/>
        <v>#REF!</v>
      </c>
      <c r="J551" s="11" t="e">
        <f t="shared" si="187"/>
        <v>#REF!</v>
      </c>
      <c r="K551" s="11" t="e">
        <f t="shared" si="187"/>
        <v>#REF!</v>
      </c>
      <c r="L551" s="11">
        <f t="shared" si="187"/>
        <v>0</v>
      </c>
    </row>
    <row r="552" spans="1:12" ht="31.5" customHeight="1" hidden="1">
      <c r="A552" s="31" t="s">
        <v>198</v>
      </c>
      <c r="B552" s="21" t="s">
        <v>224</v>
      </c>
      <c r="C552" s="42" t="s">
        <v>159</v>
      </c>
      <c r="D552" s="42" t="s">
        <v>181</v>
      </c>
      <c r="E552" s="42"/>
      <c r="F552" s="2"/>
      <c r="G552" s="11" t="e">
        <f>G553</f>
        <v>#REF!</v>
      </c>
      <c r="H552" s="11" t="e">
        <f t="shared" si="187"/>
        <v>#REF!</v>
      </c>
      <c r="I552" s="11" t="e">
        <f t="shared" si="187"/>
        <v>#REF!</v>
      </c>
      <c r="J552" s="11" t="e">
        <f t="shared" si="187"/>
        <v>#REF!</v>
      </c>
      <c r="K552" s="11" t="e">
        <f t="shared" si="187"/>
        <v>#REF!</v>
      </c>
      <c r="L552" s="11">
        <f t="shared" si="187"/>
        <v>0</v>
      </c>
    </row>
    <row r="553" spans="1:12" ht="31.5" customHeight="1" hidden="1">
      <c r="A553" s="31" t="s">
        <v>172</v>
      </c>
      <c r="B553" s="21" t="s">
        <v>224</v>
      </c>
      <c r="C553" s="42" t="s">
        <v>159</v>
      </c>
      <c r="D553" s="42" t="s">
        <v>181</v>
      </c>
      <c r="E553" s="42" t="s">
        <v>186</v>
      </c>
      <c r="F553" s="2"/>
      <c r="G553" s="11" t="e">
        <f>G554</f>
        <v>#REF!</v>
      </c>
      <c r="H553" s="11" t="e">
        <f t="shared" si="187"/>
        <v>#REF!</v>
      </c>
      <c r="I553" s="11" t="e">
        <f t="shared" si="187"/>
        <v>#REF!</v>
      </c>
      <c r="J553" s="11" t="e">
        <f t="shared" si="187"/>
        <v>#REF!</v>
      </c>
      <c r="K553" s="11" t="e">
        <f t="shared" si="187"/>
        <v>#REF!</v>
      </c>
      <c r="L553" s="11">
        <f t="shared" si="187"/>
        <v>0</v>
      </c>
    </row>
    <row r="554" spans="1:12" ht="47.25" customHeight="1" hidden="1">
      <c r="A554" s="31" t="s">
        <v>225</v>
      </c>
      <c r="B554" s="21" t="s">
        <v>224</v>
      </c>
      <c r="C554" s="42" t="s">
        <v>159</v>
      </c>
      <c r="D554" s="42" t="s">
        <v>181</v>
      </c>
      <c r="E554" s="42" t="s">
        <v>201</v>
      </c>
      <c r="F554" s="2"/>
      <c r="G554" s="11" t="e">
        <f>#REF!</f>
        <v>#REF!</v>
      </c>
      <c r="H554" s="11" t="e">
        <f>#REF!</f>
        <v>#REF!</v>
      </c>
      <c r="I554" s="11" t="e">
        <f>#REF!</f>
        <v>#REF!</v>
      </c>
      <c r="J554" s="11" t="e">
        <f>#REF!</f>
        <v>#REF!</v>
      </c>
      <c r="K554" s="11" t="e">
        <f>#REF!</f>
        <v>#REF!</v>
      </c>
      <c r="L554" s="11">
        <f>'Прил.№5 ведомств.'!G90</f>
        <v>0</v>
      </c>
    </row>
    <row r="555" spans="1:12" ht="15.75" customHeight="1" hidden="1">
      <c r="A555" s="31" t="s">
        <v>189</v>
      </c>
      <c r="B555" s="6" t="s">
        <v>223</v>
      </c>
      <c r="C555" s="42" t="s">
        <v>159</v>
      </c>
      <c r="D555" s="42" t="s">
        <v>181</v>
      </c>
      <c r="E555" s="42"/>
      <c r="F555" s="2">
        <v>902</v>
      </c>
      <c r="G555" s="11" t="e">
        <f>G549</f>
        <v>#REF!</v>
      </c>
      <c r="H555" s="11" t="e">
        <f>H549</f>
        <v>#REF!</v>
      </c>
      <c r="I555" s="11" t="e">
        <f>I549</f>
        <v>#REF!</v>
      </c>
      <c r="J555" s="11" t="e">
        <f>J549</f>
        <v>#REF!</v>
      </c>
      <c r="K555" s="11" t="e">
        <f>K549</f>
        <v>#REF!</v>
      </c>
      <c r="L555" s="11">
        <f>L550</f>
        <v>0</v>
      </c>
    </row>
    <row r="556" spans="1:12" ht="15.75">
      <c r="A556" s="31" t="s">
        <v>273</v>
      </c>
      <c r="B556" s="6" t="s">
        <v>223</v>
      </c>
      <c r="C556" s="42" t="s">
        <v>191</v>
      </c>
      <c r="D556" s="42"/>
      <c r="E556" s="42"/>
      <c r="F556" s="2"/>
      <c r="G556" s="11">
        <f>G557</f>
        <v>0</v>
      </c>
      <c r="H556" s="11">
        <f aca="true" t="shared" si="188" ref="H556:L559">H557</f>
        <v>0</v>
      </c>
      <c r="I556" s="11">
        <f t="shared" si="188"/>
        <v>100</v>
      </c>
      <c r="J556" s="11">
        <f t="shared" si="188"/>
        <v>100</v>
      </c>
      <c r="K556" s="11">
        <f t="shared" si="188"/>
        <v>100</v>
      </c>
      <c r="L556" s="11">
        <f t="shared" si="188"/>
        <v>100</v>
      </c>
    </row>
    <row r="557" spans="1:12" ht="15.75">
      <c r="A557" s="31" t="s">
        <v>274</v>
      </c>
      <c r="B557" s="6" t="s">
        <v>223</v>
      </c>
      <c r="C557" s="42" t="s">
        <v>191</v>
      </c>
      <c r="D557" s="42" t="s">
        <v>275</v>
      </c>
      <c r="E557" s="42"/>
      <c r="F557" s="2"/>
      <c r="G557" s="11">
        <f>G558</f>
        <v>0</v>
      </c>
      <c r="H557" s="11">
        <f t="shared" si="188"/>
        <v>0</v>
      </c>
      <c r="I557" s="11">
        <f t="shared" si="188"/>
        <v>100</v>
      </c>
      <c r="J557" s="11">
        <f t="shared" si="188"/>
        <v>100</v>
      </c>
      <c r="K557" s="11">
        <f t="shared" si="188"/>
        <v>100</v>
      </c>
      <c r="L557" s="11">
        <f>L558+L561</f>
        <v>100</v>
      </c>
    </row>
    <row r="558" spans="1:12" ht="31.5">
      <c r="A558" s="31" t="s">
        <v>198</v>
      </c>
      <c r="B558" s="21" t="s">
        <v>224</v>
      </c>
      <c r="C558" s="42" t="s">
        <v>191</v>
      </c>
      <c r="D558" s="42" t="s">
        <v>275</v>
      </c>
      <c r="E558" s="42"/>
      <c r="F558" s="2"/>
      <c r="G558" s="11">
        <f>G559</f>
        <v>0</v>
      </c>
      <c r="H558" s="11">
        <f t="shared" si="188"/>
        <v>0</v>
      </c>
      <c r="I558" s="11">
        <f t="shared" si="188"/>
        <v>100</v>
      </c>
      <c r="J558" s="11">
        <f t="shared" si="188"/>
        <v>100</v>
      </c>
      <c r="K558" s="11">
        <f t="shared" si="188"/>
        <v>100</v>
      </c>
      <c r="L558" s="11">
        <f t="shared" si="188"/>
        <v>100</v>
      </c>
    </row>
    <row r="559" spans="1:12" ht="31.5">
      <c r="A559" s="31" t="s">
        <v>172</v>
      </c>
      <c r="B559" s="21" t="s">
        <v>224</v>
      </c>
      <c r="C559" s="42" t="s">
        <v>191</v>
      </c>
      <c r="D559" s="42" t="s">
        <v>275</v>
      </c>
      <c r="E559" s="42" t="s">
        <v>186</v>
      </c>
      <c r="F559" s="2"/>
      <c r="G559" s="11">
        <f>G560</f>
        <v>0</v>
      </c>
      <c r="H559" s="11">
        <f t="shared" si="188"/>
        <v>0</v>
      </c>
      <c r="I559" s="11">
        <f t="shared" si="188"/>
        <v>100</v>
      </c>
      <c r="J559" s="11">
        <f t="shared" si="188"/>
        <v>100</v>
      </c>
      <c r="K559" s="11">
        <f t="shared" si="188"/>
        <v>100</v>
      </c>
      <c r="L559" s="11">
        <f t="shared" si="188"/>
        <v>100</v>
      </c>
    </row>
    <row r="560" spans="1:12" ht="47.25">
      <c r="A560" s="31" t="s">
        <v>225</v>
      </c>
      <c r="B560" s="21" t="s">
        <v>224</v>
      </c>
      <c r="C560" s="42" t="s">
        <v>191</v>
      </c>
      <c r="D560" s="42" t="s">
        <v>275</v>
      </c>
      <c r="E560" s="42" t="s">
        <v>201</v>
      </c>
      <c r="F560" s="2"/>
      <c r="G560" s="11">
        <v>0</v>
      </c>
      <c r="H560" s="11">
        <v>0</v>
      </c>
      <c r="I560" s="11">
        <v>100</v>
      </c>
      <c r="J560" s="11">
        <v>100</v>
      </c>
      <c r="K560" s="11">
        <v>100</v>
      </c>
      <c r="L560" s="11">
        <f>'Прил.№5 ведомств.'!G193</f>
        <v>100</v>
      </c>
    </row>
    <row r="561" spans="1:12" ht="31.5" customHeight="1" hidden="1">
      <c r="A561" s="26" t="s">
        <v>939</v>
      </c>
      <c r="B561" s="21" t="s">
        <v>941</v>
      </c>
      <c r="C561" s="42" t="s">
        <v>191</v>
      </c>
      <c r="D561" s="42" t="s">
        <v>275</v>
      </c>
      <c r="E561" s="42"/>
      <c r="F561" s="2"/>
      <c r="G561" s="11"/>
      <c r="H561" s="11"/>
      <c r="I561" s="11"/>
      <c r="J561" s="11"/>
      <c r="K561" s="11"/>
      <c r="L561" s="11">
        <f>L562</f>
        <v>0</v>
      </c>
    </row>
    <row r="562" spans="1:12" ht="15.75" customHeight="1" hidden="1">
      <c r="A562" s="31" t="s">
        <v>176</v>
      </c>
      <c r="B562" s="21" t="s">
        <v>941</v>
      </c>
      <c r="C562" s="42" t="s">
        <v>191</v>
      </c>
      <c r="D562" s="42" t="s">
        <v>275</v>
      </c>
      <c r="E562" s="42" t="s">
        <v>186</v>
      </c>
      <c r="F562" s="2"/>
      <c r="G562" s="11"/>
      <c r="H562" s="11"/>
      <c r="I562" s="11"/>
      <c r="J562" s="11"/>
      <c r="K562" s="11"/>
      <c r="L562" s="11">
        <f>L563</f>
        <v>0</v>
      </c>
    </row>
    <row r="563" spans="1:12" ht="47.25" customHeight="1" hidden="1">
      <c r="A563" s="31" t="s">
        <v>225</v>
      </c>
      <c r="B563" s="21" t="s">
        <v>941</v>
      </c>
      <c r="C563" s="42" t="s">
        <v>191</v>
      </c>
      <c r="D563" s="42" t="s">
        <v>275</v>
      </c>
      <c r="E563" s="42" t="s">
        <v>201</v>
      </c>
      <c r="F563" s="2"/>
      <c r="G563" s="11"/>
      <c r="H563" s="11"/>
      <c r="I563" s="11"/>
      <c r="J563" s="11"/>
      <c r="K563" s="11"/>
      <c r="L563" s="11">
        <f>'Прил.№5 ведомств.'!G196</f>
        <v>0</v>
      </c>
    </row>
    <row r="564" spans="1:12" ht="15.75">
      <c r="A564" s="31" t="s">
        <v>189</v>
      </c>
      <c r="B564" s="6" t="s">
        <v>223</v>
      </c>
      <c r="C564" s="42"/>
      <c r="D564" s="42"/>
      <c r="E564" s="42"/>
      <c r="F564" s="2">
        <v>902</v>
      </c>
      <c r="G564" s="11">
        <f aca="true" t="shared" si="189" ref="G564:L564">G556</f>
        <v>0</v>
      </c>
      <c r="H564" s="11">
        <f t="shared" si="189"/>
        <v>0</v>
      </c>
      <c r="I564" s="11">
        <f t="shared" si="189"/>
        <v>100</v>
      </c>
      <c r="J564" s="11">
        <f t="shared" si="189"/>
        <v>100</v>
      </c>
      <c r="K564" s="11">
        <f t="shared" si="189"/>
        <v>100</v>
      </c>
      <c r="L564" s="11">
        <f t="shared" si="189"/>
        <v>100</v>
      </c>
    </row>
    <row r="565" spans="1:12" ht="63">
      <c r="A565" s="43" t="s">
        <v>1060</v>
      </c>
      <c r="B565" s="8" t="s">
        <v>560</v>
      </c>
      <c r="C565" s="8"/>
      <c r="D565" s="8"/>
      <c r="E565" s="82"/>
      <c r="F565" s="3"/>
      <c r="G565" s="66" t="e">
        <f>G566</f>
        <v>#REF!</v>
      </c>
      <c r="H565" s="66" t="e">
        <f aca="true" t="shared" si="190" ref="H565:L566">H566</f>
        <v>#REF!</v>
      </c>
      <c r="I565" s="66" t="e">
        <f t="shared" si="190"/>
        <v>#REF!</v>
      </c>
      <c r="J565" s="66" t="e">
        <f t="shared" si="190"/>
        <v>#REF!</v>
      </c>
      <c r="K565" s="66" t="e">
        <f t="shared" si="190"/>
        <v>#REF!</v>
      </c>
      <c r="L565" s="66">
        <f t="shared" si="190"/>
        <v>9226.800000000001</v>
      </c>
    </row>
    <row r="566" spans="1:12" ht="15.75">
      <c r="A566" s="31" t="s">
        <v>432</v>
      </c>
      <c r="B566" s="42" t="s">
        <v>560</v>
      </c>
      <c r="C566" s="42" t="s">
        <v>275</v>
      </c>
      <c r="D566" s="42"/>
      <c r="E566" s="83"/>
      <c r="F566" s="2"/>
      <c r="G566" s="11" t="e">
        <f>G567</f>
        <v>#REF!</v>
      </c>
      <c r="H566" s="11" t="e">
        <f t="shared" si="190"/>
        <v>#REF!</v>
      </c>
      <c r="I566" s="11" t="e">
        <f t="shared" si="190"/>
        <v>#REF!</v>
      </c>
      <c r="J566" s="11" t="e">
        <f t="shared" si="190"/>
        <v>#REF!</v>
      </c>
      <c r="K566" s="11" t="e">
        <f t="shared" si="190"/>
        <v>#REF!</v>
      </c>
      <c r="L566" s="11">
        <f t="shared" si="190"/>
        <v>9226.800000000001</v>
      </c>
    </row>
    <row r="567" spans="1:12" ht="15.75">
      <c r="A567" s="31" t="s">
        <v>559</v>
      </c>
      <c r="B567" s="42" t="s">
        <v>560</v>
      </c>
      <c r="C567" s="42" t="s">
        <v>275</v>
      </c>
      <c r="D567" s="42" t="s">
        <v>254</v>
      </c>
      <c r="E567" s="83"/>
      <c r="F567" s="2"/>
      <c r="G567" s="11" t="e">
        <f aca="true" t="shared" si="191" ref="G567:L567">G572+G575+G580+G585+G590+G593+G596</f>
        <v>#REF!</v>
      </c>
      <c r="H567" s="11" t="e">
        <f t="shared" si="191"/>
        <v>#REF!</v>
      </c>
      <c r="I567" s="11" t="e">
        <f t="shared" si="191"/>
        <v>#REF!</v>
      </c>
      <c r="J567" s="11" t="e">
        <f t="shared" si="191"/>
        <v>#REF!</v>
      </c>
      <c r="K567" s="11" t="e">
        <f t="shared" si="191"/>
        <v>#REF!</v>
      </c>
      <c r="L567" s="11">
        <f t="shared" si="191"/>
        <v>9226.800000000001</v>
      </c>
    </row>
    <row r="568" spans="1:12" ht="31.5" customHeight="1" hidden="1">
      <c r="A568" s="26" t="s">
        <v>561</v>
      </c>
      <c r="B568" s="21" t="s">
        <v>562</v>
      </c>
      <c r="C568" s="42" t="s">
        <v>275</v>
      </c>
      <c r="D568" s="42" t="s">
        <v>254</v>
      </c>
      <c r="E568" s="83"/>
      <c r="F568" s="2"/>
      <c r="G568" s="11">
        <f>G569</f>
        <v>0</v>
      </c>
      <c r="H568" s="11">
        <f aca="true" t="shared" si="192" ref="H568:L569">H569</f>
        <v>0</v>
      </c>
      <c r="I568" s="11">
        <f t="shared" si="192"/>
        <v>0</v>
      </c>
      <c r="J568" s="11">
        <f t="shared" si="192"/>
        <v>0</v>
      </c>
      <c r="K568" s="11">
        <f t="shared" si="192"/>
        <v>0</v>
      </c>
      <c r="L568" s="11">
        <f t="shared" si="192"/>
        <v>0</v>
      </c>
    </row>
    <row r="569" spans="1:12" ht="31.5" customHeight="1" hidden="1">
      <c r="A569" s="31" t="s">
        <v>172</v>
      </c>
      <c r="B569" s="21" t="s">
        <v>562</v>
      </c>
      <c r="C569" s="42" t="s">
        <v>275</v>
      </c>
      <c r="D569" s="42" t="s">
        <v>254</v>
      </c>
      <c r="E569" s="42" t="s">
        <v>173</v>
      </c>
      <c r="F569" s="2"/>
      <c r="G569" s="11">
        <f>G570</f>
        <v>0</v>
      </c>
      <c r="H569" s="11">
        <f t="shared" si="192"/>
        <v>0</v>
      </c>
      <c r="I569" s="11">
        <f t="shared" si="192"/>
        <v>0</v>
      </c>
      <c r="J569" s="11">
        <f t="shared" si="192"/>
        <v>0</v>
      </c>
      <c r="K569" s="11">
        <f t="shared" si="192"/>
        <v>0</v>
      </c>
      <c r="L569" s="11">
        <f t="shared" si="192"/>
        <v>0</v>
      </c>
    </row>
    <row r="570" spans="1:12" ht="31.5" customHeight="1" hidden="1">
      <c r="A570" s="31" t="s">
        <v>174</v>
      </c>
      <c r="B570" s="21" t="s">
        <v>562</v>
      </c>
      <c r="C570" s="42" t="s">
        <v>275</v>
      </c>
      <c r="D570" s="42" t="s">
        <v>254</v>
      </c>
      <c r="E570" s="42" t="s">
        <v>175</v>
      </c>
      <c r="F570" s="2"/>
      <c r="G570" s="11"/>
      <c r="H570" s="11"/>
      <c r="I570" s="11"/>
      <c r="J570" s="11"/>
      <c r="K570" s="11"/>
      <c r="L570" s="11"/>
    </row>
    <row r="571" spans="1:12" ht="31.5" customHeight="1" hidden="1">
      <c r="A571" s="47" t="s">
        <v>683</v>
      </c>
      <c r="B571" s="21" t="s">
        <v>562</v>
      </c>
      <c r="C571" s="42"/>
      <c r="D571" s="42"/>
      <c r="E571" s="42"/>
      <c r="F571" s="2">
        <v>908</v>
      </c>
      <c r="G571" s="11">
        <f aca="true" t="shared" si="193" ref="G571:L571">G568</f>
        <v>0</v>
      </c>
      <c r="H571" s="11">
        <f t="shared" si="193"/>
        <v>0</v>
      </c>
      <c r="I571" s="11">
        <f t="shared" si="193"/>
        <v>0</v>
      </c>
      <c r="J571" s="11">
        <f t="shared" si="193"/>
        <v>0</v>
      </c>
      <c r="K571" s="11">
        <f t="shared" si="193"/>
        <v>0</v>
      </c>
      <c r="L571" s="11">
        <f t="shared" si="193"/>
        <v>0</v>
      </c>
    </row>
    <row r="572" spans="1:12" ht="15.75">
      <c r="A572" s="47" t="s">
        <v>563</v>
      </c>
      <c r="B572" s="21" t="s">
        <v>564</v>
      </c>
      <c r="C572" s="42" t="s">
        <v>275</v>
      </c>
      <c r="D572" s="42" t="s">
        <v>254</v>
      </c>
      <c r="E572" s="42"/>
      <c r="F572" s="2"/>
      <c r="G572" s="11" t="e">
        <f>G573</f>
        <v>#REF!</v>
      </c>
      <c r="H572" s="11" t="e">
        <f aca="true" t="shared" si="194" ref="H572:L573">H573</f>
        <v>#REF!</v>
      </c>
      <c r="I572" s="11" t="e">
        <f t="shared" si="194"/>
        <v>#REF!</v>
      </c>
      <c r="J572" s="11" t="e">
        <f t="shared" si="194"/>
        <v>#REF!</v>
      </c>
      <c r="K572" s="11" t="e">
        <f t="shared" si="194"/>
        <v>#REF!</v>
      </c>
      <c r="L572" s="11">
        <f t="shared" si="194"/>
        <v>4377</v>
      </c>
    </row>
    <row r="573" spans="1:12" ht="31.5">
      <c r="A573" s="33" t="s">
        <v>172</v>
      </c>
      <c r="B573" s="21" t="s">
        <v>564</v>
      </c>
      <c r="C573" s="42" t="s">
        <v>275</v>
      </c>
      <c r="D573" s="42" t="s">
        <v>254</v>
      </c>
      <c r="E573" s="42" t="s">
        <v>173</v>
      </c>
      <c r="F573" s="2"/>
      <c r="G573" s="11" t="e">
        <f>G574</f>
        <v>#REF!</v>
      </c>
      <c r="H573" s="11" t="e">
        <f t="shared" si="194"/>
        <v>#REF!</v>
      </c>
      <c r="I573" s="11" t="e">
        <f t="shared" si="194"/>
        <v>#REF!</v>
      </c>
      <c r="J573" s="11" t="e">
        <f t="shared" si="194"/>
        <v>#REF!</v>
      </c>
      <c r="K573" s="11" t="e">
        <f t="shared" si="194"/>
        <v>#REF!</v>
      </c>
      <c r="L573" s="11">
        <f t="shared" si="194"/>
        <v>4377</v>
      </c>
    </row>
    <row r="574" spans="1:12" ht="31.5">
      <c r="A574" s="33" t="s">
        <v>174</v>
      </c>
      <c r="B574" s="21" t="s">
        <v>564</v>
      </c>
      <c r="C574" s="42" t="s">
        <v>275</v>
      </c>
      <c r="D574" s="42" t="s">
        <v>254</v>
      </c>
      <c r="E574" s="42" t="s">
        <v>175</v>
      </c>
      <c r="F574" s="2"/>
      <c r="G574" s="11" t="e">
        <f>#REF!</f>
        <v>#REF!</v>
      </c>
      <c r="H574" s="11" t="e">
        <f>#REF!</f>
        <v>#REF!</v>
      </c>
      <c r="I574" s="11" t="e">
        <f>#REF!</f>
        <v>#REF!</v>
      </c>
      <c r="J574" s="11" t="e">
        <f>#REF!</f>
        <v>#REF!</v>
      </c>
      <c r="K574" s="11" t="e">
        <f>#REF!</f>
        <v>#REF!</v>
      </c>
      <c r="L574" s="11">
        <f>'Прил.№5 ведомств.'!G1087</f>
        <v>4377</v>
      </c>
    </row>
    <row r="575" spans="1:12" ht="15.75" customHeight="1">
      <c r="A575" s="47" t="s">
        <v>565</v>
      </c>
      <c r="B575" s="21" t="s">
        <v>566</v>
      </c>
      <c r="C575" s="42" t="s">
        <v>275</v>
      </c>
      <c r="D575" s="42" t="s">
        <v>254</v>
      </c>
      <c r="E575" s="42"/>
      <c r="F575" s="2"/>
      <c r="G575" s="11" t="e">
        <f>G576</f>
        <v>#REF!</v>
      </c>
      <c r="H575" s="11" t="e">
        <f aca="true" t="shared" si="195" ref="H575:L576">H576</f>
        <v>#REF!</v>
      </c>
      <c r="I575" s="11" t="e">
        <f t="shared" si="195"/>
        <v>#REF!</v>
      </c>
      <c r="J575" s="11" t="e">
        <f t="shared" si="195"/>
        <v>#REF!</v>
      </c>
      <c r="K575" s="11" t="e">
        <f t="shared" si="195"/>
        <v>#REF!</v>
      </c>
      <c r="L575" s="11">
        <f>L576+L578</f>
        <v>400</v>
      </c>
    </row>
    <row r="576" spans="1:12" ht="31.5" customHeight="1">
      <c r="A576" s="33" t="s">
        <v>172</v>
      </c>
      <c r="B576" s="21" t="s">
        <v>566</v>
      </c>
      <c r="C576" s="42" t="s">
        <v>275</v>
      </c>
      <c r="D576" s="42" t="s">
        <v>254</v>
      </c>
      <c r="E576" s="42" t="s">
        <v>173</v>
      </c>
      <c r="F576" s="2"/>
      <c r="G576" s="11" t="e">
        <f>G577</f>
        <v>#REF!</v>
      </c>
      <c r="H576" s="11" t="e">
        <f t="shared" si="195"/>
        <v>#REF!</v>
      </c>
      <c r="I576" s="11" t="e">
        <f t="shared" si="195"/>
        <v>#REF!</v>
      </c>
      <c r="J576" s="11" t="e">
        <f t="shared" si="195"/>
        <v>#REF!</v>
      </c>
      <c r="K576" s="11" t="e">
        <f t="shared" si="195"/>
        <v>#REF!</v>
      </c>
      <c r="L576" s="11">
        <f t="shared" si="195"/>
        <v>400</v>
      </c>
    </row>
    <row r="577" spans="1:12" ht="31.5" customHeight="1">
      <c r="A577" s="33" t="s">
        <v>174</v>
      </c>
      <c r="B577" s="21" t="s">
        <v>566</v>
      </c>
      <c r="C577" s="42" t="s">
        <v>275</v>
      </c>
      <c r="D577" s="42" t="s">
        <v>254</v>
      </c>
      <c r="E577" s="42" t="s">
        <v>175</v>
      </c>
      <c r="F577" s="2"/>
      <c r="G577" s="11" t="e">
        <f>#REF!</f>
        <v>#REF!</v>
      </c>
      <c r="H577" s="11" t="e">
        <f>#REF!</f>
        <v>#REF!</v>
      </c>
      <c r="I577" s="11" t="e">
        <f>#REF!</f>
        <v>#REF!</v>
      </c>
      <c r="J577" s="11" t="e">
        <f>#REF!</f>
        <v>#REF!</v>
      </c>
      <c r="K577" s="11" t="e">
        <f>#REF!</f>
        <v>#REF!</v>
      </c>
      <c r="L577" s="11">
        <f>'Прил.№5 ведомств.'!G1090</f>
        <v>400</v>
      </c>
    </row>
    <row r="578" spans="1:12" ht="15.75" customHeight="1" hidden="1">
      <c r="A578" s="31" t="s">
        <v>176</v>
      </c>
      <c r="B578" s="21" t="s">
        <v>566</v>
      </c>
      <c r="C578" s="42" t="s">
        <v>275</v>
      </c>
      <c r="D578" s="42" t="s">
        <v>254</v>
      </c>
      <c r="E578" s="42" t="s">
        <v>186</v>
      </c>
      <c r="F578" s="2"/>
      <c r="G578" s="11"/>
      <c r="H578" s="11"/>
      <c r="I578" s="11"/>
      <c r="J578" s="11"/>
      <c r="K578" s="11"/>
      <c r="L578" s="11">
        <f>L579</f>
        <v>0</v>
      </c>
    </row>
    <row r="579" spans="1:12" ht="15.75" customHeight="1" hidden="1">
      <c r="A579" s="26" t="s">
        <v>187</v>
      </c>
      <c r="B579" s="21" t="s">
        <v>566</v>
      </c>
      <c r="C579" s="42" t="s">
        <v>275</v>
      </c>
      <c r="D579" s="42" t="s">
        <v>254</v>
      </c>
      <c r="E579" s="42" t="s">
        <v>188</v>
      </c>
      <c r="F579" s="2"/>
      <c r="G579" s="11"/>
      <c r="H579" s="11"/>
      <c r="I579" s="11"/>
      <c r="J579" s="11"/>
      <c r="K579" s="11"/>
      <c r="L579" s="11">
        <f>'Прил.№5 ведомств.'!G1092</f>
        <v>0</v>
      </c>
    </row>
    <row r="580" spans="1:12" ht="15.75" customHeight="1">
      <c r="A580" s="47" t="s">
        <v>567</v>
      </c>
      <c r="B580" s="21" t="s">
        <v>568</v>
      </c>
      <c r="C580" s="42" t="s">
        <v>275</v>
      </c>
      <c r="D580" s="42" t="s">
        <v>254</v>
      </c>
      <c r="E580" s="42"/>
      <c r="F580" s="2"/>
      <c r="G580" s="11" t="e">
        <f>G581</f>
        <v>#REF!</v>
      </c>
      <c r="H580" s="11" t="e">
        <f aca="true" t="shared" si="196" ref="H580:L581">H581</f>
        <v>#REF!</v>
      </c>
      <c r="I580" s="11" t="e">
        <f t="shared" si="196"/>
        <v>#REF!</v>
      </c>
      <c r="J580" s="11" t="e">
        <f t="shared" si="196"/>
        <v>#REF!</v>
      </c>
      <c r="K580" s="11" t="e">
        <f t="shared" si="196"/>
        <v>#REF!</v>
      </c>
      <c r="L580" s="11">
        <f>L581+L583</f>
        <v>1733</v>
      </c>
    </row>
    <row r="581" spans="1:12" ht="31.5" customHeight="1">
      <c r="A581" s="33" t="s">
        <v>172</v>
      </c>
      <c r="B581" s="21" t="s">
        <v>568</v>
      </c>
      <c r="C581" s="42" t="s">
        <v>275</v>
      </c>
      <c r="D581" s="42" t="s">
        <v>254</v>
      </c>
      <c r="E581" s="42" t="s">
        <v>173</v>
      </c>
      <c r="F581" s="2"/>
      <c r="G581" s="11" t="e">
        <f>G582</f>
        <v>#REF!</v>
      </c>
      <c r="H581" s="11" t="e">
        <f t="shared" si="196"/>
        <v>#REF!</v>
      </c>
      <c r="I581" s="11" t="e">
        <f t="shared" si="196"/>
        <v>#REF!</v>
      </c>
      <c r="J581" s="11" t="e">
        <f t="shared" si="196"/>
        <v>#REF!</v>
      </c>
      <c r="K581" s="11" t="e">
        <f t="shared" si="196"/>
        <v>#REF!</v>
      </c>
      <c r="L581" s="11">
        <f t="shared" si="196"/>
        <v>1733</v>
      </c>
    </row>
    <row r="582" spans="1:12" ht="31.5" customHeight="1">
      <c r="A582" s="33" t="s">
        <v>174</v>
      </c>
      <c r="B582" s="21" t="s">
        <v>568</v>
      </c>
      <c r="C582" s="42" t="s">
        <v>275</v>
      </c>
      <c r="D582" s="42" t="s">
        <v>254</v>
      </c>
      <c r="E582" s="42" t="s">
        <v>175</v>
      </c>
      <c r="F582" s="2"/>
      <c r="G582" s="11" t="e">
        <f>#REF!</f>
        <v>#REF!</v>
      </c>
      <c r="H582" s="11" t="e">
        <f>#REF!</f>
        <v>#REF!</v>
      </c>
      <c r="I582" s="11" t="e">
        <f>#REF!</f>
        <v>#REF!</v>
      </c>
      <c r="J582" s="11" t="e">
        <f>#REF!</f>
        <v>#REF!</v>
      </c>
      <c r="K582" s="11" t="e">
        <f>#REF!</f>
        <v>#REF!</v>
      </c>
      <c r="L582" s="11">
        <f>'Прил.№5 ведомств.'!G1095</f>
        <v>1733</v>
      </c>
    </row>
    <row r="583" spans="1:12" ht="15.75" customHeight="1">
      <c r="A583" s="31" t="s">
        <v>176</v>
      </c>
      <c r="B583" s="21" t="s">
        <v>568</v>
      </c>
      <c r="C583" s="42" t="s">
        <v>275</v>
      </c>
      <c r="D583" s="42" t="s">
        <v>254</v>
      </c>
      <c r="E583" s="42" t="s">
        <v>186</v>
      </c>
      <c r="F583" s="2"/>
      <c r="G583" s="11"/>
      <c r="H583" s="11"/>
      <c r="I583" s="11"/>
      <c r="J583" s="11"/>
      <c r="K583" s="11"/>
      <c r="L583" s="11">
        <f>L584</f>
        <v>0</v>
      </c>
    </row>
    <row r="584" spans="1:12" ht="15.75" customHeight="1">
      <c r="A584" s="26" t="s">
        <v>779</v>
      </c>
      <c r="B584" s="21" t="s">
        <v>568</v>
      </c>
      <c r="C584" s="42" t="s">
        <v>275</v>
      </c>
      <c r="D584" s="42" t="s">
        <v>254</v>
      </c>
      <c r="E584" s="42" t="s">
        <v>179</v>
      </c>
      <c r="F584" s="2"/>
      <c r="G584" s="11"/>
      <c r="H584" s="11"/>
      <c r="I584" s="11"/>
      <c r="J584" s="11"/>
      <c r="K584" s="11"/>
      <c r="L584" s="11">
        <f>'Прил.№5 ведомств.'!G1097</f>
        <v>0</v>
      </c>
    </row>
    <row r="585" spans="1:12" ht="15.75">
      <c r="A585" s="47" t="s">
        <v>569</v>
      </c>
      <c r="B585" s="21" t="s">
        <v>570</v>
      </c>
      <c r="C585" s="42" t="s">
        <v>275</v>
      </c>
      <c r="D585" s="42" t="s">
        <v>254</v>
      </c>
      <c r="E585" s="42"/>
      <c r="F585" s="2"/>
      <c r="G585" s="11" t="e">
        <f>G586</f>
        <v>#REF!</v>
      </c>
      <c r="H585" s="11" t="e">
        <f aca="true" t="shared" si="197" ref="H585:L586">H586</f>
        <v>#REF!</v>
      </c>
      <c r="I585" s="11" t="e">
        <f t="shared" si="197"/>
        <v>#REF!</v>
      </c>
      <c r="J585" s="11" t="e">
        <f t="shared" si="197"/>
        <v>#REF!</v>
      </c>
      <c r="K585" s="11" t="e">
        <f t="shared" si="197"/>
        <v>#REF!</v>
      </c>
      <c r="L585" s="11">
        <f>L586+L588</f>
        <v>2588.2</v>
      </c>
    </row>
    <row r="586" spans="1:12" ht="31.5">
      <c r="A586" s="33" t="s">
        <v>172</v>
      </c>
      <c r="B586" s="21" t="s">
        <v>570</v>
      </c>
      <c r="C586" s="42" t="s">
        <v>275</v>
      </c>
      <c r="D586" s="42" t="s">
        <v>254</v>
      </c>
      <c r="E586" s="42" t="s">
        <v>173</v>
      </c>
      <c r="F586" s="2"/>
      <c r="G586" s="11" t="e">
        <f>G587</f>
        <v>#REF!</v>
      </c>
      <c r="H586" s="11" t="e">
        <f t="shared" si="197"/>
        <v>#REF!</v>
      </c>
      <c r="I586" s="11" t="e">
        <f t="shared" si="197"/>
        <v>#REF!</v>
      </c>
      <c r="J586" s="11" t="e">
        <f t="shared" si="197"/>
        <v>#REF!</v>
      </c>
      <c r="K586" s="11" t="e">
        <f t="shared" si="197"/>
        <v>#REF!</v>
      </c>
      <c r="L586" s="11">
        <f t="shared" si="197"/>
        <v>2330</v>
      </c>
    </row>
    <row r="587" spans="1:12" ht="31.5">
      <c r="A587" s="33" t="s">
        <v>174</v>
      </c>
      <c r="B587" s="21" t="s">
        <v>570</v>
      </c>
      <c r="C587" s="42" t="s">
        <v>275</v>
      </c>
      <c r="D587" s="42" t="s">
        <v>254</v>
      </c>
      <c r="E587" s="42" t="s">
        <v>175</v>
      </c>
      <c r="F587" s="2"/>
      <c r="G587" s="11" t="e">
        <f>#REF!</f>
        <v>#REF!</v>
      </c>
      <c r="H587" s="11" t="e">
        <f>#REF!</f>
        <v>#REF!</v>
      </c>
      <c r="I587" s="11" t="e">
        <f>#REF!</f>
        <v>#REF!</v>
      </c>
      <c r="J587" s="11" t="e">
        <f>#REF!</f>
        <v>#REF!</v>
      </c>
      <c r="K587" s="11" t="e">
        <f>#REF!</f>
        <v>#REF!</v>
      </c>
      <c r="L587" s="11">
        <f>'Прил.№5 ведомств.'!G1100</f>
        <v>2330</v>
      </c>
    </row>
    <row r="588" spans="1:13" s="285" customFormat="1" ht="31.5">
      <c r="A588" s="26" t="s">
        <v>1100</v>
      </c>
      <c r="B588" s="21" t="s">
        <v>570</v>
      </c>
      <c r="C588" s="42" t="s">
        <v>275</v>
      </c>
      <c r="D588" s="42" t="s">
        <v>254</v>
      </c>
      <c r="E588" s="42" t="s">
        <v>1098</v>
      </c>
      <c r="F588" s="2"/>
      <c r="G588" s="11"/>
      <c r="H588" s="11"/>
      <c r="I588" s="11"/>
      <c r="J588" s="11"/>
      <c r="K588" s="11"/>
      <c r="L588" s="11">
        <f>L589</f>
        <v>258.2</v>
      </c>
      <c r="M588" s="286"/>
    </row>
    <row r="589" spans="1:13" s="285" customFormat="1" ht="15.75">
      <c r="A589" s="26" t="s">
        <v>1152</v>
      </c>
      <c r="B589" s="21" t="s">
        <v>570</v>
      </c>
      <c r="C589" s="42" t="s">
        <v>275</v>
      </c>
      <c r="D589" s="42" t="s">
        <v>254</v>
      </c>
      <c r="E589" s="42" t="s">
        <v>1153</v>
      </c>
      <c r="F589" s="2"/>
      <c r="G589" s="11"/>
      <c r="H589" s="11"/>
      <c r="I589" s="11"/>
      <c r="J589" s="11"/>
      <c r="K589" s="11"/>
      <c r="L589" s="11">
        <f>'Прил.№5 ведомств.'!G1102</f>
        <v>258.2</v>
      </c>
      <c r="M589" s="286" t="s">
        <v>1216</v>
      </c>
    </row>
    <row r="590" spans="1:12" ht="15.75" customHeight="1">
      <c r="A590" s="47" t="s">
        <v>571</v>
      </c>
      <c r="B590" s="21" t="s">
        <v>572</v>
      </c>
      <c r="C590" s="42" t="s">
        <v>275</v>
      </c>
      <c r="D590" s="42" t="s">
        <v>254</v>
      </c>
      <c r="E590" s="42"/>
      <c r="F590" s="2"/>
      <c r="G590" s="11" t="e">
        <f>G591</f>
        <v>#REF!</v>
      </c>
      <c r="H590" s="11" t="e">
        <f aca="true" t="shared" si="198" ref="H590:L591">H591</f>
        <v>#REF!</v>
      </c>
      <c r="I590" s="11" t="e">
        <f t="shared" si="198"/>
        <v>#REF!</v>
      </c>
      <c r="J590" s="11" t="e">
        <f t="shared" si="198"/>
        <v>#REF!</v>
      </c>
      <c r="K590" s="11" t="e">
        <f t="shared" si="198"/>
        <v>#REF!</v>
      </c>
      <c r="L590" s="11">
        <f t="shared" si="198"/>
        <v>28.6</v>
      </c>
    </row>
    <row r="591" spans="1:12" ht="31.5" customHeight="1">
      <c r="A591" s="33" t="s">
        <v>172</v>
      </c>
      <c r="B591" s="21" t="s">
        <v>572</v>
      </c>
      <c r="C591" s="42" t="s">
        <v>275</v>
      </c>
      <c r="D591" s="42" t="s">
        <v>254</v>
      </c>
      <c r="E591" s="42" t="s">
        <v>173</v>
      </c>
      <c r="F591" s="2"/>
      <c r="G591" s="11" t="e">
        <f>G592</f>
        <v>#REF!</v>
      </c>
      <c r="H591" s="11" t="e">
        <f t="shared" si="198"/>
        <v>#REF!</v>
      </c>
      <c r="I591" s="11" t="e">
        <f t="shared" si="198"/>
        <v>#REF!</v>
      </c>
      <c r="J591" s="11" t="e">
        <f t="shared" si="198"/>
        <v>#REF!</v>
      </c>
      <c r="K591" s="11" t="e">
        <f t="shared" si="198"/>
        <v>#REF!</v>
      </c>
      <c r="L591" s="11">
        <f t="shared" si="198"/>
        <v>28.6</v>
      </c>
    </row>
    <row r="592" spans="1:13" ht="31.5" customHeight="1">
      <c r="A592" s="33" t="s">
        <v>174</v>
      </c>
      <c r="B592" s="21" t="s">
        <v>572</v>
      </c>
      <c r="C592" s="42" t="s">
        <v>275</v>
      </c>
      <c r="D592" s="42" t="s">
        <v>254</v>
      </c>
      <c r="E592" s="42" t="s">
        <v>175</v>
      </c>
      <c r="F592" s="2"/>
      <c r="G592" s="11" t="e">
        <f>#REF!</f>
        <v>#REF!</v>
      </c>
      <c r="H592" s="11" t="e">
        <f>#REF!</f>
        <v>#REF!</v>
      </c>
      <c r="I592" s="11" t="e">
        <f>#REF!</f>
        <v>#REF!</v>
      </c>
      <c r="J592" s="11" t="e">
        <f>#REF!</f>
        <v>#REF!</v>
      </c>
      <c r="K592" s="11" t="e">
        <f>#REF!</f>
        <v>#REF!</v>
      </c>
      <c r="L592" s="11">
        <f>'Прил.№5 ведомств.'!G1105</f>
        <v>28.6</v>
      </c>
      <c r="M592" s="286" t="s">
        <v>1213</v>
      </c>
    </row>
    <row r="593" spans="1:12" ht="31.5" customHeight="1" hidden="1">
      <c r="A593" s="203" t="s">
        <v>573</v>
      </c>
      <c r="B593" s="21" t="s">
        <v>574</v>
      </c>
      <c r="C593" s="42" t="s">
        <v>275</v>
      </c>
      <c r="D593" s="42" t="s">
        <v>254</v>
      </c>
      <c r="E593" s="42"/>
      <c r="F593" s="2"/>
      <c r="G593" s="11">
        <f>G594</f>
        <v>0</v>
      </c>
      <c r="H593" s="11">
        <f aca="true" t="shared" si="199" ref="H593:L594">H594</f>
        <v>0</v>
      </c>
      <c r="I593" s="11">
        <f t="shared" si="199"/>
        <v>0</v>
      </c>
      <c r="J593" s="11">
        <f t="shared" si="199"/>
        <v>0</v>
      </c>
      <c r="K593" s="11">
        <f t="shared" si="199"/>
        <v>0</v>
      </c>
      <c r="L593" s="11">
        <f t="shared" si="199"/>
        <v>0</v>
      </c>
    </row>
    <row r="594" spans="1:12" ht="31.5" customHeight="1" hidden="1">
      <c r="A594" s="33" t="s">
        <v>172</v>
      </c>
      <c r="B594" s="21" t="s">
        <v>574</v>
      </c>
      <c r="C594" s="42" t="s">
        <v>275</v>
      </c>
      <c r="D594" s="42" t="s">
        <v>254</v>
      </c>
      <c r="E594" s="42"/>
      <c r="F594" s="2"/>
      <c r="G594" s="11">
        <f>G595</f>
        <v>0</v>
      </c>
      <c r="H594" s="11">
        <f t="shared" si="199"/>
        <v>0</v>
      </c>
      <c r="I594" s="11">
        <f t="shared" si="199"/>
        <v>0</v>
      </c>
      <c r="J594" s="11">
        <f t="shared" si="199"/>
        <v>0</v>
      </c>
      <c r="K594" s="11">
        <f t="shared" si="199"/>
        <v>0</v>
      </c>
      <c r="L594" s="11">
        <f t="shared" si="199"/>
        <v>0</v>
      </c>
    </row>
    <row r="595" spans="1:12" ht="31.5" customHeight="1" hidden="1">
      <c r="A595" s="33" t="s">
        <v>174</v>
      </c>
      <c r="B595" s="21" t="s">
        <v>574</v>
      </c>
      <c r="C595" s="42" t="s">
        <v>275</v>
      </c>
      <c r="D595" s="42" t="s">
        <v>254</v>
      </c>
      <c r="E595" s="42"/>
      <c r="F595" s="2"/>
      <c r="G595" s="11"/>
      <c r="H595" s="11"/>
      <c r="I595" s="11"/>
      <c r="J595" s="11"/>
      <c r="K595" s="11"/>
      <c r="L595" s="11"/>
    </row>
    <row r="596" spans="1:12" ht="15.75">
      <c r="A596" s="203" t="s">
        <v>575</v>
      </c>
      <c r="B596" s="21" t="s">
        <v>576</v>
      </c>
      <c r="C596" s="42" t="s">
        <v>275</v>
      </c>
      <c r="D596" s="42" t="s">
        <v>254</v>
      </c>
      <c r="E596" s="42"/>
      <c r="F596" s="2"/>
      <c r="G596" s="11" t="e">
        <f>G597</f>
        <v>#REF!</v>
      </c>
      <c r="H596" s="11" t="e">
        <f aca="true" t="shared" si="200" ref="H596:L597">H597</f>
        <v>#REF!</v>
      </c>
      <c r="I596" s="11" t="e">
        <f t="shared" si="200"/>
        <v>#REF!</v>
      </c>
      <c r="J596" s="11" t="e">
        <f t="shared" si="200"/>
        <v>#REF!</v>
      </c>
      <c r="K596" s="11" t="e">
        <f t="shared" si="200"/>
        <v>#REF!</v>
      </c>
      <c r="L596" s="11">
        <f t="shared" si="200"/>
        <v>100</v>
      </c>
    </row>
    <row r="597" spans="1:12" ht="31.5">
      <c r="A597" s="26" t="s">
        <v>172</v>
      </c>
      <c r="B597" s="21" t="s">
        <v>576</v>
      </c>
      <c r="C597" s="42" t="s">
        <v>275</v>
      </c>
      <c r="D597" s="42" t="s">
        <v>254</v>
      </c>
      <c r="E597" s="2">
        <v>200</v>
      </c>
      <c r="F597" s="87"/>
      <c r="G597" s="7" t="e">
        <f>G598</f>
        <v>#REF!</v>
      </c>
      <c r="H597" s="7" t="e">
        <f t="shared" si="200"/>
        <v>#REF!</v>
      </c>
      <c r="I597" s="7" t="e">
        <f t="shared" si="200"/>
        <v>#REF!</v>
      </c>
      <c r="J597" s="7" t="e">
        <f t="shared" si="200"/>
        <v>#REF!</v>
      </c>
      <c r="K597" s="7" t="e">
        <f t="shared" si="200"/>
        <v>#REF!</v>
      </c>
      <c r="L597" s="7">
        <f t="shared" si="200"/>
        <v>100</v>
      </c>
    </row>
    <row r="598" spans="1:12" ht="31.5">
      <c r="A598" s="26" t="s">
        <v>174</v>
      </c>
      <c r="B598" s="21" t="s">
        <v>576</v>
      </c>
      <c r="C598" s="42" t="s">
        <v>275</v>
      </c>
      <c r="D598" s="42" t="s">
        <v>254</v>
      </c>
      <c r="E598" s="2">
        <v>240</v>
      </c>
      <c r="F598" s="87"/>
      <c r="G598" s="7" t="e">
        <f>#REF!</f>
        <v>#REF!</v>
      </c>
      <c r="H598" s="7" t="e">
        <f>#REF!</f>
        <v>#REF!</v>
      </c>
      <c r="I598" s="7" t="e">
        <f>#REF!</f>
        <v>#REF!</v>
      </c>
      <c r="J598" s="7" t="e">
        <f>#REF!</f>
        <v>#REF!</v>
      </c>
      <c r="K598" s="7" t="e">
        <f>#REF!</f>
        <v>#REF!</v>
      </c>
      <c r="L598" s="7">
        <f>'Прил.№5 ведомств.'!G1111</f>
        <v>100</v>
      </c>
    </row>
    <row r="599" spans="1:12" ht="31.5">
      <c r="A599" s="47" t="s">
        <v>683</v>
      </c>
      <c r="B599" s="21" t="s">
        <v>560</v>
      </c>
      <c r="C599" s="42"/>
      <c r="D599" s="42"/>
      <c r="E599" s="2"/>
      <c r="F599" s="2">
        <v>908</v>
      </c>
      <c r="G599" s="7" t="e">
        <f aca="true" t="shared" si="201" ref="G599:L599">G565</f>
        <v>#REF!</v>
      </c>
      <c r="H599" s="7" t="e">
        <f t="shared" si="201"/>
        <v>#REF!</v>
      </c>
      <c r="I599" s="7" t="e">
        <f t="shared" si="201"/>
        <v>#REF!</v>
      </c>
      <c r="J599" s="7" t="e">
        <f t="shared" si="201"/>
        <v>#REF!</v>
      </c>
      <c r="K599" s="7" t="e">
        <f t="shared" si="201"/>
        <v>#REF!</v>
      </c>
      <c r="L599" s="7">
        <f t="shared" si="201"/>
        <v>9226.800000000001</v>
      </c>
    </row>
    <row r="600" spans="1:12" ht="47.25">
      <c r="A600" s="24" t="s">
        <v>375</v>
      </c>
      <c r="B600" s="25" t="s">
        <v>376</v>
      </c>
      <c r="C600" s="8"/>
      <c r="D600" s="8"/>
      <c r="E600" s="3"/>
      <c r="F600" s="3"/>
      <c r="G600" s="4" t="e">
        <f aca="true" t="shared" si="202" ref="G600:L600">G601</f>
        <v>#REF!</v>
      </c>
      <c r="H600" s="4" t="e">
        <f t="shared" si="202"/>
        <v>#REF!</v>
      </c>
      <c r="I600" s="4" t="e">
        <f t="shared" si="202"/>
        <v>#REF!</v>
      </c>
      <c r="J600" s="4" t="e">
        <f t="shared" si="202"/>
        <v>#REF!</v>
      </c>
      <c r="K600" s="4" t="e">
        <f t="shared" si="202"/>
        <v>#REF!</v>
      </c>
      <c r="L600" s="4">
        <f t="shared" si="202"/>
        <v>275</v>
      </c>
    </row>
    <row r="601" spans="1:12" ht="15.75">
      <c r="A601" s="31" t="s">
        <v>158</v>
      </c>
      <c r="B601" s="21" t="s">
        <v>376</v>
      </c>
      <c r="C601" s="42" t="s">
        <v>159</v>
      </c>
      <c r="D601" s="42"/>
      <c r="E601" s="2"/>
      <c r="F601" s="2"/>
      <c r="G601" s="7" t="e">
        <f aca="true" t="shared" si="203" ref="G601:L601">G602+G642</f>
        <v>#REF!</v>
      </c>
      <c r="H601" s="7" t="e">
        <f t="shared" si="203"/>
        <v>#REF!</v>
      </c>
      <c r="I601" s="7" t="e">
        <f t="shared" si="203"/>
        <v>#REF!</v>
      </c>
      <c r="J601" s="7" t="e">
        <f t="shared" si="203"/>
        <v>#REF!</v>
      </c>
      <c r="K601" s="7" t="e">
        <f t="shared" si="203"/>
        <v>#REF!</v>
      </c>
      <c r="L601" s="7">
        <f t="shared" si="203"/>
        <v>275</v>
      </c>
    </row>
    <row r="602" spans="1:12" ht="15.75">
      <c r="A602" s="31" t="s">
        <v>180</v>
      </c>
      <c r="B602" s="21" t="s">
        <v>376</v>
      </c>
      <c r="C602" s="42" t="s">
        <v>159</v>
      </c>
      <c r="D602" s="42" t="s">
        <v>181</v>
      </c>
      <c r="E602" s="2"/>
      <c r="F602" s="2"/>
      <c r="G602" s="7" t="e">
        <f aca="true" t="shared" si="204" ref="G602:L602">G603+G606+G611+G614+G617+G620</f>
        <v>#REF!</v>
      </c>
      <c r="H602" s="7" t="e">
        <f t="shared" si="204"/>
        <v>#REF!</v>
      </c>
      <c r="I602" s="7" t="e">
        <f t="shared" si="204"/>
        <v>#REF!</v>
      </c>
      <c r="J602" s="7" t="e">
        <f t="shared" si="204"/>
        <v>#REF!</v>
      </c>
      <c r="K602" s="7" t="e">
        <f t="shared" si="204"/>
        <v>#REF!</v>
      </c>
      <c r="L602" s="7">
        <f t="shared" si="204"/>
        <v>255</v>
      </c>
    </row>
    <row r="603" spans="1:12" ht="31.5">
      <c r="A603" s="26" t="s">
        <v>377</v>
      </c>
      <c r="B603" s="21" t="s">
        <v>378</v>
      </c>
      <c r="C603" s="42" t="s">
        <v>159</v>
      </c>
      <c r="D603" s="42" t="s">
        <v>181</v>
      </c>
      <c r="E603" s="2"/>
      <c r="F603" s="2"/>
      <c r="G603" s="7" t="e">
        <f>G604</f>
        <v>#REF!</v>
      </c>
      <c r="H603" s="7" t="e">
        <f aca="true" t="shared" si="205" ref="H603:L604">H604</f>
        <v>#REF!</v>
      </c>
      <c r="I603" s="7" t="e">
        <f t="shared" si="205"/>
        <v>#REF!</v>
      </c>
      <c r="J603" s="7" t="e">
        <f t="shared" si="205"/>
        <v>#REF!</v>
      </c>
      <c r="K603" s="7" t="e">
        <f t="shared" si="205"/>
        <v>#REF!</v>
      </c>
      <c r="L603" s="7">
        <f t="shared" si="205"/>
        <v>230</v>
      </c>
    </row>
    <row r="604" spans="1:12" ht="31.5">
      <c r="A604" s="26" t="s">
        <v>172</v>
      </c>
      <c r="B604" s="21" t="s">
        <v>378</v>
      </c>
      <c r="C604" s="42" t="s">
        <v>159</v>
      </c>
      <c r="D604" s="42" t="s">
        <v>181</v>
      </c>
      <c r="E604" s="2">
        <v>200</v>
      </c>
      <c r="F604" s="2"/>
      <c r="G604" s="7" t="e">
        <f>G605</f>
        <v>#REF!</v>
      </c>
      <c r="H604" s="7" t="e">
        <f t="shared" si="205"/>
        <v>#REF!</v>
      </c>
      <c r="I604" s="7" t="e">
        <f t="shared" si="205"/>
        <v>#REF!</v>
      </c>
      <c r="J604" s="7" t="e">
        <f t="shared" si="205"/>
        <v>#REF!</v>
      </c>
      <c r="K604" s="7" t="e">
        <f t="shared" si="205"/>
        <v>#REF!</v>
      </c>
      <c r="L604" s="7">
        <f t="shared" si="205"/>
        <v>230</v>
      </c>
    </row>
    <row r="605" spans="1:12" ht="31.5">
      <c r="A605" s="26" t="s">
        <v>174</v>
      </c>
      <c r="B605" s="21" t="s">
        <v>378</v>
      </c>
      <c r="C605" s="42" t="s">
        <v>159</v>
      </c>
      <c r="D605" s="42" t="s">
        <v>181</v>
      </c>
      <c r="E605" s="2">
        <v>240</v>
      </c>
      <c r="F605" s="2"/>
      <c r="G605" s="7" t="e">
        <f>#REF!</f>
        <v>#REF!</v>
      </c>
      <c r="H605" s="7" t="e">
        <f>#REF!</f>
        <v>#REF!</v>
      </c>
      <c r="I605" s="7" t="e">
        <f>#REF!</f>
        <v>#REF!</v>
      </c>
      <c r="J605" s="7" t="e">
        <f>#REF!</f>
        <v>#REF!</v>
      </c>
      <c r="K605" s="7" t="e">
        <f>#REF!</f>
        <v>#REF!</v>
      </c>
      <c r="L605" s="7">
        <f>'Прил.№5 ведомств.'!G259</f>
        <v>230</v>
      </c>
    </row>
    <row r="606" spans="1:12" ht="47.25" customHeight="1" hidden="1">
      <c r="A606" s="26" t="s">
        <v>518</v>
      </c>
      <c r="B606" s="21" t="s">
        <v>519</v>
      </c>
      <c r="C606" s="42" t="s">
        <v>159</v>
      </c>
      <c r="D606" s="42" t="s">
        <v>181</v>
      </c>
      <c r="E606" s="2"/>
      <c r="F606" s="2"/>
      <c r="G606" s="7">
        <f aca="true" t="shared" si="206" ref="G606:L606">G607+G609</f>
        <v>0</v>
      </c>
      <c r="H606" s="7">
        <f t="shared" si="206"/>
        <v>0</v>
      </c>
      <c r="I606" s="7" t="e">
        <f t="shared" si="206"/>
        <v>#REF!</v>
      </c>
      <c r="J606" s="7" t="e">
        <f t="shared" si="206"/>
        <v>#REF!</v>
      </c>
      <c r="K606" s="7" t="e">
        <f t="shared" si="206"/>
        <v>#REF!</v>
      </c>
      <c r="L606" s="7">
        <f t="shared" si="206"/>
        <v>0</v>
      </c>
    </row>
    <row r="607" spans="1:12" ht="78.75" customHeight="1" hidden="1">
      <c r="A607" s="26" t="s">
        <v>168</v>
      </c>
      <c r="B607" s="21" t="s">
        <v>519</v>
      </c>
      <c r="C607" s="42" t="s">
        <v>159</v>
      </c>
      <c r="D607" s="42" t="s">
        <v>181</v>
      </c>
      <c r="E607" s="2">
        <v>100</v>
      </c>
      <c r="F607" s="2"/>
      <c r="G607" s="7">
        <f aca="true" t="shared" si="207" ref="G607:L607">G608</f>
        <v>0</v>
      </c>
      <c r="H607" s="7">
        <f t="shared" si="207"/>
        <v>0</v>
      </c>
      <c r="I607" s="7">
        <f t="shared" si="207"/>
        <v>0</v>
      </c>
      <c r="J607" s="7" t="e">
        <f t="shared" si="207"/>
        <v>#REF!</v>
      </c>
      <c r="K607" s="7" t="e">
        <f t="shared" si="207"/>
        <v>#REF!</v>
      </c>
      <c r="L607" s="7">
        <f t="shared" si="207"/>
        <v>0</v>
      </c>
    </row>
    <row r="608" spans="1:12" ht="15.75" customHeight="1" hidden="1">
      <c r="A608" s="26" t="s">
        <v>383</v>
      </c>
      <c r="B608" s="21" t="s">
        <v>519</v>
      </c>
      <c r="C608" s="42" t="s">
        <v>159</v>
      </c>
      <c r="D608" s="42" t="s">
        <v>181</v>
      </c>
      <c r="E608" s="2">
        <v>110</v>
      </c>
      <c r="F608" s="2"/>
      <c r="G608" s="7">
        <v>0</v>
      </c>
      <c r="H608" s="7">
        <v>0</v>
      </c>
      <c r="I608" s="7">
        <v>0</v>
      </c>
      <c r="J608" s="7" t="e">
        <f>#REF!</f>
        <v>#REF!</v>
      </c>
      <c r="K608" s="7" t="e">
        <f>#REF!</f>
        <v>#REF!</v>
      </c>
      <c r="L608" s="7">
        <f>'Прил.№5 ведомств.'!G879</f>
        <v>0</v>
      </c>
    </row>
    <row r="609" spans="1:12" ht="31.5" customHeight="1" hidden="1">
      <c r="A609" s="26" t="s">
        <v>172</v>
      </c>
      <c r="B609" s="21" t="s">
        <v>519</v>
      </c>
      <c r="C609" s="42" t="s">
        <v>159</v>
      </c>
      <c r="D609" s="42" t="s">
        <v>181</v>
      </c>
      <c r="E609" s="2">
        <v>200</v>
      </c>
      <c r="F609" s="2"/>
      <c r="G609" s="7">
        <f aca="true" t="shared" si="208" ref="G609:L609">G610</f>
        <v>0</v>
      </c>
      <c r="H609" s="7">
        <f t="shared" si="208"/>
        <v>0</v>
      </c>
      <c r="I609" s="7" t="e">
        <f t="shared" si="208"/>
        <v>#REF!</v>
      </c>
      <c r="J609" s="7" t="e">
        <f t="shared" si="208"/>
        <v>#REF!</v>
      </c>
      <c r="K609" s="7" t="e">
        <f t="shared" si="208"/>
        <v>#REF!</v>
      </c>
      <c r="L609" s="7">
        <f t="shared" si="208"/>
        <v>0</v>
      </c>
    </row>
    <row r="610" spans="1:12" ht="31.5" customHeight="1" hidden="1">
      <c r="A610" s="26" t="s">
        <v>174</v>
      </c>
      <c r="B610" s="21" t="s">
        <v>519</v>
      </c>
      <c r="C610" s="42" t="s">
        <v>159</v>
      </c>
      <c r="D610" s="42" t="s">
        <v>181</v>
      </c>
      <c r="E610" s="2">
        <v>240</v>
      </c>
      <c r="F610" s="2"/>
      <c r="G610" s="7">
        <v>0</v>
      </c>
      <c r="H610" s="7">
        <v>0</v>
      </c>
      <c r="I610" s="7" t="e">
        <f>#REF!</f>
        <v>#REF!</v>
      </c>
      <c r="J610" s="7" t="e">
        <f>#REF!</f>
        <v>#REF!</v>
      </c>
      <c r="K610" s="7" t="e">
        <f>#REF!</f>
        <v>#REF!</v>
      </c>
      <c r="L610" s="7">
        <v>0</v>
      </c>
    </row>
    <row r="611" spans="1:12" ht="23.25" customHeight="1">
      <c r="A611" s="26" t="s">
        <v>379</v>
      </c>
      <c r="B611" s="21" t="s">
        <v>380</v>
      </c>
      <c r="C611" s="42" t="s">
        <v>159</v>
      </c>
      <c r="D611" s="42" t="s">
        <v>181</v>
      </c>
      <c r="E611" s="2"/>
      <c r="F611" s="2"/>
      <c r="G611" s="7">
        <f>G612</f>
        <v>20</v>
      </c>
      <c r="H611" s="7">
        <f aca="true" t="shared" si="209" ref="H611:L612">H612</f>
        <v>20</v>
      </c>
      <c r="I611" s="7" t="e">
        <f t="shared" si="209"/>
        <v>#REF!</v>
      </c>
      <c r="J611" s="7" t="e">
        <f t="shared" si="209"/>
        <v>#REF!</v>
      </c>
      <c r="K611" s="7" t="e">
        <f t="shared" si="209"/>
        <v>#REF!</v>
      </c>
      <c r="L611" s="7">
        <f t="shared" si="209"/>
        <v>25</v>
      </c>
    </row>
    <row r="612" spans="1:12" ht="31.5">
      <c r="A612" s="26" t="s">
        <v>172</v>
      </c>
      <c r="B612" s="21" t="s">
        <v>380</v>
      </c>
      <c r="C612" s="42" t="s">
        <v>159</v>
      </c>
      <c r="D612" s="42" t="s">
        <v>181</v>
      </c>
      <c r="E612" s="2">
        <v>200</v>
      </c>
      <c r="F612" s="2"/>
      <c r="G612" s="7">
        <f>G613</f>
        <v>20</v>
      </c>
      <c r="H612" s="7">
        <f t="shared" si="209"/>
        <v>20</v>
      </c>
      <c r="I612" s="7" t="e">
        <f t="shared" si="209"/>
        <v>#REF!</v>
      </c>
      <c r="J612" s="7" t="e">
        <f t="shared" si="209"/>
        <v>#REF!</v>
      </c>
      <c r="K612" s="7" t="e">
        <f t="shared" si="209"/>
        <v>#REF!</v>
      </c>
      <c r="L612" s="7">
        <f t="shared" si="209"/>
        <v>25</v>
      </c>
    </row>
    <row r="613" spans="1:12" ht="31.5">
      <c r="A613" s="26" t="s">
        <v>174</v>
      </c>
      <c r="B613" s="21" t="s">
        <v>380</v>
      </c>
      <c r="C613" s="42" t="s">
        <v>159</v>
      </c>
      <c r="D613" s="42" t="s">
        <v>181</v>
      </c>
      <c r="E613" s="2">
        <v>240</v>
      </c>
      <c r="F613" s="2"/>
      <c r="G613" s="7">
        <v>20</v>
      </c>
      <c r="H613" s="7">
        <v>20</v>
      </c>
      <c r="I613" s="7" t="e">
        <f>#REF!</f>
        <v>#REF!</v>
      </c>
      <c r="J613" s="7" t="e">
        <f>#REF!</f>
        <v>#REF!</v>
      </c>
      <c r="K613" s="7" t="e">
        <f>#REF!</f>
        <v>#REF!</v>
      </c>
      <c r="L613" s="7">
        <f>'Прил.№5 ведомств.'!G262</f>
        <v>25</v>
      </c>
    </row>
    <row r="614" spans="1:12" ht="47.25">
      <c r="A614" s="33" t="s">
        <v>903</v>
      </c>
      <c r="B614" s="21" t="s">
        <v>900</v>
      </c>
      <c r="C614" s="42" t="s">
        <v>159</v>
      </c>
      <c r="D614" s="42" t="s">
        <v>181</v>
      </c>
      <c r="E614" s="2"/>
      <c r="F614" s="2"/>
      <c r="G614" s="7">
        <f>G615</f>
        <v>0</v>
      </c>
      <c r="H614" s="7">
        <f aca="true" t="shared" si="210" ref="H614:L615">H615</f>
        <v>0</v>
      </c>
      <c r="I614" s="7" t="e">
        <f t="shared" si="210"/>
        <v>#REF!</v>
      </c>
      <c r="J614" s="7" t="e">
        <f t="shared" si="210"/>
        <v>#REF!</v>
      </c>
      <c r="K614" s="7" t="e">
        <f t="shared" si="210"/>
        <v>#REF!</v>
      </c>
      <c r="L614" s="7">
        <f t="shared" si="210"/>
        <v>0</v>
      </c>
    </row>
    <row r="615" spans="1:12" ht="31.5">
      <c r="A615" s="26" t="s">
        <v>172</v>
      </c>
      <c r="B615" s="21" t="s">
        <v>900</v>
      </c>
      <c r="C615" s="21" t="s">
        <v>159</v>
      </c>
      <c r="D615" s="21" t="s">
        <v>181</v>
      </c>
      <c r="E615" s="21" t="s">
        <v>173</v>
      </c>
      <c r="F615" s="207"/>
      <c r="G615" s="7">
        <f>G616</f>
        <v>0</v>
      </c>
      <c r="H615" s="7">
        <f t="shared" si="210"/>
        <v>0</v>
      </c>
      <c r="I615" s="7" t="e">
        <f t="shared" si="210"/>
        <v>#REF!</v>
      </c>
      <c r="J615" s="7" t="e">
        <f t="shared" si="210"/>
        <v>#REF!</v>
      </c>
      <c r="K615" s="7" t="e">
        <f t="shared" si="210"/>
        <v>#REF!</v>
      </c>
      <c r="L615" s="7">
        <f t="shared" si="210"/>
        <v>0</v>
      </c>
    </row>
    <row r="616" spans="1:12" ht="31.5">
      <c r="A616" s="26" t="s">
        <v>174</v>
      </c>
      <c r="B616" s="21" t="s">
        <v>900</v>
      </c>
      <c r="C616" s="21" t="s">
        <v>159</v>
      </c>
      <c r="D616" s="21" t="s">
        <v>181</v>
      </c>
      <c r="E616" s="21" t="s">
        <v>175</v>
      </c>
      <c r="F616" s="207"/>
      <c r="G616" s="7">
        <v>0</v>
      </c>
      <c r="H616" s="7">
        <v>0</v>
      </c>
      <c r="I616" s="7" t="e">
        <f>#REF!</f>
        <v>#REF!</v>
      </c>
      <c r="J616" s="7" t="e">
        <f>#REF!</f>
        <v>#REF!</v>
      </c>
      <c r="K616" s="7" t="e">
        <f>#REF!</f>
        <v>#REF!</v>
      </c>
      <c r="L616" s="7">
        <f>'Прил.№5 ведомств.'!G265</f>
        <v>0</v>
      </c>
    </row>
    <row r="617" spans="1:12" ht="31.5">
      <c r="A617" s="26" t="s">
        <v>744</v>
      </c>
      <c r="B617" s="21" t="s">
        <v>905</v>
      </c>
      <c r="C617" s="42" t="s">
        <v>159</v>
      </c>
      <c r="D617" s="42" t="s">
        <v>181</v>
      </c>
      <c r="E617" s="2"/>
      <c r="F617" s="207"/>
      <c r="G617" s="7">
        <f>G618</f>
        <v>105</v>
      </c>
      <c r="H617" s="7">
        <f aca="true" t="shared" si="211" ref="H617:L618">H618</f>
        <v>105</v>
      </c>
      <c r="I617" s="7">
        <f t="shared" si="211"/>
        <v>0</v>
      </c>
      <c r="J617" s="7">
        <f t="shared" si="211"/>
        <v>0</v>
      </c>
      <c r="K617" s="7">
        <f t="shared" si="211"/>
        <v>0</v>
      </c>
      <c r="L617" s="7">
        <f t="shared" si="211"/>
        <v>0</v>
      </c>
    </row>
    <row r="618" spans="1:12" ht="31.5">
      <c r="A618" s="26" t="s">
        <v>172</v>
      </c>
      <c r="B618" s="21" t="s">
        <v>905</v>
      </c>
      <c r="C618" s="42" t="s">
        <v>159</v>
      </c>
      <c r="D618" s="42" t="s">
        <v>181</v>
      </c>
      <c r="E618" s="2">
        <v>200</v>
      </c>
      <c r="F618" s="207"/>
      <c r="G618" s="7">
        <f>G619</f>
        <v>105</v>
      </c>
      <c r="H618" s="7">
        <f t="shared" si="211"/>
        <v>105</v>
      </c>
      <c r="I618" s="7">
        <f t="shared" si="211"/>
        <v>0</v>
      </c>
      <c r="J618" s="7">
        <f t="shared" si="211"/>
        <v>0</v>
      </c>
      <c r="K618" s="7">
        <f t="shared" si="211"/>
        <v>0</v>
      </c>
      <c r="L618" s="7">
        <f t="shared" si="211"/>
        <v>0</v>
      </c>
    </row>
    <row r="619" spans="1:12" ht="31.5">
      <c r="A619" s="26" t="s">
        <v>174</v>
      </c>
      <c r="B619" s="21" t="s">
        <v>905</v>
      </c>
      <c r="C619" s="42" t="s">
        <v>159</v>
      </c>
      <c r="D619" s="42" t="s">
        <v>181</v>
      </c>
      <c r="E619" s="2">
        <v>240</v>
      </c>
      <c r="F619" s="207"/>
      <c r="G619" s="7">
        <v>105</v>
      </c>
      <c r="H619" s="7">
        <v>105</v>
      </c>
      <c r="I619" s="7">
        <v>0</v>
      </c>
      <c r="J619" s="7">
        <v>0</v>
      </c>
      <c r="K619" s="7">
        <v>0</v>
      </c>
      <c r="L619" s="7">
        <f>'Прил.№5 ведомств.'!G268</f>
        <v>0</v>
      </c>
    </row>
    <row r="620" spans="1:12" ht="31.5" customHeight="1" hidden="1">
      <c r="A620" s="33" t="s">
        <v>904</v>
      </c>
      <c r="B620" s="21" t="s">
        <v>901</v>
      </c>
      <c r="C620" s="21" t="s">
        <v>159</v>
      </c>
      <c r="D620" s="21" t="s">
        <v>181</v>
      </c>
      <c r="E620" s="21"/>
      <c r="F620" s="207"/>
      <c r="G620" s="7">
        <f>G621</f>
        <v>0</v>
      </c>
      <c r="H620" s="7">
        <f aca="true" t="shared" si="212" ref="H620:L621">H621</f>
        <v>0</v>
      </c>
      <c r="I620" s="7" t="e">
        <f t="shared" si="212"/>
        <v>#REF!</v>
      </c>
      <c r="J620" s="7" t="e">
        <f t="shared" si="212"/>
        <v>#REF!</v>
      </c>
      <c r="K620" s="7" t="e">
        <f t="shared" si="212"/>
        <v>#REF!</v>
      </c>
      <c r="L620" s="7">
        <f t="shared" si="212"/>
        <v>0</v>
      </c>
    </row>
    <row r="621" spans="1:12" ht="31.5" customHeight="1" hidden="1">
      <c r="A621" s="26" t="s">
        <v>172</v>
      </c>
      <c r="B621" s="21" t="s">
        <v>901</v>
      </c>
      <c r="C621" s="21" t="s">
        <v>159</v>
      </c>
      <c r="D621" s="21" t="s">
        <v>181</v>
      </c>
      <c r="E621" s="21" t="s">
        <v>173</v>
      </c>
      <c r="F621" s="207"/>
      <c r="G621" s="7">
        <f>G622</f>
        <v>0</v>
      </c>
      <c r="H621" s="7">
        <f t="shared" si="212"/>
        <v>0</v>
      </c>
      <c r="I621" s="7" t="e">
        <f t="shared" si="212"/>
        <v>#REF!</v>
      </c>
      <c r="J621" s="7" t="e">
        <f t="shared" si="212"/>
        <v>#REF!</v>
      </c>
      <c r="K621" s="7" t="e">
        <f t="shared" si="212"/>
        <v>#REF!</v>
      </c>
      <c r="L621" s="7">
        <f t="shared" si="212"/>
        <v>0</v>
      </c>
    </row>
    <row r="622" spans="1:12" ht="31.5" customHeight="1" hidden="1">
      <c r="A622" s="26" t="s">
        <v>174</v>
      </c>
      <c r="B622" s="21" t="s">
        <v>901</v>
      </c>
      <c r="C622" s="21" t="s">
        <v>159</v>
      </c>
      <c r="D622" s="21" t="s">
        <v>181</v>
      </c>
      <c r="E622" s="21" t="s">
        <v>175</v>
      </c>
      <c r="F622" s="207"/>
      <c r="G622" s="7">
        <v>0</v>
      </c>
      <c r="H622" s="7">
        <v>0</v>
      </c>
      <c r="I622" s="7" t="e">
        <f>#REF!</f>
        <v>#REF!</v>
      </c>
      <c r="J622" s="7" t="e">
        <f>#REF!</f>
        <v>#REF!</v>
      </c>
      <c r="K622" s="7" t="e">
        <f>#REF!</f>
        <v>#REF!</v>
      </c>
      <c r="L622" s="7">
        <f>'Прил.№5 ведомств.'!G271</f>
        <v>0</v>
      </c>
    </row>
    <row r="623" spans="1:12" ht="47.25">
      <c r="A623" s="47" t="s">
        <v>302</v>
      </c>
      <c r="B623" s="21" t="s">
        <v>376</v>
      </c>
      <c r="C623" s="42"/>
      <c r="D623" s="42"/>
      <c r="E623" s="2"/>
      <c r="F623" s="2">
        <v>903</v>
      </c>
      <c r="G623" s="7" t="e">
        <f aca="true" t="shared" si="213" ref="G623:L623">G603+G611+G614+G617+G620</f>
        <v>#REF!</v>
      </c>
      <c r="H623" s="7" t="e">
        <f t="shared" si="213"/>
        <v>#REF!</v>
      </c>
      <c r="I623" s="7" t="e">
        <f t="shared" si="213"/>
        <v>#REF!</v>
      </c>
      <c r="J623" s="7" t="e">
        <f t="shared" si="213"/>
        <v>#REF!</v>
      </c>
      <c r="K623" s="7" t="e">
        <f t="shared" si="213"/>
        <v>#REF!</v>
      </c>
      <c r="L623" s="7">
        <f t="shared" si="213"/>
        <v>255</v>
      </c>
    </row>
    <row r="624" spans="1:12" ht="15.75">
      <c r="A624" s="31" t="s">
        <v>180</v>
      </c>
      <c r="B624" s="21" t="s">
        <v>376</v>
      </c>
      <c r="C624" s="42" t="s">
        <v>159</v>
      </c>
      <c r="D624" s="42" t="s">
        <v>181</v>
      </c>
      <c r="E624" s="2"/>
      <c r="F624" s="2"/>
      <c r="G624" s="7">
        <f>G628+G633+G636</f>
        <v>20</v>
      </c>
      <c r="H624" s="7">
        <f>H628+H633+H636</f>
        <v>20</v>
      </c>
      <c r="I624" s="7" t="e">
        <f>I628+I633+I636</f>
        <v>#REF!</v>
      </c>
      <c r="J624" s="7" t="e">
        <f>J628+J633+J636</f>
        <v>#REF!</v>
      </c>
      <c r="K624" s="7" t="e">
        <f>K628+K633+K636</f>
        <v>#REF!</v>
      </c>
      <c r="L624" s="7">
        <f>L628+L633+L636+L625+L639</f>
        <v>20</v>
      </c>
    </row>
    <row r="625" spans="1:12" ht="31.5" customHeight="1" hidden="1">
      <c r="A625" s="26" t="s">
        <v>377</v>
      </c>
      <c r="B625" s="21" t="s">
        <v>378</v>
      </c>
      <c r="C625" s="42" t="s">
        <v>159</v>
      </c>
      <c r="D625" s="42" t="s">
        <v>181</v>
      </c>
      <c r="E625" s="2"/>
      <c r="F625" s="2"/>
      <c r="G625" s="7">
        <f>G626</f>
        <v>0</v>
      </c>
      <c r="H625" s="7">
        <f aca="true" t="shared" si="214" ref="H625:L626">H626</f>
        <v>0</v>
      </c>
      <c r="I625" s="7" t="e">
        <f t="shared" si="214"/>
        <v>#REF!</v>
      </c>
      <c r="J625" s="7" t="e">
        <f t="shared" si="214"/>
        <v>#REF!</v>
      </c>
      <c r="K625" s="7" t="e">
        <f t="shared" si="214"/>
        <v>#REF!</v>
      </c>
      <c r="L625" s="7">
        <f t="shared" si="214"/>
        <v>0</v>
      </c>
    </row>
    <row r="626" spans="1:12" ht="31.5" customHeight="1" hidden="1">
      <c r="A626" s="26" t="s">
        <v>172</v>
      </c>
      <c r="B626" s="21" t="s">
        <v>378</v>
      </c>
      <c r="C626" s="42" t="s">
        <v>159</v>
      </c>
      <c r="D626" s="42" t="s">
        <v>181</v>
      </c>
      <c r="E626" s="2">
        <v>200</v>
      </c>
      <c r="F626" s="2"/>
      <c r="G626" s="7">
        <f>G627</f>
        <v>0</v>
      </c>
      <c r="H626" s="7">
        <f t="shared" si="214"/>
        <v>0</v>
      </c>
      <c r="I626" s="7" t="e">
        <f t="shared" si="214"/>
        <v>#REF!</v>
      </c>
      <c r="J626" s="7" t="e">
        <f t="shared" si="214"/>
        <v>#REF!</v>
      </c>
      <c r="K626" s="7" t="e">
        <f t="shared" si="214"/>
        <v>#REF!</v>
      </c>
      <c r="L626" s="7">
        <f t="shared" si="214"/>
        <v>0</v>
      </c>
    </row>
    <row r="627" spans="1:12" ht="31.5" customHeight="1" hidden="1">
      <c r="A627" s="26" t="s">
        <v>174</v>
      </c>
      <c r="B627" s="21" t="s">
        <v>378</v>
      </c>
      <c r="C627" s="42" t="s">
        <v>159</v>
      </c>
      <c r="D627" s="42" t="s">
        <v>181</v>
      </c>
      <c r="E627" s="2">
        <v>240</v>
      </c>
      <c r="F627" s="2"/>
      <c r="G627" s="7">
        <v>0</v>
      </c>
      <c r="H627" s="7">
        <v>0</v>
      </c>
      <c r="I627" s="7" t="e">
        <f>#REF!</f>
        <v>#REF!</v>
      </c>
      <c r="J627" s="7" t="e">
        <f>#REF!</f>
        <v>#REF!</v>
      </c>
      <c r="K627" s="7" t="e">
        <f>#REF!</f>
        <v>#REF!</v>
      </c>
      <c r="L627" s="7">
        <f>'Прил.№5 ведомств.'!G676</f>
        <v>0</v>
      </c>
    </row>
    <row r="628" spans="1:12" ht="31.5">
      <c r="A628" s="26" t="s">
        <v>377</v>
      </c>
      <c r="B628" s="21" t="s">
        <v>519</v>
      </c>
      <c r="C628" s="42" t="s">
        <v>159</v>
      </c>
      <c r="D628" s="42" t="s">
        <v>181</v>
      </c>
      <c r="E628" s="2"/>
      <c r="F628" s="2"/>
      <c r="G628" s="7">
        <f aca="true" t="shared" si="215" ref="G628:L628">G631+G629</f>
        <v>20</v>
      </c>
      <c r="H628" s="7">
        <f t="shared" si="215"/>
        <v>20</v>
      </c>
      <c r="I628" s="7" t="e">
        <f t="shared" si="215"/>
        <v>#REF!</v>
      </c>
      <c r="J628" s="7" t="e">
        <f t="shared" si="215"/>
        <v>#REF!</v>
      </c>
      <c r="K628" s="7" t="e">
        <f t="shared" si="215"/>
        <v>#REF!</v>
      </c>
      <c r="L628" s="7">
        <f t="shared" si="215"/>
        <v>20</v>
      </c>
    </row>
    <row r="629" spans="1:12" ht="78.75" customHeight="1" hidden="1">
      <c r="A629" s="26" t="s">
        <v>168</v>
      </c>
      <c r="B629" s="21" t="s">
        <v>519</v>
      </c>
      <c r="C629" s="42" t="s">
        <v>159</v>
      </c>
      <c r="D629" s="42" t="s">
        <v>181</v>
      </c>
      <c r="E629" s="2">
        <v>100</v>
      </c>
      <c r="F629" s="2"/>
      <c r="G629" s="7">
        <f aca="true" t="shared" si="216" ref="G629:L629">G630</f>
        <v>5</v>
      </c>
      <c r="H629" s="7">
        <f t="shared" si="216"/>
        <v>5</v>
      </c>
      <c r="I629" s="7">
        <f t="shared" si="216"/>
        <v>0</v>
      </c>
      <c r="J629" s="7">
        <f t="shared" si="216"/>
        <v>0</v>
      </c>
      <c r="K629" s="7">
        <f t="shared" si="216"/>
        <v>0</v>
      </c>
      <c r="L629" s="7">
        <f t="shared" si="216"/>
        <v>0</v>
      </c>
    </row>
    <row r="630" spans="1:12" ht="15.75" customHeight="1" hidden="1">
      <c r="A630" s="26" t="s">
        <v>383</v>
      </c>
      <c r="B630" s="21" t="s">
        <v>519</v>
      </c>
      <c r="C630" s="42" t="s">
        <v>159</v>
      </c>
      <c r="D630" s="42" t="s">
        <v>181</v>
      </c>
      <c r="E630" s="2">
        <v>110</v>
      </c>
      <c r="F630" s="2"/>
      <c r="G630" s="7">
        <v>5</v>
      </c>
      <c r="H630" s="7">
        <v>5</v>
      </c>
      <c r="I630" s="7">
        <v>0</v>
      </c>
      <c r="J630" s="7">
        <v>0</v>
      </c>
      <c r="K630" s="7">
        <v>0</v>
      </c>
      <c r="L630" s="7">
        <v>0</v>
      </c>
    </row>
    <row r="631" spans="1:12" ht="31.5">
      <c r="A631" s="26" t="s">
        <v>172</v>
      </c>
      <c r="B631" s="21" t="s">
        <v>519</v>
      </c>
      <c r="C631" s="42" t="s">
        <v>159</v>
      </c>
      <c r="D631" s="42" t="s">
        <v>181</v>
      </c>
      <c r="E631" s="2">
        <v>200</v>
      </c>
      <c r="F631" s="2"/>
      <c r="G631" s="7">
        <f aca="true" t="shared" si="217" ref="G631:L631">G632</f>
        <v>15</v>
      </c>
      <c r="H631" s="7">
        <f t="shared" si="217"/>
        <v>15</v>
      </c>
      <c r="I631" s="7" t="e">
        <f t="shared" si="217"/>
        <v>#REF!</v>
      </c>
      <c r="J631" s="7" t="e">
        <f t="shared" si="217"/>
        <v>#REF!</v>
      </c>
      <c r="K631" s="7" t="e">
        <f t="shared" si="217"/>
        <v>#REF!</v>
      </c>
      <c r="L631" s="7">
        <f t="shared" si="217"/>
        <v>20</v>
      </c>
    </row>
    <row r="632" spans="1:12" ht="31.5">
      <c r="A632" s="26" t="s">
        <v>174</v>
      </c>
      <c r="B632" s="21" t="s">
        <v>519</v>
      </c>
      <c r="C632" s="42" t="s">
        <v>159</v>
      </c>
      <c r="D632" s="42" t="s">
        <v>181</v>
      </c>
      <c r="E632" s="2">
        <v>240</v>
      </c>
      <c r="F632" s="2"/>
      <c r="G632" s="7">
        <v>15</v>
      </c>
      <c r="H632" s="7">
        <v>15</v>
      </c>
      <c r="I632" s="7" t="e">
        <f>#REF!</f>
        <v>#REF!</v>
      </c>
      <c r="J632" s="7" t="e">
        <f>#REF!</f>
        <v>#REF!</v>
      </c>
      <c r="K632" s="7" t="e">
        <f>#REF!</f>
        <v>#REF!</v>
      </c>
      <c r="L632" s="7">
        <f>'Прил.№5 ведомств.'!G679</f>
        <v>20</v>
      </c>
    </row>
    <row r="633" spans="1:12" ht="31.5" customHeight="1" hidden="1">
      <c r="A633" s="26" t="s">
        <v>379</v>
      </c>
      <c r="B633" s="21" t="s">
        <v>380</v>
      </c>
      <c r="C633" s="42" t="s">
        <v>159</v>
      </c>
      <c r="D633" s="42" t="s">
        <v>181</v>
      </c>
      <c r="E633" s="2"/>
      <c r="F633" s="2"/>
      <c r="G633" s="7">
        <f>G634</f>
        <v>0</v>
      </c>
      <c r="H633" s="7">
        <f aca="true" t="shared" si="218" ref="H633:L634">H634</f>
        <v>0</v>
      </c>
      <c r="I633" s="7" t="e">
        <f t="shared" si="218"/>
        <v>#REF!</v>
      </c>
      <c r="J633" s="7" t="e">
        <f t="shared" si="218"/>
        <v>#REF!</v>
      </c>
      <c r="K633" s="7" t="e">
        <f t="shared" si="218"/>
        <v>#REF!</v>
      </c>
      <c r="L633" s="7">
        <f t="shared" si="218"/>
        <v>0</v>
      </c>
    </row>
    <row r="634" spans="1:12" ht="31.5" customHeight="1" hidden="1">
      <c r="A634" s="26" t="s">
        <v>172</v>
      </c>
      <c r="B634" s="21" t="s">
        <v>380</v>
      </c>
      <c r="C634" s="42" t="s">
        <v>159</v>
      </c>
      <c r="D634" s="42" t="s">
        <v>181</v>
      </c>
      <c r="E634" s="2">
        <v>200</v>
      </c>
      <c r="F634" s="2"/>
      <c r="G634" s="7">
        <f>G635</f>
        <v>0</v>
      </c>
      <c r="H634" s="7">
        <f t="shared" si="218"/>
        <v>0</v>
      </c>
      <c r="I634" s="7" t="e">
        <f t="shared" si="218"/>
        <v>#REF!</v>
      </c>
      <c r="J634" s="7" t="e">
        <f t="shared" si="218"/>
        <v>#REF!</v>
      </c>
      <c r="K634" s="7" t="e">
        <f t="shared" si="218"/>
        <v>#REF!</v>
      </c>
      <c r="L634" s="7">
        <f t="shared" si="218"/>
        <v>0</v>
      </c>
    </row>
    <row r="635" spans="1:12" ht="31.5" customHeight="1" hidden="1">
      <c r="A635" s="26" t="s">
        <v>174</v>
      </c>
      <c r="B635" s="21" t="s">
        <v>380</v>
      </c>
      <c r="C635" s="42" t="s">
        <v>159</v>
      </c>
      <c r="D635" s="42" t="s">
        <v>181</v>
      </c>
      <c r="E635" s="2">
        <v>240</v>
      </c>
      <c r="F635" s="2"/>
      <c r="G635" s="7">
        <v>0</v>
      </c>
      <c r="H635" s="7">
        <v>0</v>
      </c>
      <c r="I635" s="7" t="e">
        <f>#REF!</f>
        <v>#REF!</v>
      </c>
      <c r="J635" s="7" t="e">
        <f>#REF!</f>
        <v>#REF!</v>
      </c>
      <c r="K635" s="7" t="e">
        <f>#REF!</f>
        <v>#REF!</v>
      </c>
      <c r="L635" s="7">
        <f>'Прил.№5 ведомств.'!G509</f>
        <v>0</v>
      </c>
    </row>
    <row r="636" spans="1:12" ht="31.5" customHeight="1" hidden="1">
      <c r="A636" s="26" t="s">
        <v>744</v>
      </c>
      <c r="B636" s="21" t="s">
        <v>745</v>
      </c>
      <c r="C636" s="42" t="s">
        <v>159</v>
      </c>
      <c r="D636" s="42" t="s">
        <v>181</v>
      </c>
      <c r="E636" s="2"/>
      <c r="F636" s="2"/>
      <c r="G636" s="7">
        <f>G637</f>
        <v>0</v>
      </c>
      <c r="H636" s="7">
        <f aca="true" t="shared" si="219" ref="H636:L637">H637</f>
        <v>0</v>
      </c>
      <c r="I636" s="7" t="e">
        <f t="shared" si="219"/>
        <v>#REF!</v>
      </c>
      <c r="J636" s="7" t="e">
        <f t="shared" si="219"/>
        <v>#REF!</v>
      </c>
      <c r="K636" s="7" t="e">
        <f t="shared" si="219"/>
        <v>#REF!</v>
      </c>
      <c r="L636" s="7">
        <f t="shared" si="219"/>
        <v>0</v>
      </c>
    </row>
    <row r="637" spans="1:12" ht="31.5" customHeight="1" hidden="1">
      <c r="A637" s="26" t="s">
        <v>172</v>
      </c>
      <c r="B637" s="21" t="s">
        <v>745</v>
      </c>
      <c r="C637" s="42" t="s">
        <v>159</v>
      </c>
      <c r="D637" s="42" t="s">
        <v>181</v>
      </c>
      <c r="E637" s="2">
        <v>200</v>
      </c>
      <c r="F637" s="2"/>
      <c r="G637" s="7">
        <f>G638</f>
        <v>0</v>
      </c>
      <c r="H637" s="7">
        <f t="shared" si="219"/>
        <v>0</v>
      </c>
      <c r="I637" s="7" t="e">
        <f t="shared" si="219"/>
        <v>#REF!</v>
      </c>
      <c r="J637" s="7" t="e">
        <f t="shared" si="219"/>
        <v>#REF!</v>
      </c>
      <c r="K637" s="7" t="e">
        <f t="shared" si="219"/>
        <v>#REF!</v>
      </c>
      <c r="L637" s="7">
        <f t="shared" si="219"/>
        <v>0</v>
      </c>
    </row>
    <row r="638" spans="1:12" ht="31.5" customHeight="1" hidden="1">
      <c r="A638" s="26" t="s">
        <v>174</v>
      </c>
      <c r="B638" s="21" t="s">
        <v>745</v>
      </c>
      <c r="C638" s="42" t="s">
        <v>159</v>
      </c>
      <c r="D638" s="42" t="s">
        <v>181</v>
      </c>
      <c r="E638" s="2">
        <v>240</v>
      </c>
      <c r="F638" s="2"/>
      <c r="G638" s="7">
        <v>0</v>
      </c>
      <c r="H638" s="7">
        <v>0</v>
      </c>
      <c r="I638" s="7" t="e">
        <f>#REF!</f>
        <v>#REF!</v>
      </c>
      <c r="J638" s="7" t="e">
        <f>#REF!</f>
        <v>#REF!</v>
      </c>
      <c r="K638" s="7" t="e">
        <f>#REF!</f>
        <v>#REF!</v>
      </c>
      <c r="L638" s="7">
        <f>'Прил.№5 ведомств.'!G515</f>
        <v>0</v>
      </c>
    </row>
    <row r="639" spans="1:12" ht="15.75" customHeight="1" hidden="1">
      <c r="A639" s="33" t="s">
        <v>907</v>
      </c>
      <c r="B639" s="21" t="s">
        <v>906</v>
      </c>
      <c r="C639" s="42" t="s">
        <v>159</v>
      </c>
      <c r="D639" s="42" t="s">
        <v>181</v>
      </c>
      <c r="E639" s="2"/>
      <c r="F639" s="2"/>
      <c r="G639" s="7">
        <f>G640</f>
        <v>0</v>
      </c>
      <c r="H639" s="7">
        <f aca="true" t="shared" si="220" ref="H639:L640">H640</f>
        <v>0</v>
      </c>
      <c r="I639" s="7" t="e">
        <f t="shared" si="220"/>
        <v>#REF!</v>
      </c>
      <c r="J639" s="7" t="e">
        <f t="shared" si="220"/>
        <v>#REF!</v>
      </c>
      <c r="K639" s="7" t="e">
        <f t="shared" si="220"/>
        <v>#REF!</v>
      </c>
      <c r="L639" s="7">
        <f t="shared" si="220"/>
        <v>0</v>
      </c>
    </row>
    <row r="640" spans="1:12" ht="31.5" customHeight="1" hidden="1">
      <c r="A640" s="26" t="s">
        <v>172</v>
      </c>
      <c r="B640" s="21" t="s">
        <v>906</v>
      </c>
      <c r="C640" s="42" t="s">
        <v>159</v>
      </c>
      <c r="D640" s="42" t="s">
        <v>181</v>
      </c>
      <c r="E640" s="2">
        <v>200</v>
      </c>
      <c r="F640" s="2"/>
      <c r="G640" s="7">
        <f>G641</f>
        <v>0</v>
      </c>
      <c r="H640" s="7">
        <f t="shared" si="220"/>
        <v>0</v>
      </c>
      <c r="I640" s="7" t="e">
        <f t="shared" si="220"/>
        <v>#REF!</v>
      </c>
      <c r="J640" s="7" t="e">
        <f t="shared" si="220"/>
        <v>#REF!</v>
      </c>
      <c r="K640" s="7" t="e">
        <f t="shared" si="220"/>
        <v>#REF!</v>
      </c>
      <c r="L640" s="7">
        <f t="shared" si="220"/>
        <v>0</v>
      </c>
    </row>
    <row r="641" spans="1:12" ht="31.5" customHeight="1" hidden="1">
      <c r="A641" s="26" t="s">
        <v>174</v>
      </c>
      <c r="B641" s="21" t="s">
        <v>906</v>
      </c>
      <c r="C641" s="42" t="s">
        <v>159</v>
      </c>
      <c r="D641" s="42" t="s">
        <v>181</v>
      </c>
      <c r="E641" s="2">
        <v>240</v>
      </c>
      <c r="F641" s="2"/>
      <c r="G641" s="7">
        <v>0</v>
      </c>
      <c r="H641" s="7">
        <v>0</v>
      </c>
      <c r="I641" s="7" t="e">
        <f>#REF!</f>
        <v>#REF!</v>
      </c>
      <c r="J641" s="7" t="e">
        <f>#REF!</f>
        <v>#REF!</v>
      </c>
      <c r="K641" s="7" t="e">
        <f>#REF!</f>
        <v>#REF!</v>
      </c>
      <c r="L641" s="7">
        <f>'Прил.№5 ведомств.'!G682</f>
        <v>0</v>
      </c>
    </row>
    <row r="642" spans="1:12" ht="31.5">
      <c r="A642" s="47" t="s">
        <v>445</v>
      </c>
      <c r="B642" s="21" t="s">
        <v>376</v>
      </c>
      <c r="C642" s="42"/>
      <c r="D642" s="42"/>
      <c r="E642" s="2"/>
      <c r="F642" s="2">
        <v>906</v>
      </c>
      <c r="G642" s="7">
        <f>G628+G633+G636+G625+G639</f>
        <v>20</v>
      </c>
      <c r="H642" s="7">
        <f>H628+H633+H636+H625+H639</f>
        <v>20</v>
      </c>
      <c r="I642" s="7" t="e">
        <f>I628+I633+I636+I625+I639</f>
        <v>#REF!</v>
      </c>
      <c r="J642" s="7" t="e">
        <f>J628+J633+J636+J625+J639</f>
        <v>#REF!</v>
      </c>
      <c r="K642" s="7" t="e">
        <f>K628+K633+K636+K625+K639</f>
        <v>#REF!</v>
      </c>
      <c r="L642" s="7">
        <f>L624</f>
        <v>20</v>
      </c>
    </row>
    <row r="643" spans="1:14" ht="63">
      <c r="A643" s="43" t="s">
        <v>782</v>
      </c>
      <c r="B643" s="25" t="s">
        <v>780</v>
      </c>
      <c r="C643" s="8"/>
      <c r="D643" s="8"/>
      <c r="E643" s="3"/>
      <c r="F643" s="3"/>
      <c r="G643" s="4" t="e">
        <f>G644+#REF!</f>
        <v>#REF!</v>
      </c>
      <c r="H643" s="4" t="e">
        <f>H644+#REF!</f>
        <v>#REF!</v>
      </c>
      <c r="I643" s="4" t="e">
        <f>I644+#REF!</f>
        <v>#REF!</v>
      </c>
      <c r="J643" s="4" t="e">
        <f>J644+#REF!</f>
        <v>#REF!</v>
      </c>
      <c r="K643" s="4" t="e">
        <f>K644+#REF!</f>
        <v>#REF!</v>
      </c>
      <c r="L643" s="4">
        <f>L652+L662+L683+L672+L679</f>
        <v>3292.6</v>
      </c>
      <c r="N643" s="23"/>
    </row>
    <row r="644" spans="1:13" s="145" customFormat="1" ht="15.75">
      <c r="A644" s="31" t="s">
        <v>158</v>
      </c>
      <c r="B644" s="21" t="s">
        <v>780</v>
      </c>
      <c r="C644" s="42" t="s">
        <v>159</v>
      </c>
      <c r="D644" s="42"/>
      <c r="E644" s="2"/>
      <c r="F644" s="2"/>
      <c r="G644" s="7" t="e">
        <f aca="true" t="shared" si="221" ref="G644:L644">G645</f>
        <v>#REF!</v>
      </c>
      <c r="H644" s="7" t="e">
        <f t="shared" si="221"/>
        <v>#REF!</v>
      </c>
      <c r="I644" s="7" t="e">
        <f t="shared" si="221"/>
        <v>#REF!</v>
      </c>
      <c r="J644" s="7" t="e">
        <f t="shared" si="221"/>
        <v>#REF!</v>
      </c>
      <c r="K644" s="7" t="e">
        <f t="shared" si="221"/>
        <v>#REF!</v>
      </c>
      <c r="L644" s="7">
        <f t="shared" si="221"/>
        <v>40</v>
      </c>
      <c r="M644" s="288"/>
    </row>
    <row r="645" spans="1:13" s="145" customFormat="1" ht="15.75">
      <c r="A645" s="31" t="s">
        <v>180</v>
      </c>
      <c r="B645" s="21" t="s">
        <v>780</v>
      </c>
      <c r="C645" s="42" t="s">
        <v>159</v>
      </c>
      <c r="D645" s="42" t="s">
        <v>181</v>
      </c>
      <c r="E645" s="2"/>
      <c r="F645" s="2"/>
      <c r="G645" s="7" t="e">
        <f>G646+#REF!</f>
        <v>#REF!</v>
      </c>
      <c r="H645" s="7" t="e">
        <f>H646+#REF!</f>
        <v>#REF!</v>
      </c>
      <c r="I645" s="7" t="e">
        <f>I646+#REF!</f>
        <v>#REF!</v>
      </c>
      <c r="J645" s="7" t="e">
        <f>J646+#REF!</f>
        <v>#REF!</v>
      </c>
      <c r="K645" s="7" t="e">
        <f>K646+#REF!</f>
        <v>#REF!</v>
      </c>
      <c r="L645" s="7">
        <f>L646+L649</f>
        <v>40</v>
      </c>
      <c r="M645" s="288"/>
    </row>
    <row r="646" spans="1:12" ht="31.5">
      <c r="A646" s="33" t="s">
        <v>198</v>
      </c>
      <c r="B646" s="21" t="s">
        <v>910</v>
      </c>
      <c r="C646" s="42" t="s">
        <v>159</v>
      </c>
      <c r="D646" s="42" t="s">
        <v>181</v>
      </c>
      <c r="E646" s="2"/>
      <c r="F646" s="2"/>
      <c r="G646" s="7" t="e">
        <f>G647</f>
        <v>#REF!</v>
      </c>
      <c r="H646" s="7" t="e">
        <f aca="true" t="shared" si="222" ref="H646:L647">H647</f>
        <v>#REF!</v>
      </c>
      <c r="I646" s="7" t="e">
        <f t="shared" si="222"/>
        <v>#REF!</v>
      </c>
      <c r="J646" s="7" t="e">
        <f t="shared" si="222"/>
        <v>#REF!</v>
      </c>
      <c r="K646" s="7" t="e">
        <f t="shared" si="222"/>
        <v>#REF!</v>
      </c>
      <c r="L646" s="7">
        <f t="shared" si="222"/>
        <v>25</v>
      </c>
    </row>
    <row r="647" spans="1:12" ht="31.5">
      <c r="A647" s="26" t="s">
        <v>172</v>
      </c>
      <c r="B647" s="21" t="s">
        <v>910</v>
      </c>
      <c r="C647" s="42" t="s">
        <v>159</v>
      </c>
      <c r="D647" s="42" t="s">
        <v>181</v>
      </c>
      <c r="E647" s="2">
        <v>200</v>
      </c>
      <c r="F647" s="2"/>
      <c r="G647" s="7" t="e">
        <f>G648</f>
        <v>#REF!</v>
      </c>
      <c r="H647" s="7" t="e">
        <f t="shared" si="222"/>
        <v>#REF!</v>
      </c>
      <c r="I647" s="7" t="e">
        <f t="shared" si="222"/>
        <v>#REF!</v>
      </c>
      <c r="J647" s="7" t="e">
        <f t="shared" si="222"/>
        <v>#REF!</v>
      </c>
      <c r="K647" s="7" t="e">
        <f t="shared" si="222"/>
        <v>#REF!</v>
      </c>
      <c r="L647" s="7">
        <f t="shared" si="222"/>
        <v>25</v>
      </c>
    </row>
    <row r="648" spans="1:12" ht="31.5">
      <c r="A648" s="26" t="s">
        <v>174</v>
      </c>
      <c r="B648" s="21" t="s">
        <v>910</v>
      </c>
      <c r="C648" s="42" t="s">
        <v>159</v>
      </c>
      <c r="D648" s="42" t="s">
        <v>181</v>
      </c>
      <c r="E648" s="2">
        <v>240</v>
      </c>
      <c r="F648" s="2"/>
      <c r="G648" s="7" t="e">
        <f>#REF!</f>
        <v>#REF!</v>
      </c>
      <c r="H648" s="7" t="e">
        <f>#REF!</f>
        <v>#REF!</v>
      </c>
      <c r="I648" s="7" t="e">
        <f>#REF!</f>
        <v>#REF!</v>
      </c>
      <c r="J648" s="7" t="e">
        <f>#REF!</f>
        <v>#REF!</v>
      </c>
      <c r="K648" s="7" t="e">
        <f>#REF!</f>
        <v>#REF!</v>
      </c>
      <c r="L648" s="7">
        <f>'Прил.№5 ведомств.'!G94</f>
        <v>25</v>
      </c>
    </row>
    <row r="649" spans="1:12" ht="31.5">
      <c r="A649" s="47" t="s">
        <v>913</v>
      </c>
      <c r="B649" s="21" t="s">
        <v>912</v>
      </c>
      <c r="C649" s="42" t="s">
        <v>159</v>
      </c>
      <c r="D649" s="42" t="s">
        <v>181</v>
      </c>
      <c r="E649" s="2"/>
      <c r="F649" s="2"/>
      <c r="G649" s="7" t="e">
        <f>G650</f>
        <v>#REF!</v>
      </c>
      <c r="H649" s="7" t="e">
        <f aca="true" t="shared" si="223" ref="H649:L650">H650</f>
        <v>#REF!</v>
      </c>
      <c r="I649" s="7" t="e">
        <f t="shared" si="223"/>
        <v>#REF!</v>
      </c>
      <c r="J649" s="7" t="e">
        <f t="shared" si="223"/>
        <v>#REF!</v>
      </c>
      <c r="K649" s="7" t="e">
        <f t="shared" si="223"/>
        <v>#REF!</v>
      </c>
      <c r="L649" s="7">
        <f t="shared" si="223"/>
        <v>15</v>
      </c>
    </row>
    <row r="650" spans="1:12" ht="31.5">
      <c r="A650" s="26" t="s">
        <v>172</v>
      </c>
      <c r="B650" s="21" t="s">
        <v>912</v>
      </c>
      <c r="C650" s="42" t="s">
        <v>159</v>
      </c>
      <c r="D650" s="42" t="s">
        <v>181</v>
      </c>
      <c r="E650" s="2">
        <v>200</v>
      </c>
      <c r="F650" s="2"/>
      <c r="G650" s="7" t="e">
        <f>G651</f>
        <v>#REF!</v>
      </c>
      <c r="H650" s="7" t="e">
        <f t="shared" si="223"/>
        <v>#REF!</v>
      </c>
      <c r="I650" s="7" t="e">
        <f t="shared" si="223"/>
        <v>#REF!</v>
      </c>
      <c r="J650" s="7" t="e">
        <f t="shared" si="223"/>
        <v>#REF!</v>
      </c>
      <c r="K650" s="7" t="e">
        <f t="shared" si="223"/>
        <v>#REF!</v>
      </c>
      <c r="L650" s="7">
        <f t="shared" si="223"/>
        <v>15</v>
      </c>
    </row>
    <row r="651" spans="1:12" ht="31.5">
      <c r="A651" s="26" t="s">
        <v>174</v>
      </c>
      <c r="B651" s="21" t="s">
        <v>912</v>
      </c>
      <c r="C651" s="42" t="s">
        <v>159</v>
      </c>
      <c r="D651" s="42" t="s">
        <v>181</v>
      </c>
      <c r="E651" s="2">
        <v>240</v>
      </c>
      <c r="F651" s="2"/>
      <c r="G651" s="7" t="e">
        <f>#REF!</f>
        <v>#REF!</v>
      </c>
      <c r="H651" s="7" t="e">
        <f>#REF!</f>
        <v>#REF!</v>
      </c>
      <c r="I651" s="7" t="e">
        <f>#REF!</f>
        <v>#REF!</v>
      </c>
      <c r="J651" s="7" t="e">
        <f>#REF!</f>
        <v>#REF!</v>
      </c>
      <c r="K651" s="7" t="e">
        <f>#REF!</f>
        <v>#REF!</v>
      </c>
      <c r="L651" s="7">
        <f>'Прил.№5 ведомств.'!G100</f>
        <v>15</v>
      </c>
    </row>
    <row r="652" spans="1:12" ht="15.75">
      <c r="A652" s="31" t="s">
        <v>189</v>
      </c>
      <c r="B652" s="21" t="s">
        <v>780</v>
      </c>
      <c r="C652" s="42"/>
      <c r="D652" s="42"/>
      <c r="E652" s="2"/>
      <c r="F652" s="2">
        <v>902</v>
      </c>
      <c r="G652" s="7" t="e">
        <f>G644</f>
        <v>#REF!</v>
      </c>
      <c r="H652" s="7" t="e">
        <f>H644</f>
        <v>#REF!</v>
      </c>
      <c r="I652" s="7" t="e">
        <f>I644</f>
        <v>#REF!</v>
      </c>
      <c r="J652" s="7" t="e">
        <f>J644</f>
        <v>#REF!</v>
      </c>
      <c r="K652" s="7" t="e">
        <f>K644</f>
        <v>#REF!</v>
      </c>
      <c r="L652" s="7">
        <f>L646+L649</f>
        <v>40</v>
      </c>
    </row>
    <row r="653" spans="1:12" ht="31.5">
      <c r="A653" s="33" t="s">
        <v>198</v>
      </c>
      <c r="B653" s="21" t="s">
        <v>910</v>
      </c>
      <c r="C653" s="42" t="s">
        <v>159</v>
      </c>
      <c r="D653" s="42" t="s">
        <v>181</v>
      </c>
      <c r="E653" s="2"/>
      <c r="F653" s="2"/>
      <c r="G653" s="7"/>
      <c r="H653" s="7"/>
      <c r="I653" s="7"/>
      <c r="J653" s="7"/>
      <c r="K653" s="7"/>
      <c r="L653" s="7">
        <f>L654</f>
        <v>5</v>
      </c>
    </row>
    <row r="654" spans="1:12" ht="31.5">
      <c r="A654" s="26" t="s">
        <v>172</v>
      </c>
      <c r="B654" s="21" t="s">
        <v>910</v>
      </c>
      <c r="C654" s="42" t="s">
        <v>159</v>
      </c>
      <c r="D654" s="42" t="s">
        <v>181</v>
      </c>
      <c r="E654" s="2">
        <v>200</v>
      </c>
      <c r="F654" s="2"/>
      <c r="G654" s="7"/>
      <c r="H654" s="7"/>
      <c r="I654" s="7"/>
      <c r="J654" s="7"/>
      <c r="K654" s="7"/>
      <c r="L654" s="7">
        <f>L655</f>
        <v>5</v>
      </c>
    </row>
    <row r="655" spans="1:12" ht="31.5">
      <c r="A655" s="26" t="s">
        <v>174</v>
      </c>
      <c r="B655" s="21" t="s">
        <v>910</v>
      </c>
      <c r="C655" s="42" t="s">
        <v>159</v>
      </c>
      <c r="D655" s="42" t="s">
        <v>181</v>
      </c>
      <c r="E655" s="2">
        <v>240</v>
      </c>
      <c r="F655" s="2"/>
      <c r="G655" s="7"/>
      <c r="H655" s="7"/>
      <c r="I655" s="7"/>
      <c r="J655" s="7"/>
      <c r="K655" s="7"/>
      <c r="L655" s="7">
        <f>'Прил.№5 ведомств.'!G284</f>
        <v>5</v>
      </c>
    </row>
    <row r="656" spans="1:12" ht="31.5">
      <c r="A656" s="47" t="s">
        <v>914</v>
      </c>
      <c r="B656" s="21" t="s">
        <v>915</v>
      </c>
      <c r="C656" s="42" t="s">
        <v>305</v>
      </c>
      <c r="D656" s="42" t="s">
        <v>256</v>
      </c>
      <c r="E656" s="2"/>
      <c r="F656" s="2"/>
      <c r="G656" s="7"/>
      <c r="H656" s="7"/>
      <c r="I656" s="7"/>
      <c r="J656" s="7"/>
      <c r="K656" s="7"/>
      <c r="L656" s="7">
        <f>L657</f>
        <v>221</v>
      </c>
    </row>
    <row r="657" spans="1:12" ht="31.5">
      <c r="A657" s="26" t="s">
        <v>172</v>
      </c>
      <c r="B657" s="21" t="s">
        <v>915</v>
      </c>
      <c r="C657" s="42" t="s">
        <v>305</v>
      </c>
      <c r="D657" s="42" t="s">
        <v>256</v>
      </c>
      <c r="E657" s="2">
        <v>200</v>
      </c>
      <c r="F657" s="2"/>
      <c r="G657" s="7"/>
      <c r="H657" s="7"/>
      <c r="I657" s="7"/>
      <c r="J657" s="7"/>
      <c r="K657" s="7"/>
      <c r="L657" s="7">
        <f>L658</f>
        <v>221</v>
      </c>
    </row>
    <row r="658" spans="1:12" ht="31.5">
      <c r="A658" s="26" t="s">
        <v>174</v>
      </c>
      <c r="B658" s="21" t="s">
        <v>915</v>
      </c>
      <c r="C658" s="42" t="s">
        <v>305</v>
      </c>
      <c r="D658" s="42" t="s">
        <v>256</v>
      </c>
      <c r="E658" s="2">
        <v>240</v>
      </c>
      <c r="F658" s="2"/>
      <c r="G658" s="7"/>
      <c r="H658" s="7"/>
      <c r="I658" s="7"/>
      <c r="J658" s="7"/>
      <c r="K658" s="7"/>
      <c r="L658" s="7">
        <f>'Прил.№5 ведомств.'!G348</f>
        <v>221</v>
      </c>
    </row>
    <row r="659" spans="1:12" ht="31.5">
      <c r="A659" s="47" t="s">
        <v>914</v>
      </c>
      <c r="B659" s="21" t="s">
        <v>915</v>
      </c>
      <c r="C659" s="42" t="s">
        <v>340</v>
      </c>
      <c r="D659" s="42" t="s">
        <v>159</v>
      </c>
      <c r="E659" s="2"/>
      <c r="F659" s="2"/>
      <c r="G659" s="7"/>
      <c r="H659" s="7"/>
      <c r="I659" s="7"/>
      <c r="J659" s="7"/>
      <c r="K659" s="7"/>
      <c r="L659" s="7">
        <f>L660</f>
        <v>793.2</v>
      </c>
    </row>
    <row r="660" spans="1:12" ht="31.5">
      <c r="A660" s="26" t="s">
        <v>172</v>
      </c>
      <c r="B660" s="21" t="s">
        <v>915</v>
      </c>
      <c r="C660" s="42" t="s">
        <v>340</v>
      </c>
      <c r="D660" s="42" t="s">
        <v>159</v>
      </c>
      <c r="E660" s="2">
        <v>200</v>
      </c>
      <c r="F660" s="2"/>
      <c r="G660" s="7"/>
      <c r="H660" s="7"/>
      <c r="I660" s="7"/>
      <c r="J660" s="7"/>
      <c r="K660" s="7"/>
      <c r="L660" s="7">
        <f>L661</f>
        <v>793.2</v>
      </c>
    </row>
    <row r="661" spans="1:12" ht="31.5">
      <c r="A661" s="26" t="s">
        <v>174</v>
      </c>
      <c r="B661" s="21" t="s">
        <v>915</v>
      </c>
      <c r="C661" s="42" t="s">
        <v>340</v>
      </c>
      <c r="D661" s="42" t="s">
        <v>159</v>
      </c>
      <c r="E661" s="2">
        <v>240</v>
      </c>
      <c r="F661" s="2"/>
      <c r="G661" s="7"/>
      <c r="H661" s="7"/>
      <c r="I661" s="7"/>
      <c r="J661" s="7"/>
      <c r="K661" s="7"/>
      <c r="L661" s="7">
        <f>'Прил.№5 ведомств.'!G477</f>
        <v>793.2</v>
      </c>
    </row>
    <row r="662" spans="1:12" ht="47.25">
      <c r="A662" s="26" t="s">
        <v>302</v>
      </c>
      <c r="B662" s="21" t="s">
        <v>780</v>
      </c>
      <c r="C662" s="42"/>
      <c r="D662" s="42"/>
      <c r="E662" s="2"/>
      <c r="F662" s="2">
        <v>903</v>
      </c>
      <c r="G662" s="7"/>
      <c r="H662" s="7"/>
      <c r="I662" s="7"/>
      <c r="J662" s="7"/>
      <c r="K662" s="7"/>
      <c r="L662" s="7">
        <f>L653+L659+L656</f>
        <v>1019.2</v>
      </c>
    </row>
    <row r="663" spans="1:12" ht="47.25">
      <c r="A663" s="47" t="s">
        <v>922</v>
      </c>
      <c r="B663" s="21" t="s">
        <v>923</v>
      </c>
      <c r="C663" s="42" t="s">
        <v>305</v>
      </c>
      <c r="D663" s="42" t="s">
        <v>159</v>
      </c>
      <c r="E663" s="2"/>
      <c r="F663" s="2"/>
      <c r="G663" s="7"/>
      <c r="H663" s="7"/>
      <c r="I663" s="7"/>
      <c r="J663" s="7"/>
      <c r="K663" s="7"/>
      <c r="L663" s="7">
        <f>L664</f>
        <v>464.3</v>
      </c>
    </row>
    <row r="664" spans="1:12" ht="31.5">
      <c r="A664" s="31" t="s">
        <v>313</v>
      </c>
      <c r="B664" s="21" t="s">
        <v>923</v>
      </c>
      <c r="C664" s="42" t="s">
        <v>305</v>
      </c>
      <c r="D664" s="42" t="s">
        <v>159</v>
      </c>
      <c r="E664" s="2">
        <v>600</v>
      </c>
      <c r="F664" s="2"/>
      <c r="G664" s="7"/>
      <c r="H664" s="7"/>
      <c r="I664" s="7"/>
      <c r="J664" s="7"/>
      <c r="K664" s="7"/>
      <c r="L664" s="7">
        <f>L665</f>
        <v>464.3</v>
      </c>
    </row>
    <row r="665" spans="1:12" ht="15.75">
      <c r="A665" s="31" t="s">
        <v>315</v>
      </c>
      <c r="B665" s="21" t="s">
        <v>923</v>
      </c>
      <c r="C665" s="42" t="s">
        <v>305</v>
      </c>
      <c r="D665" s="42" t="s">
        <v>159</v>
      </c>
      <c r="E665" s="2">
        <v>610</v>
      </c>
      <c r="F665" s="2"/>
      <c r="G665" s="7"/>
      <c r="H665" s="7"/>
      <c r="I665" s="7"/>
      <c r="J665" s="7"/>
      <c r="K665" s="7"/>
      <c r="L665" s="7">
        <f>'Прил.№5 ведомств.'!G728</f>
        <v>464.3</v>
      </c>
    </row>
    <row r="666" spans="1:12" ht="47.25">
      <c r="A666" s="47" t="s">
        <v>922</v>
      </c>
      <c r="B666" s="21" t="s">
        <v>923</v>
      </c>
      <c r="C666" s="42" t="s">
        <v>305</v>
      </c>
      <c r="D666" s="42" t="s">
        <v>254</v>
      </c>
      <c r="E666" s="2"/>
      <c r="F666" s="2"/>
      <c r="G666" s="7"/>
      <c r="H666" s="7"/>
      <c r="I666" s="7"/>
      <c r="J666" s="7"/>
      <c r="K666" s="7"/>
      <c r="L666" s="7">
        <f>L667</f>
        <v>723.3</v>
      </c>
    </row>
    <row r="667" spans="1:12" ht="31.5">
      <c r="A667" s="31" t="s">
        <v>313</v>
      </c>
      <c r="B667" s="21" t="s">
        <v>923</v>
      </c>
      <c r="C667" s="42" t="s">
        <v>305</v>
      </c>
      <c r="D667" s="42" t="s">
        <v>254</v>
      </c>
      <c r="E667" s="2">
        <v>600</v>
      </c>
      <c r="F667" s="2"/>
      <c r="G667" s="7"/>
      <c r="H667" s="7"/>
      <c r="I667" s="7"/>
      <c r="J667" s="7"/>
      <c r="K667" s="7"/>
      <c r="L667" s="7">
        <f>L668</f>
        <v>723.3</v>
      </c>
    </row>
    <row r="668" spans="1:12" ht="15.75">
      <c r="A668" s="31" t="s">
        <v>315</v>
      </c>
      <c r="B668" s="21" t="s">
        <v>923</v>
      </c>
      <c r="C668" s="42" t="s">
        <v>305</v>
      </c>
      <c r="D668" s="42" t="s">
        <v>254</v>
      </c>
      <c r="E668" s="2">
        <v>610</v>
      </c>
      <c r="F668" s="2"/>
      <c r="G668" s="7"/>
      <c r="H668" s="7"/>
      <c r="I668" s="7"/>
      <c r="J668" s="7"/>
      <c r="K668" s="7"/>
      <c r="L668" s="7">
        <f>'Прил.№5 ведомств.'!G799</f>
        <v>723.3</v>
      </c>
    </row>
    <row r="669" spans="1:12" ht="47.25">
      <c r="A669" s="47" t="s">
        <v>922</v>
      </c>
      <c r="B669" s="21" t="s">
        <v>923</v>
      </c>
      <c r="C669" s="42" t="s">
        <v>305</v>
      </c>
      <c r="D669" s="42" t="s">
        <v>256</v>
      </c>
      <c r="E669" s="2"/>
      <c r="F669" s="2"/>
      <c r="G669" s="7"/>
      <c r="H669" s="7"/>
      <c r="I669" s="7"/>
      <c r="J669" s="7"/>
      <c r="K669" s="7"/>
      <c r="L669" s="7">
        <f>L670</f>
        <v>300.7</v>
      </c>
    </row>
    <row r="670" spans="1:12" ht="31.5">
      <c r="A670" s="31" t="s">
        <v>313</v>
      </c>
      <c r="B670" s="21" t="s">
        <v>923</v>
      </c>
      <c r="C670" s="42" t="s">
        <v>305</v>
      </c>
      <c r="D670" s="42" t="s">
        <v>256</v>
      </c>
      <c r="E670" s="2">
        <v>600</v>
      </c>
      <c r="F670" s="2"/>
      <c r="G670" s="7"/>
      <c r="H670" s="7"/>
      <c r="I670" s="7"/>
      <c r="J670" s="7"/>
      <c r="K670" s="7"/>
      <c r="L670" s="7">
        <f>L671</f>
        <v>300.7</v>
      </c>
    </row>
    <row r="671" spans="1:12" ht="15.75">
      <c r="A671" s="31" t="s">
        <v>315</v>
      </c>
      <c r="B671" s="21" t="s">
        <v>923</v>
      </c>
      <c r="C671" s="42" t="s">
        <v>305</v>
      </c>
      <c r="D671" s="42" t="s">
        <v>256</v>
      </c>
      <c r="E671" s="2">
        <v>610</v>
      </c>
      <c r="F671" s="2"/>
      <c r="G671" s="7"/>
      <c r="H671" s="7"/>
      <c r="I671" s="7"/>
      <c r="J671" s="7"/>
      <c r="K671" s="7"/>
      <c r="L671" s="7">
        <f>'Прил.№5 ведомств.'!G848</f>
        <v>300.7</v>
      </c>
    </row>
    <row r="672" spans="1:12" ht="31.5">
      <c r="A672" s="47" t="s">
        <v>445</v>
      </c>
      <c r="B672" s="21" t="s">
        <v>923</v>
      </c>
      <c r="C672" s="42"/>
      <c r="D672" s="42"/>
      <c r="E672" s="2"/>
      <c r="F672" s="2">
        <v>906</v>
      </c>
      <c r="G672" s="7"/>
      <c r="H672" s="7"/>
      <c r="I672" s="7"/>
      <c r="J672" s="7"/>
      <c r="K672" s="7"/>
      <c r="L672" s="7">
        <f>L663+L666+L669</f>
        <v>1488.3</v>
      </c>
    </row>
    <row r="673" spans="1:12" ht="47.25" customHeight="1" hidden="1">
      <c r="A673" s="47" t="s">
        <v>922</v>
      </c>
      <c r="B673" s="21" t="s">
        <v>923</v>
      </c>
      <c r="C673" s="42" t="s">
        <v>305</v>
      </c>
      <c r="D673" s="42" t="s">
        <v>256</v>
      </c>
      <c r="E673" s="2"/>
      <c r="F673" s="2"/>
      <c r="G673" s="7"/>
      <c r="H673" s="7"/>
      <c r="I673" s="7"/>
      <c r="J673" s="7"/>
      <c r="K673" s="7"/>
      <c r="L673" s="7">
        <f>L674</f>
        <v>0</v>
      </c>
    </row>
    <row r="674" spans="1:12" ht="31.5" customHeight="1" hidden="1">
      <c r="A674" s="31" t="s">
        <v>313</v>
      </c>
      <c r="B674" s="21" t="s">
        <v>923</v>
      </c>
      <c r="C674" s="42" t="s">
        <v>305</v>
      </c>
      <c r="D674" s="42" t="s">
        <v>256</v>
      </c>
      <c r="E674" s="2">
        <v>600</v>
      </c>
      <c r="F674" s="2"/>
      <c r="G674" s="7"/>
      <c r="H674" s="7"/>
      <c r="I674" s="7"/>
      <c r="J674" s="7"/>
      <c r="K674" s="7"/>
      <c r="L674" s="7">
        <f>L675</f>
        <v>0</v>
      </c>
    </row>
    <row r="675" spans="1:12" ht="15.75" customHeight="1" hidden="1">
      <c r="A675" s="31" t="s">
        <v>315</v>
      </c>
      <c r="B675" s="21" t="s">
        <v>923</v>
      </c>
      <c r="C675" s="42" t="s">
        <v>305</v>
      </c>
      <c r="D675" s="42" t="s">
        <v>256</v>
      </c>
      <c r="E675" s="2">
        <v>610</v>
      </c>
      <c r="F675" s="2"/>
      <c r="G675" s="7"/>
      <c r="H675" s="7"/>
      <c r="I675" s="7"/>
      <c r="J675" s="7"/>
      <c r="K675" s="7"/>
      <c r="L675" s="7">
        <f>'Прил.№5 ведомств.'!G932</f>
        <v>0</v>
      </c>
    </row>
    <row r="676" spans="1:12" ht="47.25">
      <c r="A676" s="47" t="s">
        <v>922</v>
      </c>
      <c r="B676" s="21" t="s">
        <v>923</v>
      </c>
      <c r="C676" s="42" t="s">
        <v>533</v>
      </c>
      <c r="D676" s="42" t="s">
        <v>159</v>
      </c>
      <c r="E676" s="2"/>
      <c r="F676" s="2"/>
      <c r="G676" s="7"/>
      <c r="H676" s="7"/>
      <c r="I676" s="7"/>
      <c r="J676" s="7"/>
      <c r="K676" s="7"/>
      <c r="L676" s="7">
        <f>L677</f>
        <v>540.1</v>
      </c>
    </row>
    <row r="677" spans="1:12" ht="31.5">
      <c r="A677" s="31" t="s">
        <v>313</v>
      </c>
      <c r="B677" s="21" t="s">
        <v>923</v>
      </c>
      <c r="C677" s="42" t="s">
        <v>533</v>
      </c>
      <c r="D677" s="42" t="s">
        <v>159</v>
      </c>
      <c r="E677" s="2">
        <v>600</v>
      </c>
      <c r="F677" s="2"/>
      <c r="G677" s="7"/>
      <c r="H677" s="7"/>
      <c r="I677" s="7"/>
      <c r="J677" s="7"/>
      <c r="K677" s="7"/>
      <c r="L677" s="7">
        <f>L678</f>
        <v>540.1</v>
      </c>
    </row>
    <row r="678" spans="1:12" ht="15.75">
      <c r="A678" s="31" t="s">
        <v>315</v>
      </c>
      <c r="B678" s="21" t="s">
        <v>923</v>
      </c>
      <c r="C678" s="42" t="s">
        <v>533</v>
      </c>
      <c r="D678" s="42" t="s">
        <v>159</v>
      </c>
      <c r="E678" s="2">
        <v>610</v>
      </c>
      <c r="F678" s="2"/>
      <c r="G678" s="7"/>
      <c r="H678" s="7"/>
      <c r="I678" s="7"/>
      <c r="J678" s="7"/>
      <c r="K678" s="7"/>
      <c r="L678" s="7">
        <f>'Прил.№5 ведомств.'!G985</f>
        <v>540.1</v>
      </c>
    </row>
    <row r="679" spans="1:12" ht="31.5">
      <c r="A679" s="47" t="s">
        <v>522</v>
      </c>
      <c r="B679" s="21" t="s">
        <v>923</v>
      </c>
      <c r="C679" s="42"/>
      <c r="D679" s="42"/>
      <c r="E679" s="2"/>
      <c r="F679" s="2">
        <v>907</v>
      </c>
      <c r="G679" s="7"/>
      <c r="H679" s="7"/>
      <c r="I679" s="7"/>
      <c r="J679" s="7"/>
      <c r="K679" s="7"/>
      <c r="L679" s="7">
        <f>L673+L676</f>
        <v>540.1</v>
      </c>
    </row>
    <row r="680" spans="1:12" ht="31.5">
      <c r="A680" s="47" t="s">
        <v>914</v>
      </c>
      <c r="B680" s="21" t="s">
        <v>915</v>
      </c>
      <c r="C680" s="42" t="s">
        <v>279</v>
      </c>
      <c r="D680" s="42" t="s">
        <v>254</v>
      </c>
      <c r="E680" s="2"/>
      <c r="F680" s="2"/>
      <c r="G680" s="7"/>
      <c r="H680" s="7"/>
      <c r="I680" s="7"/>
      <c r="J680" s="7"/>
      <c r="K680" s="7"/>
      <c r="L680" s="7">
        <f>L681</f>
        <v>205</v>
      </c>
    </row>
    <row r="681" spans="1:12" ht="31.5">
      <c r="A681" s="26" t="s">
        <v>172</v>
      </c>
      <c r="B681" s="21" t="s">
        <v>915</v>
      </c>
      <c r="C681" s="42" t="s">
        <v>279</v>
      </c>
      <c r="D681" s="42" t="s">
        <v>254</v>
      </c>
      <c r="E681" s="2">
        <v>200</v>
      </c>
      <c r="F681" s="2"/>
      <c r="G681" s="7"/>
      <c r="H681" s="7"/>
      <c r="I681" s="7"/>
      <c r="J681" s="7"/>
      <c r="K681" s="7"/>
      <c r="L681" s="7">
        <f>L682</f>
        <v>205</v>
      </c>
    </row>
    <row r="682" spans="1:12" ht="31.5">
      <c r="A682" s="26" t="s">
        <v>174</v>
      </c>
      <c r="B682" s="21" t="s">
        <v>915</v>
      </c>
      <c r="C682" s="42" t="s">
        <v>279</v>
      </c>
      <c r="D682" s="42" t="s">
        <v>254</v>
      </c>
      <c r="E682" s="2">
        <v>240</v>
      </c>
      <c r="F682" s="2"/>
      <c r="G682" s="7"/>
      <c r="H682" s="7"/>
      <c r="I682" s="7"/>
      <c r="J682" s="7"/>
      <c r="K682" s="7"/>
      <c r="L682" s="7">
        <f>'Прил.№5 ведомств.'!G1312</f>
        <v>205</v>
      </c>
    </row>
    <row r="683" spans="1:12" ht="15.75">
      <c r="A683" s="47" t="s">
        <v>623</v>
      </c>
      <c r="B683" s="21" t="s">
        <v>780</v>
      </c>
      <c r="C683" s="42"/>
      <c r="D683" s="42"/>
      <c r="E683" s="2"/>
      <c r="F683" s="2">
        <v>913</v>
      </c>
      <c r="G683" s="7"/>
      <c r="H683" s="7"/>
      <c r="I683" s="7"/>
      <c r="J683" s="7"/>
      <c r="K683" s="7"/>
      <c r="L683" s="7">
        <f>L680</f>
        <v>205</v>
      </c>
    </row>
    <row r="684" spans="1:12" ht="63">
      <c r="A684" s="24" t="s">
        <v>968</v>
      </c>
      <c r="B684" s="25" t="s">
        <v>786</v>
      </c>
      <c r="C684" s="8"/>
      <c r="D684" s="8"/>
      <c r="E684" s="3"/>
      <c r="F684" s="3"/>
      <c r="G684" s="4" t="e">
        <f>G685</f>
        <v>#REF!</v>
      </c>
      <c r="H684" s="4" t="e">
        <f aca="true" t="shared" si="224" ref="H684:L688">H685</f>
        <v>#REF!</v>
      </c>
      <c r="I684" s="4" t="e">
        <f t="shared" si="224"/>
        <v>#REF!</v>
      </c>
      <c r="J684" s="4" t="e">
        <f t="shared" si="224"/>
        <v>#REF!</v>
      </c>
      <c r="K684" s="4" t="e">
        <f t="shared" si="224"/>
        <v>#REF!</v>
      </c>
      <c r="L684" s="4">
        <f t="shared" si="224"/>
        <v>2614.5200000000004</v>
      </c>
    </row>
    <row r="685" spans="1:12" ht="15.75">
      <c r="A685" s="26" t="s">
        <v>432</v>
      </c>
      <c r="B685" s="21" t="s">
        <v>786</v>
      </c>
      <c r="C685" s="42" t="s">
        <v>275</v>
      </c>
      <c r="D685" s="42"/>
      <c r="E685" s="2"/>
      <c r="F685" s="2"/>
      <c r="G685" s="7" t="e">
        <f>G686</f>
        <v>#REF!</v>
      </c>
      <c r="H685" s="7" t="e">
        <f t="shared" si="224"/>
        <v>#REF!</v>
      </c>
      <c r="I685" s="7" t="e">
        <f t="shared" si="224"/>
        <v>#REF!</v>
      </c>
      <c r="J685" s="7" t="e">
        <f t="shared" si="224"/>
        <v>#REF!</v>
      </c>
      <c r="K685" s="7" t="e">
        <f t="shared" si="224"/>
        <v>#REF!</v>
      </c>
      <c r="L685" s="7">
        <f t="shared" si="224"/>
        <v>2614.5200000000004</v>
      </c>
    </row>
    <row r="686" spans="1:12" ht="15.75">
      <c r="A686" s="26" t="s">
        <v>583</v>
      </c>
      <c r="B686" s="21" t="s">
        <v>786</v>
      </c>
      <c r="C686" s="42" t="s">
        <v>275</v>
      </c>
      <c r="D686" s="42" t="s">
        <v>256</v>
      </c>
      <c r="E686" s="2"/>
      <c r="F686" s="2"/>
      <c r="G686" s="7" t="e">
        <f>G687</f>
        <v>#REF!</v>
      </c>
      <c r="H686" s="7" t="e">
        <f t="shared" si="224"/>
        <v>#REF!</v>
      </c>
      <c r="I686" s="7" t="e">
        <f t="shared" si="224"/>
        <v>#REF!</v>
      </c>
      <c r="J686" s="7" t="e">
        <f t="shared" si="224"/>
        <v>#REF!</v>
      </c>
      <c r="K686" s="7" t="e">
        <f t="shared" si="224"/>
        <v>#REF!</v>
      </c>
      <c r="L686" s="7">
        <f t="shared" si="224"/>
        <v>2614.5200000000004</v>
      </c>
    </row>
    <row r="687" spans="1:12" ht="47.25">
      <c r="A687" s="93" t="s">
        <v>758</v>
      </c>
      <c r="B687" s="21" t="s">
        <v>1049</v>
      </c>
      <c r="C687" s="42" t="s">
        <v>275</v>
      </c>
      <c r="D687" s="42" t="s">
        <v>256</v>
      </c>
      <c r="E687" s="2"/>
      <c r="F687" s="2"/>
      <c r="G687" s="7" t="e">
        <f>G688</f>
        <v>#REF!</v>
      </c>
      <c r="H687" s="7" t="e">
        <f t="shared" si="224"/>
        <v>#REF!</v>
      </c>
      <c r="I687" s="7" t="e">
        <f t="shared" si="224"/>
        <v>#REF!</v>
      </c>
      <c r="J687" s="7" t="e">
        <f t="shared" si="224"/>
        <v>#REF!</v>
      </c>
      <c r="K687" s="7" t="e">
        <f t="shared" si="224"/>
        <v>#REF!</v>
      </c>
      <c r="L687" s="7">
        <f t="shared" si="224"/>
        <v>2614.5200000000004</v>
      </c>
    </row>
    <row r="688" spans="1:12" ht="31.5">
      <c r="A688" s="26" t="s">
        <v>172</v>
      </c>
      <c r="B688" s="21" t="s">
        <v>1049</v>
      </c>
      <c r="C688" s="42" t="s">
        <v>275</v>
      </c>
      <c r="D688" s="42" t="s">
        <v>256</v>
      </c>
      <c r="E688" s="2">
        <v>200</v>
      </c>
      <c r="F688" s="2"/>
      <c r="G688" s="7" t="e">
        <f>G689</f>
        <v>#REF!</v>
      </c>
      <c r="H688" s="7" t="e">
        <f t="shared" si="224"/>
        <v>#REF!</v>
      </c>
      <c r="I688" s="7" t="e">
        <f t="shared" si="224"/>
        <v>#REF!</v>
      </c>
      <c r="J688" s="7" t="e">
        <f t="shared" si="224"/>
        <v>#REF!</v>
      </c>
      <c r="K688" s="7" t="e">
        <f t="shared" si="224"/>
        <v>#REF!</v>
      </c>
      <c r="L688" s="7">
        <f t="shared" si="224"/>
        <v>2614.5200000000004</v>
      </c>
    </row>
    <row r="689" spans="1:12" ht="31.5">
      <c r="A689" s="26" t="s">
        <v>174</v>
      </c>
      <c r="B689" s="21" t="s">
        <v>1049</v>
      </c>
      <c r="C689" s="42" t="s">
        <v>275</v>
      </c>
      <c r="D689" s="42" t="s">
        <v>256</v>
      </c>
      <c r="E689" s="2">
        <v>240</v>
      </c>
      <c r="F689" s="2"/>
      <c r="G689" s="7" t="e">
        <f>#REF!</f>
        <v>#REF!</v>
      </c>
      <c r="H689" s="7" t="e">
        <f>#REF!</f>
        <v>#REF!</v>
      </c>
      <c r="I689" s="7" t="e">
        <f>#REF!</f>
        <v>#REF!</v>
      </c>
      <c r="J689" s="7" t="e">
        <f>#REF!</f>
        <v>#REF!</v>
      </c>
      <c r="K689" s="7" t="e">
        <f>#REF!</f>
        <v>#REF!</v>
      </c>
      <c r="L689" s="7">
        <f>'Прил.№5 ведомств.'!G1201</f>
        <v>2614.5200000000004</v>
      </c>
    </row>
    <row r="690" spans="1:12" ht="31.5">
      <c r="A690" s="47" t="s">
        <v>683</v>
      </c>
      <c r="B690" s="21" t="s">
        <v>786</v>
      </c>
      <c r="C690" s="42" t="s">
        <v>275</v>
      </c>
      <c r="D690" s="42" t="s">
        <v>256</v>
      </c>
      <c r="E690" s="2"/>
      <c r="F690" s="2">
        <v>908</v>
      </c>
      <c r="G690" s="7" t="e">
        <f aca="true" t="shared" si="225" ref="G690:L690">G684</f>
        <v>#REF!</v>
      </c>
      <c r="H690" s="7" t="e">
        <f t="shared" si="225"/>
        <v>#REF!</v>
      </c>
      <c r="I690" s="7" t="e">
        <f t="shared" si="225"/>
        <v>#REF!</v>
      </c>
      <c r="J690" s="7" t="e">
        <f t="shared" si="225"/>
        <v>#REF!</v>
      </c>
      <c r="K690" s="7" t="e">
        <f t="shared" si="225"/>
        <v>#REF!</v>
      </c>
      <c r="L690" s="7">
        <f t="shared" si="225"/>
        <v>2614.5200000000004</v>
      </c>
    </row>
    <row r="691" spans="1:13" s="245" customFormat="1" ht="63">
      <c r="A691" s="63" t="s">
        <v>924</v>
      </c>
      <c r="B691" s="25" t="s">
        <v>928</v>
      </c>
      <c r="C691" s="8"/>
      <c r="D691" s="8"/>
      <c r="E691" s="3"/>
      <c r="F691" s="3"/>
      <c r="G691" s="4"/>
      <c r="H691" s="4"/>
      <c r="I691" s="4"/>
      <c r="J691" s="4"/>
      <c r="K691" s="4"/>
      <c r="L691" s="4">
        <f>L692</f>
        <v>4932.3</v>
      </c>
      <c r="M691" s="289"/>
    </row>
    <row r="692" spans="1:12" ht="15.75">
      <c r="A692" s="47" t="s">
        <v>158</v>
      </c>
      <c r="B692" s="21" t="s">
        <v>928</v>
      </c>
      <c r="C692" s="42" t="s">
        <v>159</v>
      </c>
      <c r="D692" s="42"/>
      <c r="E692" s="2"/>
      <c r="F692" s="2"/>
      <c r="G692" s="7"/>
      <c r="H692" s="7"/>
      <c r="I692" s="7"/>
      <c r="J692" s="7"/>
      <c r="K692" s="7"/>
      <c r="L692" s="7">
        <f>L693</f>
        <v>4932.3</v>
      </c>
    </row>
    <row r="693" spans="1:12" ht="15.75">
      <c r="A693" s="47" t="s">
        <v>180</v>
      </c>
      <c r="B693" s="21" t="s">
        <v>928</v>
      </c>
      <c r="C693" s="42" t="s">
        <v>159</v>
      </c>
      <c r="D693" s="42" t="s">
        <v>181</v>
      </c>
      <c r="E693" s="2"/>
      <c r="F693" s="2"/>
      <c r="G693" s="7"/>
      <c r="H693" s="7"/>
      <c r="I693" s="7"/>
      <c r="J693" s="7"/>
      <c r="K693" s="7"/>
      <c r="L693" s="7">
        <f>L694</f>
        <v>4932.3</v>
      </c>
    </row>
    <row r="694" spans="1:12" ht="31.5">
      <c r="A694" s="47" t="s">
        <v>954</v>
      </c>
      <c r="B694" s="21" t="s">
        <v>1094</v>
      </c>
      <c r="C694" s="42" t="s">
        <v>159</v>
      </c>
      <c r="D694" s="42" t="s">
        <v>181</v>
      </c>
      <c r="E694" s="2"/>
      <c r="F694" s="2"/>
      <c r="G694" s="7"/>
      <c r="H694" s="7"/>
      <c r="I694" s="7"/>
      <c r="J694" s="7"/>
      <c r="K694" s="7"/>
      <c r="L694" s="7">
        <f>L695</f>
        <v>4932.3</v>
      </c>
    </row>
    <row r="695" spans="1:12" ht="31.5">
      <c r="A695" s="47" t="s">
        <v>172</v>
      </c>
      <c r="B695" s="21" t="s">
        <v>1094</v>
      </c>
      <c r="C695" s="42" t="s">
        <v>159</v>
      </c>
      <c r="D695" s="42" t="s">
        <v>181</v>
      </c>
      <c r="E695" s="2">
        <v>200</v>
      </c>
      <c r="F695" s="2"/>
      <c r="G695" s="7"/>
      <c r="H695" s="7"/>
      <c r="I695" s="7"/>
      <c r="J695" s="7"/>
      <c r="K695" s="7"/>
      <c r="L695" s="7">
        <f>L696</f>
        <v>4932.3</v>
      </c>
    </row>
    <row r="696" spans="1:12" ht="31.5">
      <c r="A696" s="47" t="s">
        <v>174</v>
      </c>
      <c r="B696" s="21" t="s">
        <v>1094</v>
      </c>
      <c r="C696" s="42" t="s">
        <v>159</v>
      </c>
      <c r="D696" s="42" t="s">
        <v>181</v>
      </c>
      <c r="E696" s="2">
        <v>240</v>
      </c>
      <c r="F696" s="2"/>
      <c r="G696" s="7"/>
      <c r="H696" s="7"/>
      <c r="I696" s="7"/>
      <c r="J696" s="7"/>
      <c r="K696" s="7"/>
      <c r="L696" s="7">
        <f>'Прил.№5 ведомств.'!G633</f>
        <v>4932.3</v>
      </c>
    </row>
    <row r="697" spans="1:12" ht="31.5">
      <c r="A697" s="47" t="s">
        <v>429</v>
      </c>
      <c r="B697" s="21" t="s">
        <v>928</v>
      </c>
      <c r="C697" s="42" t="s">
        <v>159</v>
      </c>
      <c r="D697" s="42" t="s">
        <v>181</v>
      </c>
      <c r="E697" s="2"/>
      <c r="F697" s="2">
        <v>905</v>
      </c>
      <c r="G697" s="7"/>
      <c r="H697" s="7"/>
      <c r="I697" s="7"/>
      <c r="J697" s="7"/>
      <c r="K697" s="7"/>
      <c r="L697" s="7">
        <f>L691</f>
        <v>4932.3</v>
      </c>
    </row>
    <row r="698" spans="1:12" ht="78.75">
      <c r="A698" s="43" t="s">
        <v>1046</v>
      </c>
      <c r="B698" s="25" t="s">
        <v>1043</v>
      </c>
      <c r="C698" s="8"/>
      <c r="D698" s="8"/>
      <c r="E698" s="3"/>
      <c r="F698" s="3"/>
      <c r="G698" s="4"/>
      <c r="H698" s="4"/>
      <c r="I698" s="4"/>
      <c r="J698" s="4"/>
      <c r="K698" s="4"/>
      <c r="L698" s="4">
        <f>L699</f>
        <v>20</v>
      </c>
    </row>
    <row r="699" spans="1:12" ht="15.75">
      <c r="A699" s="47" t="s">
        <v>158</v>
      </c>
      <c r="B699" s="21" t="s">
        <v>1043</v>
      </c>
      <c r="C699" s="42" t="s">
        <v>159</v>
      </c>
      <c r="D699" s="42"/>
      <c r="E699" s="2"/>
      <c r="F699" s="2"/>
      <c r="G699" s="7"/>
      <c r="H699" s="7"/>
      <c r="I699" s="7"/>
      <c r="J699" s="7"/>
      <c r="K699" s="7"/>
      <c r="L699" s="7">
        <f>L700</f>
        <v>20</v>
      </c>
    </row>
    <row r="700" spans="1:12" ht="15.75">
      <c r="A700" s="47" t="s">
        <v>180</v>
      </c>
      <c r="B700" s="21" t="s">
        <v>1043</v>
      </c>
      <c r="C700" s="42" t="s">
        <v>159</v>
      </c>
      <c r="D700" s="42" t="s">
        <v>181</v>
      </c>
      <c r="E700" s="2"/>
      <c r="F700" s="2"/>
      <c r="G700" s="7"/>
      <c r="H700" s="7"/>
      <c r="I700" s="7"/>
      <c r="J700" s="7"/>
      <c r="K700" s="7"/>
      <c r="L700" s="7">
        <f>L701</f>
        <v>20</v>
      </c>
    </row>
    <row r="701" spans="1:12" ht="31.5">
      <c r="A701" s="119" t="s">
        <v>212</v>
      </c>
      <c r="B701" s="21" t="s">
        <v>1047</v>
      </c>
      <c r="C701" s="42" t="s">
        <v>159</v>
      </c>
      <c r="D701" s="42" t="s">
        <v>181</v>
      </c>
      <c r="E701" s="2"/>
      <c r="F701" s="2"/>
      <c r="G701" s="7"/>
      <c r="H701" s="7"/>
      <c r="I701" s="7"/>
      <c r="J701" s="7"/>
      <c r="K701" s="7"/>
      <c r="L701" s="7">
        <f>L702</f>
        <v>20</v>
      </c>
    </row>
    <row r="702" spans="1:12" ht="31.5">
      <c r="A702" s="47" t="s">
        <v>172</v>
      </c>
      <c r="B702" s="21" t="s">
        <v>1047</v>
      </c>
      <c r="C702" s="42" t="s">
        <v>159</v>
      </c>
      <c r="D702" s="42" t="s">
        <v>181</v>
      </c>
      <c r="E702" s="2">
        <v>200</v>
      </c>
      <c r="F702" s="2"/>
      <c r="G702" s="7"/>
      <c r="H702" s="7"/>
      <c r="I702" s="7"/>
      <c r="J702" s="7"/>
      <c r="K702" s="7"/>
      <c r="L702" s="7">
        <f>L703</f>
        <v>20</v>
      </c>
    </row>
    <row r="703" spans="1:12" ht="31.5">
      <c r="A703" s="47" t="s">
        <v>174</v>
      </c>
      <c r="B703" s="21" t="s">
        <v>1047</v>
      </c>
      <c r="C703" s="42" t="s">
        <v>159</v>
      </c>
      <c r="D703" s="42" t="s">
        <v>181</v>
      </c>
      <c r="E703" s="2">
        <v>240</v>
      </c>
      <c r="F703" s="2"/>
      <c r="G703" s="7"/>
      <c r="H703" s="7"/>
      <c r="I703" s="7"/>
      <c r="J703" s="7"/>
      <c r="K703" s="7"/>
      <c r="L703" s="7">
        <f>'Прил.№5 ведомств.'!G104</f>
        <v>20</v>
      </c>
    </row>
    <row r="704" spans="1:12" ht="15.75">
      <c r="A704" s="31" t="s">
        <v>189</v>
      </c>
      <c r="B704" s="21" t="s">
        <v>1043</v>
      </c>
      <c r="C704" s="42" t="s">
        <v>159</v>
      </c>
      <c r="D704" s="42" t="s">
        <v>181</v>
      </c>
      <c r="E704" s="2"/>
      <c r="F704" s="2">
        <v>902</v>
      </c>
      <c r="G704" s="7"/>
      <c r="H704" s="7"/>
      <c r="I704" s="7"/>
      <c r="J704" s="7"/>
      <c r="K704" s="7"/>
      <c r="L704" s="7">
        <f>L698</f>
        <v>20</v>
      </c>
    </row>
    <row r="705" spans="1:12" ht="63">
      <c r="A705" s="43" t="s">
        <v>1045</v>
      </c>
      <c r="B705" s="25" t="s">
        <v>1044</v>
      </c>
      <c r="C705" s="8"/>
      <c r="D705" s="8"/>
      <c r="E705" s="3"/>
      <c r="F705" s="3"/>
      <c r="G705" s="4"/>
      <c r="H705" s="4"/>
      <c r="I705" s="4"/>
      <c r="J705" s="4"/>
      <c r="K705" s="4"/>
      <c r="L705" s="4">
        <f>L706</f>
        <v>60</v>
      </c>
    </row>
    <row r="706" spans="1:12" ht="15.75">
      <c r="A706" s="47" t="s">
        <v>158</v>
      </c>
      <c r="B706" s="21" t="s">
        <v>1044</v>
      </c>
      <c r="C706" s="42" t="s">
        <v>159</v>
      </c>
      <c r="D706" s="42"/>
      <c r="E706" s="2"/>
      <c r="F706" s="2"/>
      <c r="G706" s="7"/>
      <c r="H706" s="7"/>
      <c r="I706" s="7"/>
      <c r="J706" s="7"/>
      <c r="K706" s="7"/>
      <c r="L706" s="7">
        <f>L707</f>
        <v>60</v>
      </c>
    </row>
    <row r="707" spans="1:12" ht="15.75">
      <c r="A707" s="47" t="s">
        <v>180</v>
      </c>
      <c r="B707" s="21" t="s">
        <v>1044</v>
      </c>
      <c r="C707" s="42" t="s">
        <v>159</v>
      </c>
      <c r="D707" s="42" t="s">
        <v>181</v>
      </c>
      <c r="E707" s="2"/>
      <c r="F707" s="2"/>
      <c r="G707" s="7"/>
      <c r="H707" s="7"/>
      <c r="I707" s="7"/>
      <c r="J707" s="7"/>
      <c r="K707" s="7"/>
      <c r="L707" s="7">
        <f>L708</f>
        <v>60</v>
      </c>
    </row>
    <row r="708" spans="1:12" ht="15.75">
      <c r="A708" s="47" t="s">
        <v>216</v>
      </c>
      <c r="B708" s="21" t="s">
        <v>1048</v>
      </c>
      <c r="C708" s="42" t="s">
        <v>159</v>
      </c>
      <c r="D708" s="42" t="s">
        <v>181</v>
      </c>
      <c r="E708" s="2"/>
      <c r="F708" s="2"/>
      <c r="G708" s="7"/>
      <c r="H708" s="7"/>
      <c r="I708" s="7"/>
      <c r="J708" s="7"/>
      <c r="K708" s="7"/>
      <c r="L708" s="7">
        <f>L709</f>
        <v>60</v>
      </c>
    </row>
    <row r="709" spans="1:12" ht="31.5">
      <c r="A709" s="47" t="s">
        <v>172</v>
      </c>
      <c r="B709" s="21" t="s">
        <v>1048</v>
      </c>
      <c r="C709" s="42" t="s">
        <v>159</v>
      </c>
      <c r="D709" s="42" t="s">
        <v>181</v>
      </c>
      <c r="E709" s="2">
        <v>200</v>
      </c>
      <c r="F709" s="2"/>
      <c r="G709" s="7"/>
      <c r="H709" s="7"/>
      <c r="I709" s="7"/>
      <c r="J709" s="7"/>
      <c r="K709" s="7"/>
      <c r="L709" s="7">
        <f>L710</f>
        <v>60</v>
      </c>
    </row>
    <row r="710" spans="1:12" ht="31.5">
      <c r="A710" s="47" t="s">
        <v>174</v>
      </c>
      <c r="B710" s="21" t="s">
        <v>1048</v>
      </c>
      <c r="C710" s="42" t="s">
        <v>159</v>
      </c>
      <c r="D710" s="42" t="s">
        <v>181</v>
      </c>
      <c r="E710" s="2">
        <v>240</v>
      </c>
      <c r="F710" s="2"/>
      <c r="G710" s="7"/>
      <c r="H710" s="7"/>
      <c r="I710" s="7"/>
      <c r="J710" s="7"/>
      <c r="K710" s="7"/>
      <c r="L710" s="7">
        <f>'Прил.№5 ведомств.'!G169</f>
        <v>60</v>
      </c>
    </row>
    <row r="711" spans="1:12" ht="15.75">
      <c r="A711" s="31" t="s">
        <v>189</v>
      </c>
      <c r="B711" s="21" t="s">
        <v>1044</v>
      </c>
      <c r="C711" s="42" t="s">
        <v>159</v>
      </c>
      <c r="D711" s="42" t="s">
        <v>181</v>
      </c>
      <c r="E711" s="2"/>
      <c r="F711" s="2">
        <v>902</v>
      </c>
      <c r="G711" s="7"/>
      <c r="H711" s="7"/>
      <c r="I711" s="7"/>
      <c r="J711" s="7"/>
      <c r="K711" s="7"/>
      <c r="L711" s="7">
        <f>L705</f>
        <v>60</v>
      </c>
    </row>
    <row r="712" spans="1:14" ht="15.75">
      <c r="A712" s="82" t="s">
        <v>717</v>
      </c>
      <c r="B712" s="82"/>
      <c r="C712" s="82"/>
      <c r="D712" s="82"/>
      <c r="E712" s="82"/>
      <c r="F712" s="82"/>
      <c r="G712" s="143" t="e">
        <f>G10+G19+G108+G243+G256+G275+#REF!+G282+G354+G492+G509+G549+G565+G600+G643+G684</f>
        <v>#REF!</v>
      </c>
      <c r="H712" s="143" t="e">
        <f>H10+H19+H108+H243+H256+H275+#REF!+H282+H354+H492+H509+H549+H565+H600+H643+H684</f>
        <v>#REF!</v>
      </c>
      <c r="I712" s="143" t="e">
        <f>I10+I19+I108+I243+I256+I275+#REF!+I282+I354+I492+I509+I549+I565+I600+I643+I684</f>
        <v>#REF!</v>
      </c>
      <c r="J712" s="143" t="e">
        <f>J10+J19+J108+J243+J256+J275+#REF!+J282+J354+J492+J509+J549+J565+J600+J643+J684</f>
        <v>#REF!</v>
      </c>
      <c r="K712" s="143" t="e">
        <f>K10+K19+K108+K243+K256+K275+#REF!+K282+K354+K492+K509+K549+K565+K600+K643+K684</f>
        <v>#REF!</v>
      </c>
      <c r="L712" s="143">
        <f>L705+L698+L691+L684+L643+L600+L549+L509+L492+L354+L282+L275+L256+L243+L108+L19+L10+L565</f>
        <v>240462.99000000002</v>
      </c>
      <c r="M712" s="287"/>
      <c r="N712" s="23"/>
    </row>
  </sheetData>
  <mergeCells count="4">
    <mergeCell ref="A5:L5"/>
    <mergeCell ref="F3:L3"/>
    <mergeCell ref="F2:L2"/>
    <mergeCell ref="F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28" customWidth="1"/>
  </cols>
  <sheetData>
    <row r="1" spans="4:6" ht="15.75">
      <c r="D1" s="1"/>
      <c r="F1" s="59" t="s">
        <v>676</v>
      </c>
    </row>
    <row r="2" spans="4:6" ht="15.75">
      <c r="D2" s="1"/>
      <c r="F2" s="59" t="s">
        <v>633</v>
      </c>
    </row>
    <row r="3" spans="4:6" ht="15.75">
      <c r="D3" s="1"/>
      <c r="F3" s="59" t="s">
        <v>813</v>
      </c>
    </row>
    <row r="4" spans="4:7" ht="15.75">
      <c r="D4" s="1"/>
      <c r="E4" s="1"/>
      <c r="F4" s="71"/>
      <c r="G4" s="72"/>
    </row>
    <row r="5" spans="1:7" ht="38.25" customHeight="1">
      <c r="A5" s="420" t="s">
        <v>789</v>
      </c>
      <c r="B5" s="420"/>
      <c r="C5" s="420"/>
      <c r="D5" s="420"/>
      <c r="E5" s="420"/>
      <c r="F5" s="420"/>
      <c r="G5" s="420"/>
    </row>
    <row r="6" spans="1:7" ht="16.5">
      <c r="A6" s="200"/>
      <c r="B6" s="200"/>
      <c r="C6" s="200"/>
      <c r="D6" s="200"/>
      <c r="E6" s="200"/>
      <c r="F6" s="200"/>
      <c r="G6" s="200"/>
    </row>
    <row r="7" spans="1:7" ht="15.75">
      <c r="A7" s="71"/>
      <c r="B7" s="71"/>
      <c r="C7" s="71"/>
      <c r="D7" s="71"/>
      <c r="E7" s="74"/>
      <c r="F7" s="74"/>
      <c r="G7" s="75" t="s">
        <v>3</v>
      </c>
    </row>
    <row r="8" spans="1:7" ht="31.5">
      <c r="A8" s="76" t="s">
        <v>634</v>
      </c>
      <c r="B8" s="76" t="s">
        <v>677</v>
      </c>
      <c r="C8" s="76" t="s">
        <v>678</v>
      </c>
      <c r="D8" s="76" t="s">
        <v>679</v>
      </c>
      <c r="E8" s="76" t="s">
        <v>680</v>
      </c>
      <c r="F8" s="76" t="s">
        <v>681</v>
      </c>
      <c r="G8" s="6" t="s">
        <v>6</v>
      </c>
    </row>
    <row r="9" spans="1:7" ht="15.75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6">
        <v>7</v>
      </c>
    </row>
    <row r="10" spans="1:7" ht="78.75">
      <c r="A10" s="63" t="s">
        <v>682</v>
      </c>
      <c r="B10" s="8" t="s">
        <v>552</v>
      </c>
      <c r="C10" s="8"/>
      <c r="D10" s="8"/>
      <c r="E10" s="8"/>
      <c r="F10" s="8"/>
      <c r="G10" s="4" t="e">
        <f>G13</f>
        <v>#REF!</v>
      </c>
    </row>
    <row r="11" spans="1:7" ht="15.75">
      <c r="A11" s="31" t="s">
        <v>273</v>
      </c>
      <c r="B11" s="42" t="s">
        <v>552</v>
      </c>
      <c r="C11" s="42" t="s">
        <v>191</v>
      </c>
      <c r="D11" s="42"/>
      <c r="E11" s="42"/>
      <c r="F11" s="42"/>
      <c r="G11" s="7" t="e">
        <f>G12</f>
        <v>#REF!</v>
      </c>
    </row>
    <row r="12" spans="1:7" ht="31.5">
      <c r="A12" s="31" t="s">
        <v>550</v>
      </c>
      <c r="B12" s="42" t="s">
        <v>552</v>
      </c>
      <c r="C12" s="42" t="s">
        <v>191</v>
      </c>
      <c r="D12" s="42" t="s">
        <v>260</v>
      </c>
      <c r="E12" s="42"/>
      <c r="F12" s="42"/>
      <c r="G12" s="7" t="e">
        <f>G13</f>
        <v>#REF!</v>
      </c>
    </row>
    <row r="13" spans="1:7" ht="15.75">
      <c r="A13" s="31" t="s">
        <v>553</v>
      </c>
      <c r="B13" s="42" t="s">
        <v>554</v>
      </c>
      <c r="C13" s="42" t="s">
        <v>191</v>
      </c>
      <c r="D13" s="42" t="s">
        <v>260</v>
      </c>
      <c r="E13" s="42"/>
      <c r="F13" s="42"/>
      <c r="G13" s="7" t="e">
        <f>G14+G16</f>
        <v>#REF!</v>
      </c>
    </row>
    <row r="14" spans="1:7" ht="47.25">
      <c r="A14" s="31" t="s">
        <v>172</v>
      </c>
      <c r="B14" s="42" t="s">
        <v>554</v>
      </c>
      <c r="C14" s="42" t="s">
        <v>191</v>
      </c>
      <c r="D14" s="42" t="s">
        <v>260</v>
      </c>
      <c r="E14" s="42" t="s">
        <v>173</v>
      </c>
      <c r="F14" s="42"/>
      <c r="G14" s="7" t="e">
        <f>G15</f>
        <v>#REF!</v>
      </c>
    </row>
    <row r="15" spans="1:8" ht="47.25">
      <c r="A15" s="31" t="s">
        <v>174</v>
      </c>
      <c r="B15" s="42" t="s">
        <v>554</v>
      </c>
      <c r="C15" s="42" t="s">
        <v>191</v>
      </c>
      <c r="D15" s="42" t="s">
        <v>260</v>
      </c>
      <c r="E15" s="42" t="s">
        <v>175</v>
      </c>
      <c r="F15" s="42"/>
      <c r="G15" s="7" t="e">
        <f>#REF!</f>
        <v>#REF!</v>
      </c>
      <c r="H15" s="134"/>
    </row>
    <row r="16" spans="1:7" ht="15.75">
      <c r="A16" s="26" t="s">
        <v>176</v>
      </c>
      <c r="B16" s="42" t="s">
        <v>554</v>
      </c>
      <c r="C16" s="42" t="s">
        <v>191</v>
      </c>
      <c r="D16" s="42" t="s">
        <v>260</v>
      </c>
      <c r="E16" s="42" t="s">
        <v>186</v>
      </c>
      <c r="F16" s="42"/>
      <c r="G16" s="7" t="e">
        <f>G17</f>
        <v>#REF!</v>
      </c>
    </row>
    <row r="17" spans="1:8" ht="31.5">
      <c r="A17" s="26" t="s">
        <v>178</v>
      </c>
      <c r="B17" s="42" t="s">
        <v>554</v>
      </c>
      <c r="C17" s="42" t="s">
        <v>191</v>
      </c>
      <c r="D17" s="42" t="s">
        <v>260</v>
      </c>
      <c r="E17" s="42" t="s">
        <v>179</v>
      </c>
      <c r="F17" s="42"/>
      <c r="G17" s="7" t="e">
        <f>#REF!</f>
        <v>#REF!</v>
      </c>
      <c r="H17" s="134"/>
    </row>
    <row r="18" spans="1:7" ht="47.25">
      <c r="A18" s="47" t="s">
        <v>683</v>
      </c>
      <c r="B18" s="42" t="s">
        <v>552</v>
      </c>
      <c r="C18" s="42" t="s">
        <v>191</v>
      </c>
      <c r="D18" s="42" t="s">
        <v>260</v>
      </c>
      <c r="E18" s="42"/>
      <c r="F18" s="42" t="s">
        <v>684</v>
      </c>
      <c r="G18" s="7" t="e">
        <f>G13</f>
        <v>#REF!</v>
      </c>
    </row>
    <row r="19" spans="1:7" ht="78.75">
      <c r="A19" s="63" t="s">
        <v>384</v>
      </c>
      <c r="B19" s="8" t="s">
        <v>385</v>
      </c>
      <c r="C19" s="8"/>
      <c r="D19" s="8"/>
      <c r="E19" s="8"/>
      <c r="F19" s="8"/>
      <c r="G19" s="66" t="e">
        <f>G20+G32+G39+G46+G55+G62+G69+G95</f>
        <v>#REF!</v>
      </c>
    </row>
    <row r="20" spans="1:7" ht="47.25">
      <c r="A20" s="63" t="s">
        <v>685</v>
      </c>
      <c r="B20" s="8" t="s">
        <v>387</v>
      </c>
      <c r="C20" s="8"/>
      <c r="D20" s="8"/>
      <c r="E20" s="8"/>
      <c r="F20" s="8"/>
      <c r="G20" s="66" t="e">
        <f>G21</f>
        <v>#REF!</v>
      </c>
    </row>
    <row r="21" spans="1:7" ht="15.75">
      <c r="A21" s="47" t="s">
        <v>284</v>
      </c>
      <c r="B21" s="42" t="s">
        <v>387</v>
      </c>
      <c r="C21" s="42" t="s">
        <v>285</v>
      </c>
      <c r="D21" s="42"/>
      <c r="E21" s="42"/>
      <c r="F21" s="42"/>
      <c r="G21" s="11" t="e">
        <f>G22</f>
        <v>#REF!</v>
      </c>
    </row>
    <row r="22" spans="1:7" ht="15.75">
      <c r="A22" s="47" t="s">
        <v>293</v>
      </c>
      <c r="B22" s="42" t="s">
        <v>387</v>
      </c>
      <c r="C22" s="42" t="s">
        <v>285</v>
      </c>
      <c r="D22" s="42" t="s">
        <v>256</v>
      </c>
      <c r="E22" s="42"/>
      <c r="F22" s="42"/>
      <c r="G22" s="11" t="e">
        <f>G23+G28</f>
        <v>#REF!</v>
      </c>
    </row>
    <row r="23" spans="1:7" ht="47.25">
      <c r="A23" s="31" t="s">
        <v>198</v>
      </c>
      <c r="B23" s="42" t="s">
        <v>686</v>
      </c>
      <c r="C23" s="42" t="s">
        <v>285</v>
      </c>
      <c r="D23" s="42" t="s">
        <v>256</v>
      </c>
      <c r="E23" s="42"/>
      <c r="F23" s="42"/>
      <c r="G23" s="11" t="e">
        <f>G26</f>
        <v>#REF!</v>
      </c>
    </row>
    <row r="24" spans="1:7" ht="110.25" hidden="1">
      <c r="A24" s="26" t="s">
        <v>168</v>
      </c>
      <c r="B24" s="42" t="s">
        <v>686</v>
      </c>
      <c r="C24" s="42" t="s">
        <v>285</v>
      </c>
      <c r="D24" s="42" t="s">
        <v>256</v>
      </c>
      <c r="E24" s="42" t="s">
        <v>169</v>
      </c>
      <c r="F24" s="42"/>
      <c r="G24" s="11">
        <f>G25</f>
        <v>0</v>
      </c>
    </row>
    <row r="25" spans="1:7" ht="47.25" hidden="1">
      <c r="A25" s="26" t="s">
        <v>170</v>
      </c>
      <c r="B25" s="42" t="s">
        <v>686</v>
      </c>
      <c r="C25" s="42" t="s">
        <v>285</v>
      </c>
      <c r="D25" s="42" t="s">
        <v>256</v>
      </c>
      <c r="E25" s="42" t="s">
        <v>171</v>
      </c>
      <c r="F25" s="42"/>
      <c r="G25" s="11"/>
    </row>
    <row r="26" spans="1:7" ht="47.25">
      <c r="A26" s="31" t="s">
        <v>172</v>
      </c>
      <c r="B26" s="42" t="s">
        <v>686</v>
      </c>
      <c r="C26" s="42" t="s">
        <v>285</v>
      </c>
      <c r="D26" s="42" t="s">
        <v>256</v>
      </c>
      <c r="E26" s="42" t="s">
        <v>173</v>
      </c>
      <c r="F26" s="42"/>
      <c r="G26" s="11" t="e">
        <f>G27</f>
        <v>#REF!</v>
      </c>
    </row>
    <row r="27" spans="1:7" ht="47.25">
      <c r="A27" s="31" t="s">
        <v>174</v>
      </c>
      <c r="B27" s="42" t="s">
        <v>686</v>
      </c>
      <c r="C27" s="42" t="s">
        <v>285</v>
      </c>
      <c r="D27" s="42" t="s">
        <v>256</v>
      </c>
      <c r="E27" s="42" t="s">
        <v>175</v>
      </c>
      <c r="F27" s="42"/>
      <c r="G27" s="7" t="e">
        <f>#REF!</f>
        <v>#REF!</v>
      </c>
    </row>
    <row r="28" spans="1:7" ht="47.25">
      <c r="A28" s="26" t="s">
        <v>391</v>
      </c>
      <c r="B28" s="21" t="s">
        <v>392</v>
      </c>
      <c r="C28" s="42" t="s">
        <v>285</v>
      </c>
      <c r="D28" s="42" t="s">
        <v>256</v>
      </c>
      <c r="E28" s="42"/>
      <c r="F28" s="42"/>
      <c r="G28" s="11" t="e">
        <f>G29</f>
        <v>#REF!</v>
      </c>
    </row>
    <row r="29" spans="1:7" ht="63">
      <c r="A29" s="26" t="s">
        <v>313</v>
      </c>
      <c r="B29" s="21" t="s">
        <v>392</v>
      </c>
      <c r="C29" s="42" t="s">
        <v>285</v>
      </c>
      <c r="D29" s="42" t="s">
        <v>256</v>
      </c>
      <c r="E29" s="42" t="s">
        <v>314</v>
      </c>
      <c r="F29" s="42"/>
      <c r="G29" s="11" t="e">
        <f>G30</f>
        <v>#REF!</v>
      </c>
    </row>
    <row r="30" spans="1:8" ht="15.75">
      <c r="A30" s="26" t="s">
        <v>315</v>
      </c>
      <c r="B30" s="21" t="s">
        <v>392</v>
      </c>
      <c r="C30" s="42" t="s">
        <v>285</v>
      </c>
      <c r="D30" s="42" t="s">
        <v>256</v>
      </c>
      <c r="E30" s="42" t="s">
        <v>316</v>
      </c>
      <c r="F30" s="42"/>
      <c r="G30" s="11" t="e">
        <f>#REF!</f>
        <v>#REF!</v>
      </c>
      <c r="H30" s="134"/>
    </row>
    <row r="31" spans="1:7" ht="63">
      <c r="A31" s="47" t="s">
        <v>302</v>
      </c>
      <c r="B31" s="21" t="s">
        <v>387</v>
      </c>
      <c r="C31" s="42" t="s">
        <v>285</v>
      </c>
      <c r="D31" s="42" t="s">
        <v>256</v>
      </c>
      <c r="E31" s="42"/>
      <c r="F31" s="42" t="s">
        <v>687</v>
      </c>
      <c r="G31" s="7" t="e">
        <f>G20</f>
        <v>#REF!</v>
      </c>
    </row>
    <row r="32" spans="1:7" ht="47.25">
      <c r="A32" s="63" t="s">
        <v>688</v>
      </c>
      <c r="B32" s="8" t="s">
        <v>394</v>
      </c>
      <c r="C32" s="8"/>
      <c r="D32" s="8"/>
      <c r="E32" s="8"/>
      <c r="F32" s="8"/>
      <c r="G32" s="66" t="e">
        <f>G33</f>
        <v>#REF!</v>
      </c>
    </row>
    <row r="33" spans="1:7" ht="15.75">
      <c r="A33" s="47" t="s">
        <v>284</v>
      </c>
      <c r="B33" s="42" t="s">
        <v>394</v>
      </c>
      <c r="C33" s="42" t="s">
        <v>285</v>
      </c>
      <c r="D33" s="42"/>
      <c r="E33" s="42"/>
      <c r="F33" s="42"/>
      <c r="G33" s="11" t="e">
        <f>G34</f>
        <v>#REF!</v>
      </c>
    </row>
    <row r="34" spans="1:7" ht="15.75">
      <c r="A34" s="47" t="s">
        <v>293</v>
      </c>
      <c r="B34" s="42" t="s">
        <v>394</v>
      </c>
      <c r="C34" s="42" t="s">
        <v>285</v>
      </c>
      <c r="D34" s="42" t="s">
        <v>256</v>
      </c>
      <c r="E34" s="42"/>
      <c r="F34" s="42"/>
      <c r="G34" s="11" t="e">
        <f>G35</f>
        <v>#REF!</v>
      </c>
    </row>
    <row r="35" spans="1:7" ht="31.5">
      <c r="A35" s="26" t="s">
        <v>670</v>
      </c>
      <c r="B35" s="21" t="s">
        <v>671</v>
      </c>
      <c r="C35" s="42" t="s">
        <v>285</v>
      </c>
      <c r="D35" s="42" t="s">
        <v>256</v>
      </c>
      <c r="E35" s="42"/>
      <c r="F35" s="42"/>
      <c r="G35" s="11" t="e">
        <f>G36</f>
        <v>#REF!</v>
      </c>
    </row>
    <row r="36" spans="1:7" ht="31.5">
      <c r="A36" s="31" t="s">
        <v>289</v>
      </c>
      <c r="B36" s="21" t="s">
        <v>671</v>
      </c>
      <c r="C36" s="42" t="s">
        <v>285</v>
      </c>
      <c r="D36" s="42" t="s">
        <v>256</v>
      </c>
      <c r="E36" s="42" t="s">
        <v>290</v>
      </c>
      <c r="F36" s="42"/>
      <c r="G36" s="11" t="e">
        <f>G37</f>
        <v>#REF!</v>
      </c>
    </row>
    <row r="37" spans="1:7" ht="47.25">
      <c r="A37" s="31" t="s">
        <v>291</v>
      </c>
      <c r="B37" s="21" t="s">
        <v>671</v>
      </c>
      <c r="C37" s="42" t="s">
        <v>285</v>
      </c>
      <c r="D37" s="42" t="s">
        <v>256</v>
      </c>
      <c r="E37" s="42" t="s">
        <v>292</v>
      </c>
      <c r="F37" s="42"/>
      <c r="G37" s="11" t="e">
        <f>#REF!</f>
        <v>#REF!</v>
      </c>
    </row>
    <row r="38" spans="1:7" ht="63">
      <c r="A38" s="47" t="s">
        <v>302</v>
      </c>
      <c r="B38" s="21" t="s">
        <v>394</v>
      </c>
      <c r="C38" s="42" t="s">
        <v>285</v>
      </c>
      <c r="D38" s="42" t="s">
        <v>256</v>
      </c>
      <c r="E38" s="42"/>
      <c r="F38" s="42" t="s">
        <v>687</v>
      </c>
      <c r="G38" s="11" t="e">
        <f>G32</f>
        <v>#REF!</v>
      </c>
    </row>
    <row r="39" spans="1:7" ht="47.25">
      <c r="A39" s="63" t="s">
        <v>689</v>
      </c>
      <c r="B39" s="8" t="s">
        <v>397</v>
      </c>
      <c r="C39" s="8"/>
      <c r="D39" s="8"/>
      <c r="E39" s="8"/>
      <c r="F39" s="8"/>
      <c r="G39" s="66" t="e">
        <f>G40</f>
        <v>#REF!</v>
      </c>
    </row>
    <row r="40" spans="1:7" ht="15.75">
      <c r="A40" s="47" t="s">
        <v>284</v>
      </c>
      <c r="B40" s="42" t="s">
        <v>397</v>
      </c>
      <c r="C40" s="42" t="s">
        <v>285</v>
      </c>
      <c r="D40" s="42"/>
      <c r="E40" s="42"/>
      <c r="F40" s="42"/>
      <c r="G40" s="11" t="e">
        <f>G41</f>
        <v>#REF!</v>
      </c>
    </row>
    <row r="41" spans="1:7" ht="15.75">
      <c r="A41" s="47" t="s">
        <v>293</v>
      </c>
      <c r="B41" s="42" t="s">
        <v>397</v>
      </c>
      <c r="C41" s="42" t="s">
        <v>285</v>
      </c>
      <c r="D41" s="42" t="s">
        <v>256</v>
      </c>
      <c r="E41" s="42"/>
      <c r="F41" s="42"/>
      <c r="G41" s="11" t="e">
        <f>G42</f>
        <v>#REF!</v>
      </c>
    </row>
    <row r="42" spans="1:7" ht="47.25">
      <c r="A42" s="31" t="s">
        <v>198</v>
      </c>
      <c r="B42" s="42" t="s">
        <v>690</v>
      </c>
      <c r="C42" s="42" t="s">
        <v>285</v>
      </c>
      <c r="D42" s="42" t="s">
        <v>256</v>
      </c>
      <c r="E42" s="42"/>
      <c r="F42" s="42"/>
      <c r="G42" s="11" t="e">
        <f>G43</f>
        <v>#REF!</v>
      </c>
    </row>
    <row r="43" spans="1:7" ht="31.5">
      <c r="A43" s="31" t="s">
        <v>289</v>
      </c>
      <c r="B43" s="42" t="s">
        <v>690</v>
      </c>
      <c r="C43" s="42" t="s">
        <v>285</v>
      </c>
      <c r="D43" s="42" t="s">
        <v>256</v>
      </c>
      <c r="E43" s="42" t="s">
        <v>290</v>
      </c>
      <c r="F43" s="42"/>
      <c r="G43" s="11" t="e">
        <f>G44</f>
        <v>#REF!</v>
      </c>
    </row>
    <row r="44" spans="1:7" ht="31.5">
      <c r="A44" s="31" t="s">
        <v>389</v>
      </c>
      <c r="B44" s="42" t="s">
        <v>690</v>
      </c>
      <c r="C44" s="42" t="s">
        <v>285</v>
      </c>
      <c r="D44" s="42" t="s">
        <v>256</v>
      </c>
      <c r="E44" s="42" t="s">
        <v>390</v>
      </c>
      <c r="F44" s="42"/>
      <c r="G44" s="11" t="e">
        <f>#REF!</f>
        <v>#REF!</v>
      </c>
    </row>
    <row r="45" spans="1:7" ht="63">
      <c r="A45" s="47" t="s">
        <v>302</v>
      </c>
      <c r="B45" s="42" t="s">
        <v>397</v>
      </c>
      <c r="C45" s="42" t="s">
        <v>285</v>
      </c>
      <c r="D45" s="42" t="s">
        <v>256</v>
      </c>
      <c r="E45" s="42"/>
      <c r="F45" s="42" t="s">
        <v>687</v>
      </c>
      <c r="G45" s="11" t="e">
        <f>G39</f>
        <v>#REF!</v>
      </c>
    </row>
    <row r="46" spans="1:7" ht="31.5">
      <c r="A46" s="63" t="s">
        <v>691</v>
      </c>
      <c r="B46" s="8" t="s">
        <v>400</v>
      </c>
      <c r="C46" s="8"/>
      <c r="D46" s="8"/>
      <c r="E46" s="8"/>
      <c r="F46" s="8"/>
      <c r="G46" s="66" t="e">
        <f>G47</f>
        <v>#REF!</v>
      </c>
    </row>
    <row r="47" spans="1:7" ht="15.75">
      <c r="A47" s="47" t="s">
        <v>284</v>
      </c>
      <c r="B47" s="42" t="s">
        <v>400</v>
      </c>
      <c r="C47" s="42" t="s">
        <v>285</v>
      </c>
      <c r="D47" s="42"/>
      <c r="E47" s="42"/>
      <c r="F47" s="42"/>
      <c r="G47" s="11" t="e">
        <f>G48</f>
        <v>#REF!</v>
      </c>
    </row>
    <row r="48" spans="1:7" ht="15.75">
      <c r="A48" s="47" t="s">
        <v>293</v>
      </c>
      <c r="B48" s="42" t="s">
        <v>400</v>
      </c>
      <c r="C48" s="42" t="s">
        <v>285</v>
      </c>
      <c r="D48" s="42" t="s">
        <v>256</v>
      </c>
      <c r="E48" s="42"/>
      <c r="F48" s="42"/>
      <c r="G48" s="11" t="e">
        <f>G49</f>
        <v>#REF!</v>
      </c>
    </row>
    <row r="49" spans="1:7" ht="47.25">
      <c r="A49" s="31" t="s">
        <v>198</v>
      </c>
      <c r="B49" s="42" t="s">
        <v>692</v>
      </c>
      <c r="C49" s="42" t="s">
        <v>285</v>
      </c>
      <c r="D49" s="42" t="s">
        <v>256</v>
      </c>
      <c r="E49" s="42"/>
      <c r="F49" s="42"/>
      <c r="G49" s="11" t="e">
        <f>G50+G52</f>
        <v>#REF!</v>
      </c>
    </row>
    <row r="50" spans="1:7" ht="47.25">
      <c r="A50" s="31" t="s">
        <v>172</v>
      </c>
      <c r="B50" s="42" t="s">
        <v>692</v>
      </c>
      <c r="C50" s="42" t="s">
        <v>285</v>
      </c>
      <c r="D50" s="42" t="s">
        <v>256</v>
      </c>
      <c r="E50" s="42" t="s">
        <v>173</v>
      </c>
      <c r="F50" s="42"/>
      <c r="G50" s="11" t="e">
        <f>G51</f>
        <v>#REF!</v>
      </c>
    </row>
    <row r="51" spans="1:7" ht="47.25">
      <c r="A51" s="31" t="s">
        <v>174</v>
      </c>
      <c r="B51" s="42" t="s">
        <v>692</v>
      </c>
      <c r="C51" s="42" t="s">
        <v>285</v>
      </c>
      <c r="D51" s="42" t="s">
        <v>256</v>
      </c>
      <c r="E51" s="42" t="s">
        <v>175</v>
      </c>
      <c r="F51" s="42"/>
      <c r="G51" s="11" t="e">
        <f>#REF!</f>
        <v>#REF!</v>
      </c>
    </row>
    <row r="52" spans="1:7" ht="31.5">
      <c r="A52" s="31" t="s">
        <v>289</v>
      </c>
      <c r="B52" s="42" t="s">
        <v>692</v>
      </c>
      <c r="C52" s="42" t="s">
        <v>285</v>
      </c>
      <c r="D52" s="42" t="s">
        <v>256</v>
      </c>
      <c r="E52" s="42" t="s">
        <v>290</v>
      </c>
      <c r="F52" s="42"/>
      <c r="G52" s="11" t="e">
        <f>G53</f>
        <v>#REF!</v>
      </c>
    </row>
    <row r="53" spans="1:7" ht="31.5">
      <c r="A53" s="31" t="s">
        <v>389</v>
      </c>
      <c r="B53" s="42" t="s">
        <v>692</v>
      </c>
      <c r="C53" s="42" t="s">
        <v>285</v>
      </c>
      <c r="D53" s="42" t="s">
        <v>256</v>
      </c>
      <c r="E53" s="42" t="s">
        <v>390</v>
      </c>
      <c r="F53" s="42"/>
      <c r="G53" s="11" t="e">
        <f>#REF!</f>
        <v>#REF!</v>
      </c>
    </row>
    <row r="54" spans="1:7" ht="63">
      <c r="A54" s="47" t="s">
        <v>302</v>
      </c>
      <c r="B54" s="42" t="s">
        <v>400</v>
      </c>
      <c r="C54" s="42" t="s">
        <v>285</v>
      </c>
      <c r="D54" s="42" t="s">
        <v>256</v>
      </c>
      <c r="E54" s="42"/>
      <c r="F54" s="42" t="s">
        <v>687</v>
      </c>
      <c r="G54" s="11" t="e">
        <f>G46</f>
        <v>#REF!</v>
      </c>
    </row>
    <row r="55" spans="1:7" ht="47.25">
      <c r="A55" s="63" t="s">
        <v>693</v>
      </c>
      <c r="B55" s="8" t="s">
        <v>403</v>
      </c>
      <c r="C55" s="8"/>
      <c r="D55" s="8"/>
      <c r="E55" s="8"/>
      <c r="F55" s="8"/>
      <c r="G55" s="66" t="e">
        <f>G56</f>
        <v>#REF!</v>
      </c>
    </row>
    <row r="56" spans="1:7" ht="15.75">
      <c r="A56" s="47" t="s">
        <v>284</v>
      </c>
      <c r="B56" s="42" t="s">
        <v>403</v>
      </c>
      <c r="C56" s="42" t="s">
        <v>285</v>
      </c>
      <c r="D56" s="42"/>
      <c r="E56" s="42"/>
      <c r="F56" s="42"/>
      <c r="G56" s="11" t="e">
        <f>G57</f>
        <v>#REF!</v>
      </c>
    </row>
    <row r="57" spans="1:7" ht="21.75" customHeight="1">
      <c r="A57" s="47" t="s">
        <v>293</v>
      </c>
      <c r="B57" s="42" t="s">
        <v>403</v>
      </c>
      <c r="C57" s="42" t="s">
        <v>285</v>
      </c>
      <c r="D57" s="42" t="s">
        <v>256</v>
      </c>
      <c r="E57" s="42"/>
      <c r="F57" s="42"/>
      <c r="G57" s="11" t="e">
        <f>G58</f>
        <v>#REF!</v>
      </c>
    </row>
    <row r="58" spans="1:7" ht="47.25">
      <c r="A58" s="31" t="s">
        <v>198</v>
      </c>
      <c r="B58" s="42" t="s">
        <v>694</v>
      </c>
      <c r="C58" s="42" t="s">
        <v>285</v>
      </c>
      <c r="D58" s="42" t="s">
        <v>256</v>
      </c>
      <c r="E58" s="42"/>
      <c r="F58" s="42"/>
      <c r="G58" s="11" t="e">
        <f>G59</f>
        <v>#REF!</v>
      </c>
    </row>
    <row r="59" spans="1:7" ht="31.5">
      <c r="A59" s="31" t="s">
        <v>289</v>
      </c>
      <c r="B59" s="42" t="s">
        <v>694</v>
      </c>
      <c r="C59" s="42" t="s">
        <v>285</v>
      </c>
      <c r="D59" s="42" t="s">
        <v>256</v>
      </c>
      <c r="E59" s="42" t="s">
        <v>290</v>
      </c>
      <c r="F59" s="42"/>
      <c r="G59" s="11" t="e">
        <f>G60</f>
        <v>#REF!</v>
      </c>
    </row>
    <row r="60" spans="1:7" ht="31.5">
      <c r="A60" s="31" t="s">
        <v>389</v>
      </c>
      <c r="B60" s="42" t="s">
        <v>694</v>
      </c>
      <c r="C60" s="42" t="s">
        <v>285</v>
      </c>
      <c r="D60" s="42" t="s">
        <v>256</v>
      </c>
      <c r="E60" s="42" t="s">
        <v>390</v>
      </c>
      <c r="F60" s="42"/>
      <c r="G60" s="11" t="e">
        <f>#REF!</f>
        <v>#REF!</v>
      </c>
    </row>
    <row r="61" spans="1:7" ht="63">
      <c r="A61" s="47" t="s">
        <v>302</v>
      </c>
      <c r="B61" s="42" t="s">
        <v>403</v>
      </c>
      <c r="C61" s="42" t="s">
        <v>285</v>
      </c>
      <c r="D61" s="42" t="s">
        <v>256</v>
      </c>
      <c r="E61" s="42"/>
      <c r="F61" s="42" t="s">
        <v>687</v>
      </c>
      <c r="G61" s="11" t="e">
        <f>G55</f>
        <v>#REF!</v>
      </c>
    </row>
    <row r="62" spans="1:7" ht="78.75">
      <c r="A62" s="63" t="s">
        <v>405</v>
      </c>
      <c r="B62" s="8" t="s">
        <v>406</v>
      </c>
      <c r="C62" s="8"/>
      <c r="D62" s="8"/>
      <c r="E62" s="8"/>
      <c r="F62" s="8"/>
      <c r="G62" s="66" t="e">
        <f>G63</f>
        <v>#REF!</v>
      </c>
    </row>
    <row r="63" spans="1:7" ht="15.75">
      <c r="A63" s="47" t="s">
        <v>284</v>
      </c>
      <c r="B63" s="42" t="s">
        <v>406</v>
      </c>
      <c r="C63" s="42" t="s">
        <v>285</v>
      </c>
      <c r="D63" s="42"/>
      <c r="E63" s="42"/>
      <c r="F63" s="42"/>
      <c r="G63" s="11" t="e">
        <f>G64</f>
        <v>#REF!</v>
      </c>
    </row>
    <row r="64" spans="1:7" ht="15.75">
      <c r="A64" s="47" t="s">
        <v>293</v>
      </c>
      <c r="B64" s="42" t="s">
        <v>406</v>
      </c>
      <c r="C64" s="42" t="s">
        <v>285</v>
      </c>
      <c r="D64" s="42" t="s">
        <v>256</v>
      </c>
      <c r="E64" s="42"/>
      <c r="F64" s="42"/>
      <c r="G64" s="11" t="e">
        <f>G65</f>
        <v>#REF!</v>
      </c>
    </row>
    <row r="65" spans="1:7" ht="42.75" customHeight="1">
      <c r="A65" s="31" t="s">
        <v>198</v>
      </c>
      <c r="B65" s="42" t="s">
        <v>695</v>
      </c>
      <c r="C65" s="42" t="s">
        <v>285</v>
      </c>
      <c r="D65" s="42" t="s">
        <v>256</v>
      </c>
      <c r="E65" s="42"/>
      <c r="F65" s="42"/>
      <c r="G65" s="11" t="e">
        <f>G66</f>
        <v>#REF!</v>
      </c>
    </row>
    <row r="66" spans="1:7" ht="47.25">
      <c r="A66" s="31" t="s">
        <v>172</v>
      </c>
      <c r="B66" s="42" t="s">
        <v>695</v>
      </c>
      <c r="C66" s="42" t="s">
        <v>285</v>
      </c>
      <c r="D66" s="42" t="s">
        <v>256</v>
      </c>
      <c r="E66" s="42" t="s">
        <v>173</v>
      </c>
      <c r="F66" s="42"/>
      <c r="G66" s="11" t="e">
        <f>G67</f>
        <v>#REF!</v>
      </c>
    </row>
    <row r="67" spans="1:7" ht="47.25">
      <c r="A67" s="31" t="s">
        <v>174</v>
      </c>
      <c r="B67" s="42" t="s">
        <v>695</v>
      </c>
      <c r="C67" s="42" t="s">
        <v>285</v>
      </c>
      <c r="D67" s="42" t="s">
        <v>256</v>
      </c>
      <c r="E67" s="42" t="s">
        <v>175</v>
      </c>
      <c r="F67" s="42"/>
      <c r="G67" s="11" t="e">
        <f>#REF!</f>
        <v>#REF!</v>
      </c>
    </row>
    <row r="68" spans="1:7" ht="63">
      <c r="A68" s="47" t="s">
        <v>302</v>
      </c>
      <c r="B68" s="42" t="s">
        <v>406</v>
      </c>
      <c r="C68" s="42" t="s">
        <v>285</v>
      </c>
      <c r="D68" s="42" t="s">
        <v>256</v>
      </c>
      <c r="E68" s="42"/>
      <c r="F68" s="42" t="s">
        <v>687</v>
      </c>
      <c r="G68" s="11" t="e">
        <f>G62</f>
        <v>#REF!</v>
      </c>
    </row>
    <row r="69" spans="1:7" ht="94.5">
      <c r="A69" s="43" t="s">
        <v>408</v>
      </c>
      <c r="B69" s="8" t="s">
        <v>409</v>
      </c>
      <c r="C69" s="8"/>
      <c r="D69" s="8"/>
      <c r="E69" s="8"/>
      <c r="F69" s="8"/>
      <c r="G69" s="66" t="e">
        <f>G70</f>
        <v>#REF!</v>
      </c>
    </row>
    <row r="70" spans="1:7" ht="15.75">
      <c r="A70" s="47" t="s">
        <v>284</v>
      </c>
      <c r="B70" s="42" t="s">
        <v>409</v>
      </c>
      <c r="C70" s="42" t="s">
        <v>285</v>
      </c>
      <c r="D70" s="42"/>
      <c r="E70" s="42"/>
      <c r="F70" s="42"/>
      <c r="G70" s="11" t="e">
        <f>G71</f>
        <v>#REF!</v>
      </c>
    </row>
    <row r="71" spans="1:7" ht="15.75">
      <c r="A71" s="47" t="s">
        <v>293</v>
      </c>
      <c r="B71" s="42" t="s">
        <v>409</v>
      </c>
      <c r="C71" s="42" t="s">
        <v>285</v>
      </c>
      <c r="D71" s="42" t="s">
        <v>256</v>
      </c>
      <c r="E71" s="42"/>
      <c r="F71" s="42"/>
      <c r="G71" s="11" t="e">
        <f>G72+G90+G81+G85+G77</f>
        <v>#REF!</v>
      </c>
    </row>
    <row r="72" spans="1:7" ht="45" customHeight="1">
      <c r="A72" s="31" t="s">
        <v>198</v>
      </c>
      <c r="B72" s="42" t="s">
        <v>411</v>
      </c>
      <c r="C72" s="42" t="s">
        <v>285</v>
      </c>
      <c r="D72" s="42" t="s">
        <v>256</v>
      </c>
      <c r="E72" s="42"/>
      <c r="F72" s="42"/>
      <c r="G72" s="11" t="e">
        <f>G75+G73</f>
        <v>#REF!</v>
      </c>
    </row>
    <row r="73" spans="1:7" ht="47.25" hidden="1">
      <c r="A73" s="31" t="s">
        <v>172</v>
      </c>
      <c r="B73" s="42" t="s">
        <v>409</v>
      </c>
      <c r="C73" s="42" t="s">
        <v>285</v>
      </c>
      <c r="D73" s="42" t="s">
        <v>256</v>
      </c>
      <c r="E73" s="42" t="s">
        <v>173</v>
      </c>
      <c r="F73" s="42"/>
      <c r="G73" s="11">
        <f>G74</f>
        <v>0</v>
      </c>
    </row>
    <row r="74" spans="1:7" ht="47.25" hidden="1">
      <c r="A74" s="31" t="s">
        <v>174</v>
      </c>
      <c r="B74" s="42" t="s">
        <v>409</v>
      </c>
      <c r="C74" s="42" t="s">
        <v>285</v>
      </c>
      <c r="D74" s="42" t="s">
        <v>256</v>
      </c>
      <c r="E74" s="42" t="s">
        <v>175</v>
      </c>
      <c r="F74" s="42"/>
      <c r="G74" s="11"/>
    </row>
    <row r="75" spans="1:7" ht="63">
      <c r="A75" s="26" t="s">
        <v>313</v>
      </c>
      <c r="B75" s="42" t="s">
        <v>411</v>
      </c>
      <c r="C75" s="42" t="s">
        <v>285</v>
      </c>
      <c r="D75" s="42" t="s">
        <v>256</v>
      </c>
      <c r="E75" s="42" t="s">
        <v>314</v>
      </c>
      <c r="F75" s="42"/>
      <c r="G75" s="11" t="e">
        <f>G76</f>
        <v>#REF!</v>
      </c>
    </row>
    <row r="76" spans="1:7" ht="72.75" customHeight="1">
      <c r="A76" s="26" t="s">
        <v>412</v>
      </c>
      <c r="B76" s="42" t="s">
        <v>411</v>
      </c>
      <c r="C76" s="42" t="s">
        <v>285</v>
      </c>
      <c r="D76" s="42" t="s">
        <v>256</v>
      </c>
      <c r="E76" s="42" t="s">
        <v>413</v>
      </c>
      <c r="F76" s="42"/>
      <c r="G76" s="11" t="e">
        <f>#REF!</f>
        <v>#REF!</v>
      </c>
    </row>
    <row r="77" spans="1:7" ht="63">
      <c r="A77" s="26" t="s">
        <v>416</v>
      </c>
      <c r="B77" s="21" t="s">
        <v>417</v>
      </c>
      <c r="C77" s="42" t="s">
        <v>285</v>
      </c>
      <c r="D77" s="42" t="s">
        <v>256</v>
      </c>
      <c r="E77" s="42"/>
      <c r="F77" s="42"/>
      <c r="G77" s="11" t="e">
        <f>G78</f>
        <v>#REF!</v>
      </c>
    </row>
    <row r="78" spans="1:7" ht="31.5">
      <c r="A78" s="26" t="s">
        <v>289</v>
      </c>
      <c r="B78" s="21" t="s">
        <v>417</v>
      </c>
      <c r="C78" s="42" t="s">
        <v>285</v>
      </c>
      <c r="D78" s="42" t="s">
        <v>256</v>
      </c>
      <c r="E78" s="42" t="s">
        <v>290</v>
      </c>
      <c r="F78" s="42"/>
      <c r="G78" s="11" t="e">
        <f>G79</f>
        <v>#REF!</v>
      </c>
    </row>
    <row r="79" spans="1:7" ht="47.25">
      <c r="A79" s="26" t="s">
        <v>291</v>
      </c>
      <c r="B79" s="21" t="s">
        <v>417</v>
      </c>
      <c r="C79" s="42" t="s">
        <v>285</v>
      </c>
      <c r="D79" s="42" t="s">
        <v>256</v>
      </c>
      <c r="E79" s="42" t="s">
        <v>292</v>
      </c>
      <c r="F79" s="42"/>
      <c r="G79" s="11" t="e">
        <f>#REF!</f>
        <v>#REF!</v>
      </c>
    </row>
    <row r="80" spans="1:7" ht="63">
      <c r="A80" s="47" t="s">
        <v>302</v>
      </c>
      <c r="B80" s="21" t="s">
        <v>409</v>
      </c>
      <c r="C80" s="42" t="s">
        <v>285</v>
      </c>
      <c r="D80" s="42" t="s">
        <v>256</v>
      </c>
      <c r="E80" s="42"/>
      <c r="F80" s="10" t="s">
        <v>687</v>
      </c>
      <c r="G80" s="11" t="e">
        <f>G69</f>
        <v>#REF!</v>
      </c>
    </row>
    <row r="81" spans="1:7" ht="173.25" hidden="1">
      <c r="A81" s="26" t="s">
        <v>414</v>
      </c>
      <c r="B81" s="21" t="s">
        <v>415</v>
      </c>
      <c r="C81" s="42" t="s">
        <v>285</v>
      </c>
      <c r="D81" s="42" t="s">
        <v>256</v>
      </c>
      <c r="E81" s="42"/>
      <c r="F81" s="10"/>
      <c r="G81" s="11">
        <f>G82</f>
        <v>0</v>
      </c>
    </row>
    <row r="82" spans="1:7" ht="15.75" hidden="1">
      <c r="A82" s="26" t="s">
        <v>176</v>
      </c>
      <c r="B82" s="21" t="s">
        <v>415</v>
      </c>
      <c r="C82" s="42" t="s">
        <v>285</v>
      </c>
      <c r="D82" s="42" t="s">
        <v>256</v>
      </c>
      <c r="E82" s="42" t="s">
        <v>186</v>
      </c>
      <c r="F82" s="10"/>
      <c r="G82" s="11">
        <f>G83</f>
        <v>0</v>
      </c>
    </row>
    <row r="83" spans="1:7" ht="78.75" hidden="1">
      <c r="A83" s="26" t="s">
        <v>225</v>
      </c>
      <c r="B83" s="21" t="s">
        <v>415</v>
      </c>
      <c r="C83" s="42" t="s">
        <v>285</v>
      </c>
      <c r="D83" s="42" t="s">
        <v>256</v>
      </c>
      <c r="E83" s="42" t="s">
        <v>201</v>
      </c>
      <c r="F83" s="10"/>
      <c r="G83" s="11"/>
    </row>
    <row r="84" spans="1:7" ht="63" hidden="1">
      <c r="A84" s="47" t="s">
        <v>302</v>
      </c>
      <c r="B84" s="21" t="s">
        <v>415</v>
      </c>
      <c r="C84" s="42" t="s">
        <v>285</v>
      </c>
      <c r="D84" s="42" t="s">
        <v>256</v>
      </c>
      <c r="E84" s="42"/>
      <c r="F84" s="10" t="s">
        <v>687</v>
      </c>
      <c r="G84" s="11">
        <f>G83</f>
        <v>0</v>
      </c>
    </row>
    <row r="85" spans="1:7" ht="63" hidden="1">
      <c r="A85" s="26" t="s">
        <v>416</v>
      </c>
      <c r="B85" s="21" t="s">
        <v>417</v>
      </c>
      <c r="C85" s="42" t="s">
        <v>285</v>
      </c>
      <c r="D85" s="42" t="s">
        <v>256</v>
      </c>
      <c r="E85" s="42"/>
      <c r="F85" s="10"/>
      <c r="G85" s="11">
        <f>G86</f>
        <v>0</v>
      </c>
    </row>
    <row r="86" spans="1:7" ht="31.5" hidden="1">
      <c r="A86" s="31" t="s">
        <v>289</v>
      </c>
      <c r="B86" s="21" t="s">
        <v>417</v>
      </c>
      <c r="C86" s="42" t="s">
        <v>285</v>
      </c>
      <c r="D86" s="42" t="s">
        <v>256</v>
      </c>
      <c r="E86" s="42" t="s">
        <v>290</v>
      </c>
      <c r="F86" s="10"/>
      <c r="G86" s="11">
        <f>G87</f>
        <v>0</v>
      </c>
    </row>
    <row r="87" spans="1:7" ht="47.25" hidden="1">
      <c r="A87" s="31" t="s">
        <v>291</v>
      </c>
      <c r="B87" s="21" t="s">
        <v>417</v>
      </c>
      <c r="C87" s="42" t="s">
        <v>285</v>
      </c>
      <c r="D87" s="42" t="s">
        <v>256</v>
      </c>
      <c r="E87" s="42" t="s">
        <v>292</v>
      </c>
      <c r="F87" s="10"/>
      <c r="G87" s="11"/>
    </row>
    <row r="88" spans="1:7" ht="63" hidden="1">
      <c r="A88" s="47" t="s">
        <v>302</v>
      </c>
      <c r="B88" s="21" t="s">
        <v>417</v>
      </c>
      <c r="C88" s="42" t="s">
        <v>285</v>
      </c>
      <c r="D88" s="42" t="s">
        <v>256</v>
      </c>
      <c r="E88" s="42"/>
      <c r="F88" s="10" t="s">
        <v>687</v>
      </c>
      <c r="G88" s="11">
        <f>G85</f>
        <v>0</v>
      </c>
    </row>
    <row r="89" spans="1:7" ht="47.25" hidden="1">
      <c r="A89" s="31" t="s">
        <v>418</v>
      </c>
      <c r="B89" s="21" t="s">
        <v>419</v>
      </c>
      <c r="C89" s="42" t="s">
        <v>285</v>
      </c>
      <c r="D89" s="42" t="s">
        <v>256</v>
      </c>
      <c r="E89" s="42"/>
      <c r="F89" s="42"/>
      <c r="G89" s="11">
        <f>G90</f>
        <v>0</v>
      </c>
    </row>
    <row r="90" spans="1:7" ht="47.25" hidden="1">
      <c r="A90" s="31" t="s">
        <v>172</v>
      </c>
      <c r="B90" s="21" t="s">
        <v>419</v>
      </c>
      <c r="C90" s="42" t="s">
        <v>285</v>
      </c>
      <c r="D90" s="42" t="s">
        <v>256</v>
      </c>
      <c r="E90" s="42" t="s">
        <v>173</v>
      </c>
      <c r="F90" s="42"/>
      <c r="G90" s="11">
        <f>G91</f>
        <v>0</v>
      </c>
    </row>
    <row r="91" spans="1:7" ht="47.25" hidden="1">
      <c r="A91" s="31" t="s">
        <v>174</v>
      </c>
      <c r="B91" s="21" t="s">
        <v>419</v>
      </c>
      <c r="C91" s="42" t="s">
        <v>285</v>
      </c>
      <c r="D91" s="42" t="s">
        <v>256</v>
      </c>
      <c r="E91" s="42" t="s">
        <v>175</v>
      </c>
      <c r="F91" s="42"/>
      <c r="G91" s="11">
        <v>0</v>
      </c>
    </row>
    <row r="92" spans="1:7" ht="15.75" hidden="1">
      <c r="A92" s="31" t="s">
        <v>176</v>
      </c>
      <c r="B92" s="21" t="s">
        <v>419</v>
      </c>
      <c r="C92" s="42" t="s">
        <v>285</v>
      </c>
      <c r="D92" s="42" t="s">
        <v>256</v>
      </c>
      <c r="E92" s="42" t="s">
        <v>186</v>
      </c>
      <c r="F92" s="42"/>
      <c r="G92" s="11"/>
    </row>
    <row r="93" spans="1:7" ht="78.75" hidden="1">
      <c r="A93" s="31" t="s">
        <v>225</v>
      </c>
      <c r="B93" s="21" t="s">
        <v>419</v>
      </c>
      <c r="C93" s="42" t="s">
        <v>285</v>
      </c>
      <c r="D93" s="42" t="s">
        <v>256</v>
      </c>
      <c r="E93" s="42" t="s">
        <v>201</v>
      </c>
      <c r="F93" s="42"/>
      <c r="G93" s="11"/>
    </row>
    <row r="94" spans="1:7" ht="63" hidden="1">
      <c r="A94" s="47" t="s">
        <v>302</v>
      </c>
      <c r="B94" s="21" t="s">
        <v>419</v>
      </c>
      <c r="C94" s="42" t="s">
        <v>285</v>
      </c>
      <c r="D94" s="42" t="s">
        <v>256</v>
      </c>
      <c r="E94" s="42"/>
      <c r="F94" s="10" t="s">
        <v>687</v>
      </c>
      <c r="G94" s="11">
        <f>G89</f>
        <v>0</v>
      </c>
    </row>
    <row r="95" spans="1:7" ht="141.75">
      <c r="A95" s="43" t="s">
        <v>421</v>
      </c>
      <c r="B95" s="8" t="s">
        <v>422</v>
      </c>
      <c r="C95" s="8"/>
      <c r="D95" s="8"/>
      <c r="E95" s="8"/>
      <c r="F95" s="9"/>
      <c r="G95" s="66" t="e">
        <f>G96</f>
        <v>#REF!</v>
      </c>
    </row>
    <row r="96" spans="1:7" ht="15.75">
      <c r="A96" s="47" t="s">
        <v>284</v>
      </c>
      <c r="B96" s="42" t="s">
        <v>422</v>
      </c>
      <c r="C96" s="42" t="s">
        <v>285</v>
      </c>
      <c r="D96" s="42"/>
      <c r="E96" s="42"/>
      <c r="F96" s="10"/>
      <c r="G96" s="11" t="e">
        <f>G97</f>
        <v>#REF!</v>
      </c>
    </row>
    <row r="97" spans="1:7" ht="24.75" customHeight="1">
      <c r="A97" s="47" t="s">
        <v>293</v>
      </c>
      <c r="B97" s="42" t="s">
        <v>422</v>
      </c>
      <c r="C97" s="42" t="s">
        <v>285</v>
      </c>
      <c r="D97" s="42" t="s">
        <v>256</v>
      </c>
      <c r="E97" s="42"/>
      <c r="F97" s="10"/>
      <c r="G97" s="11" t="e">
        <f>G98</f>
        <v>#REF!</v>
      </c>
    </row>
    <row r="98" spans="1:7" ht="47.25">
      <c r="A98" s="31" t="s">
        <v>198</v>
      </c>
      <c r="B98" s="42" t="s">
        <v>423</v>
      </c>
      <c r="C98" s="42" t="s">
        <v>285</v>
      </c>
      <c r="D98" s="42" t="s">
        <v>256</v>
      </c>
      <c r="E98" s="42"/>
      <c r="F98" s="10"/>
      <c r="G98" s="11" t="e">
        <f>G99</f>
        <v>#REF!</v>
      </c>
    </row>
    <row r="99" spans="1:7" ht="47.25">
      <c r="A99" s="31" t="s">
        <v>172</v>
      </c>
      <c r="B99" s="42" t="s">
        <v>423</v>
      </c>
      <c r="C99" s="42" t="s">
        <v>285</v>
      </c>
      <c r="D99" s="42" t="s">
        <v>256</v>
      </c>
      <c r="E99" s="42" t="s">
        <v>173</v>
      </c>
      <c r="F99" s="10"/>
      <c r="G99" s="11" t="e">
        <f>G100</f>
        <v>#REF!</v>
      </c>
    </row>
    <row r="100" spans="1:7" ht="47.25">
      <c r="A100" s="31" t="s">
        <v>174</v>
      </c>
      <c r="B100" s="42" t="s">
        <v>423</v>
      </c>
      <c r="C100" s="42" t="s">
        <v>285</v>
      </c>
      <c r="D100" s="42" t="s">
        <v>256</v>
      </c>
      <c r="E100" s="42" t="s">
        <v>175</v>
      </c>
      <c r="F100" s="10"/>
      <c r="G100" s="11" t="e">
        <f>#REF!</f>
        <v>#REF!</v>
      </c>
    </row>
    <row r="101" spans="1:7" ht="63">
      <c r="A101" s="47" t="s">
        <v>302</v>
      </c>
      <c r="B101" s="42" t="s">
        <v>422</v>
      </c>
      <c r="C101" s="42" t="s">
        <v>285</v>
      </c>
      <c r="D101" s="42" t="s">
        <v>256</v>
      </c>
      <c r="E101" s="42"/>
      <c r="F101" s="10" t="s">
        <v>687</v>
      </c>
      <c r="G101" s="11" t="e">
        <f>G95</f>
        <v>#REF!</v>
      </c>
    </row>
    <row r="102" spans="1:7" ht="63">
      <c r="A102" s="63" t="s">
        <v>468</v>
      </c>
      <c r="B102" s="8" t="s">
        <v>448</v>
      </c>
      <c r="C102" s="8"/>
      <c r="D102" s="8"/>
      <c r="E102" s="8"/>
      <c r="F102" s="8"/>
      <c r="G102" s="66" t="e">
        <f>G103+G118+G163+G188+G210</f>
        <v>#REF!</v>
      </c>
    </row>
    <row r="103" spans="1:7" ht="47.25">
      <c r="A103" s="43" t="s">
        <v>449</v>
      </c>
      <c r="B103" s="8" t="s">
        <v>450</v>
      </c>
      <c r="C103" s="8"/>
      <c r="D103" s="8"/>
      <c r="E103" s="8"/>
      <c r="F103" s="8"/>
      <c r="G103" s="66" t="e">
        <f>G104</f>
        <v>#REF!</v>
      </c>
    </row>
    <row r="104" spans="1:7" ht="15.75">
      <c r="A104" s="31" t="s">
        <v>304</v>
      </c>
      <c r="B104" s="42" t="s">
        <v>450</v>
      </c>
      <c r="C104" s="42" t="s">
        <v>305</v>
      </c>
      <c r="D104" s="42"/>
      <c r="E104" s="42"/>
      <c r="F104" s="42"/>
      <c r="G104" s="11" t="e">
        <f>G105+G109+G113</f>
        <v>#REF!</v>
      </c>
    </row>
    <row r="105" spans="1:7" ht="15.75">
      <c r="A105" s="47" t="s">
        <v>446</v>
      </c>
      <c r="B105" s="42" t="s">
        <v>450</v>
      </c>
      <c r="C105" s="42" t="s">
        <v>305</v>
      </c>
      <c r="D105" s="42" t="s">
        <v>159</v>
      </c>
      <c r="E105" s="42"/>
      <c r="F105" s="42"/>
      <c r="G105" s="11" t="e">
        <f>G106</f>
        <v>#REF!</v>
      </c>
    </row>
    <row r="106" spans="1:7" ht="63">
      <c r="A106" s="31" t="s">
        <v>451</v>
      </c>
      <c r="B106" s="42" t="s">
        <v>452</v>
      </c>
      <c r="C106" s="42" t="s">
        <v>305</v>
      </c>
      <c r="D106" s="42" t="s">
        <v>159</v>
      </c>
      <c r="E106" s="42"/>
      <c r="F106" s="42"/>
      <c r="G106" s="11" t="e">
        <f>G107</f>
        <v>#REF!</v>
      </c>
    </row>
    <row r="107" spans="1:7" ht="63">
      <c r="A107" s="31" t="s">
        <v>313</v>
      </c>
      <c r="B107" s="42" t="s">
        <v>452</v>
      </c>
      <c r="C107" s="42" t="s">
        <v>305</v>
      </c>
      <c r="D107" s="42" t="s">
        <v>159</v>
      </c>
      <c r="E107" s="42" t="s">
        <v>314</v>
      </c>
      <c r="F107" s="42"/>
      <c r="G107" s="11" t="e">
        <f>G108</f>
        <v>#REF!</v>
      </c>
    </row>
    <row r="108" spans="1:7" ht="15.75">
      <c r="A108" s="31" t="s">
        <v>315</v>
      </c>
      <c r="B108" s="42" t="s">
        <v>452</v>
      </c>
      <c r="C108" s="42" t="s">
        <v>305</v>
      </c>
      <c r="D108" s="42" t="s">
        <v>159</v>
      </c>
      <c r="E108" s="42" t="s">
        <v>316</v>
      </c>
      <c r="F108" s="42"/>
      <c r="G108" s="7" t="e">
        <f>#REF!</f>
        <v>#REF!</v>
      </c>
    </row>
    <row r="109" spans="1:7" ht="15.75">
      <c r="A109" s="31" t="s">
        <v>467</v>
      </c>
      <c r="B109" s="42" t="s">
        <v>450</v>
      </c>
      <c r="C109" s="42" t="s">
        <v>305</v>
      </c>
      <c r="D109" s="42" t="s">
        <v>254</v>
      </c>
      <c r="E109" s="42"/>
      <c r="F109" s="42"/>
      <c r="G109" s="11" t="e">
        <f>G110</f>
        <v>#REF!</v>
      </c>
    </row>
    <row r="110" spans="1:7" ht="57.75" customHeight="1">
      <c r="A110" s="31" t="s">
        <v>469</v>
      </c>
      <c r="B110" s="42" t="s">
        <v>470</v>
      </c>
      <c r="C110" s="42" t="s">
        <v>305</v>
      </c>
      <c r="D110" s="42" t="s">
        <v>254</v>
      </c>
      <c r="E110" s="42"/>
      <c r="F110" s="42"/>
      <c r="G110" s="11" t="e">
        <f>G111</f>
        <v>#REF!</v>
      </c>
    </row>
    <row r="111" spans="1:7" ht="70.5" customHeight="1">
      <c r="A111" s="31" t="s">
        <v>313</v>
      </c>
      <c r="B111" s="42" t="s">
        <v>470</v>
      </c>
      <c r="C111" s="42" t="s">
        <v>305</v>
      </c>
      <c r="D111" s="42" t="s">
        <v>254</v>
      </c>
      <c r="E111" s="42" t="s">
        <v>314</v>
      </c>
      <c r="F111" s="42"/>
      <c r="G111" s="11" t="e">
        <f>G112</f>
        <v>#REF!</v>
      </c>
    </row>
    <row r="112" spans="1:7" ht="15.75">
      <c r="A112" s="31" t="s">
        <v>315</v>
      </c>
      <c r="B112" s="42" t="s">
        <v>470</v>
      </c>
      <c r="C112" s="42" t="s">
        <v>305</v>
      </c>
      <c r="D112" s="42" t="s">
        <v>254</v>
      </c>
      <c r="E112" s="42" t="s">
        <v>316</v>
      </c>
      <c r="F112" s="42"/>
      <c r="G112" s="7" t="e">
        <f>#REF!</f>
        <v>#REF!</v>
      </c>
    </row>
    <row r="113" spans="1:7" ht="15.75">
      <c r="A113" s="31" t="s">
        <v>306</v>
      </c>
      <c r="B113" s="42" t="s">
        <v>450</v>
      </c>
      <c r="C113" s="42" t="s">
        <v>305</v>
      </c>
      <c r="D113" s="42" t="s">
        <v>256</v>
      </c>
      <c r="E113" s="42"/>
      <c r="F113" s="42"/>
      <c r="G113" s="7" t="e">
        <f>G114</f>
        <v>#REF!</v>
      </c>
    </row>
    <row r="114" spans="1:7" ht="63">
      <c r="A114" s="31" t="s">
        <v>311</v>
      </c>
      <c r="B114" s="42" t="s">
        <v>471</v>
      </c>
      <c r="C114" s="42" t="s">
        <v>305</v>
      </c>
      <c r="D114" s="42" t="s">
        <v>256</v>
      </c>
      <c r="E114" s="8"/>
      <c r="F114" s="8"/>
      <c r="G114" s="11" t="e">
        <f>G115</f>
        <v>#REF!</v>
      </c>
    </row>
    <row r="115" spans="1:7" ht="63">
      <c r="A115" s="31" t="s">
        <v>313</v>
      </c>
      <c r="B115" s="42" t="s">
        <v>471</v>
      </c>
      <c r="C115" s="42" t="s">
        <v>305</v>
      </c>
      <c r="D115" s="42" t="s">
        <v>256</v>
      </c>
      <c r="E115" s="42" t="s">
        <v>314</v>
      </c>
      <c r="F115" s="42"/>
      <c r="G115" s="11" t="e">
        <f>G116</f>
        <v>#REF!</v>
      </c>
    </row>
    <row r="116" spans="1:7" ht="15.75">
      <c r="A116" s="31" t="s">
        <v>315</v>
      </c>
      <c r="B116" s="42" t="s">
        <v>471</v>
      </c>
      <c r="C116" s="42" t="s">
        <v>305</v>
      </c>
      <c r="D116" s="42" t="s">
        <v>256</v>
      </c>
      <c r="E116" s="42" t="s">
        <v>316</v>
      </c>
      <c r="F116" s="42"/>
      <c r="G116" s="7" t="e">
        <f>#REF!</f>
        <v>#REF!</v>
      </c>
    </row>
    <row r="117" spans="1:7" ht="47.25">
      <c r="A117" s="31" t="s">
        <v>445</v>
      </c>
      <c r="B117" s="42" t="s">
        <v>450</v>
      </c>
      <c r="C117" s="42" t="s">
        <v>305</v>
      </c>
      <c r="D117" s="42" t="s">
        <v>256</v>
      </c>
      <c r="E117" s="42"/>
      <c r="F117" s="42" t="s">
        <v>696</v>
      </c>
      <c r="G117" s="7" t="e">
        <f>G103</f>
        <v>#REF!</v>
      </c>
    </row>
    <row r="118" spans="1:7" ht="47.25">
      <c r="A118" s="43" t="s">
        <v>453</v>
      </c>
      <c r="B118" s="8" t="s">
        <v>454</v>
      </c>
      <c r="C118" s="8"/>
      <c r="D118" s="8"/>
      <c r="E118" s="8"/>
      <c r="F118" s="8"/>
      <c r="G118" s="66" t="e">
        <f>G119</f>
        <v>#REF!</v>
      </c>
    </row>
    <row r="119" spans="1:7" ht="15.75">
      <c r="A119" s="31" t="s">
        <v>304</v>
      </c>
      <c r="B119" s="42" t="s">
        <v>454</v>
      </c>
      <c r="C119" s="42" t="s">
        <v>305</v>
      </c>
      <c r="D119" s="42"/>
      <c r="E119" s="42"/>
      <c r="F119" s="42"/>
      <c r="G119" s="11" t="e">
        <f>G120</f>
        <v>#REF!</v>
      </c>
    </row>
    <row r="120" spans="1:7" ht="15.75">
      <c r="A120" s="47" t="s">
        <v>446</v>
      </c>
      <c r="B120" s="42" t="s">
        <v>454</v>
      </c>
      <c r="C120" s="42" t="s">
        <v>305</v>
      </c>
      <c r="D120" s="42" t="s">
        <v>159</v>
      </c>
      <c r="E120" s="42"/>
      <c r="F120" s="42"/>
      <c r="G120" s="11" t="e">
        <f>G133+G130</f>
        <v>#REF!</v>
      </c>
    </row>
    <row r="121" spans="1:7" ht="57.75" customHeight="1" hidden="1">
      <c r="A121" s="31" t="s">
        <v>646</v>
      </c>
      <c r="B121" s="42" t="s">
        <v>647</v>
      </c>
      <c r="C121" s="42" t="s">
        <v>305</v>
      </c>
      <c r="D121" s="42" t="s">
        <v>159</v>
      </c>
      <c r="E121" s="42"/>
      <c r="F121" s="42"/>
      <c r="G121" s="11">
        <f>G122</f>
        <v>0</v>
      </c>
    </row>
    <row r="122" spans="1:7" ht="63" hidden="1">
      <c r="A122" s="31" t="s">
        <v>313</v>
      </c>
      <c r="B122" s="42" t="s">
        <v>647</v>
      </c>
      <c r="C122" s="42" t="s">
        <v>305</v>
      </c>
      <c r="D122" s="42" t="s">
        <v>159</v>
      </c>
      <c r="E122" s="42" t="s">
        <v>314</v>
      </c>
      <c r="F122" s="42"/>
      <c r="G122" s="11">
        <f>G123</f>
        <v>0</v>
      </c>
    </row>
    <row r="123" spans="1:7" ht="15.75" hidden="1">
      <c r="A123" s="31" t="s">
        <v>315</v>
      </c>
      <c r="B123" s="42" t="s">
        <v>647</v>
      </c>
      <c r="C123" s="42" t="s">
        <v>305</v>
      </c>
      <c r="D123" s="42" t="s">
        <v>159</v>
      </c>
      <c r="E123" s="42" t="s">
        <v>316</v>
      </c>
      <c r="F123" s="42"/>
      <c r="G123" s="11"/>
    </row>
    <row r="124" spans="1:7" ht="47.25" hidden="1">
      <c r="A124" s="31" t="s">
        <v>445</v>
      </c>
      <c r="B124" s="42" t="s">
        <v>647</v>
      </c>
      <c r="C124" s="42" t="s">
        <v>305</v>
      </c>
      <c r="D124" s="42" t="s">
        <v>159</v>
      </c>
      <c r="E124" s="42"/>
      <c r="F124" s="42" t="s">
        <v>696</v>
      </c>
      <c r="G124" s="11">
        <v>0</v>
      </c>
    </row>
    <row r="125" spans="1:7" ht="47.25" hidden="1">
      <c r="A125" s="31" t="s">
        <v>319</v>
      </c>
      <c r="B125" s="42" t="s">
        <v>648</v>
      </c>
      <c r="C125" s="42" t="s">
        <v>305</v>
      </c>
      <c r="D125" s="42" t="s">
        <v>159</v>
      </c>
      <c r="E125" s="42"/>
      <c r="F125" s="42"/>
      <c r="G125" s="11">
        <f>G126</f>
        <v>0</v>
      </c>
    </row>
    <row r="126" spans="1:7" ht="63" hidden="1">
      <c r="A126" s="31" t="s">
        <v>313</v>
      </c>
      <c r="B126" s="42" t="s">
        <v>648</v>
      </c>
      <c r="C126" s="42" t="s">
        <v>305</v>
      </c>
      <c r="D126" s="42" t="s">
        <v>159</v>
      </c>
      <c r="E126" s="42" t="s">
        <v>314</v>
      </c>
      <c r="F126" s="42"/>
      <c r="G126" s="11">
        <f>G127</f>
        <v>0</v>
      </c>
    </row>
    <row r="127" spans="1:7" ht="15.75" hidden="1">
      <c r="A127" s="31" t="s">
        <v>315</v>
      </c>
      <c r="B127" s="42" t="s">
        <v>648</v>
      </c>
      <c r="C127" s="42" t="s">
        <v>305</v>
      </c>
      <c r="D127" s="42" t="s">
        <v>159</v>
      </c>
      <c r="E127" s="42" t="s">
        <v>316</v>
      </c>
      <c r="F127" s="42"/>
      <c r="G127" s="11"/>
    </row>
    <row r="128" spans="1:7" ht="47.25" hidden="1">
      <c r="A128" s="31" t="s">
        <v>445</v>
      </c>
      <c r="B128" s="42" t="s">
        <v>648</v>
      </c>
      <c r="C128" s="42" t="s">
        <v>305</v>
      </c>
      <c r="D128" s="42" t="s">
        <v>159</v>
      </c>
      <c r="E128" s="42"/>
      <c r="F128" s="42" t="s">
        <v>696</v>
      </c>
      <c r="G128" s="11">
        <v>0</v>
      </c>
    </row>
    <row r="129" spans="1:7" ht="31.5">
      <c r="A129" s="31" t="s">
        <v>321</v>
      </c>
      <c r="B129" s="42" t="s">
        <v>456</v>
      </c>
      <c r="C129" s="42" t="s">
        <v>305</v>
      </c>
      <c r="D129" s="42" t="s">
        <v>159</v>
      </c>
      <c r="E129" s="42"/>
      <c r="F129" s="42"/>
      <c r="G129" s="11" t="e">
        <f>G130</f>
        <v>#REF!</v>
      </c>
    </row>
    <row r="130" spans="1:7" ht="63">
      <c r="A130" s="31" t="s">
        <v>313</v>
      </c>
      <c r="B130" s="42" t="s">
        <v>456</v>
      </c>
      <c r="C130" s="42" t="s">
        <v>305</v>
      </c>
      <c r="D130" s="42" t="s">
        <v>159</v>
      </c>
      <c r="E130" s="42" t="s">
        <v>314</v>
      </c>
      <c r="F130" s="42"/>
      <c r="G130" s="11" t="e">
        <f>G131</f>
        <v>#REF!</v>
      </c>
    </row>
    <row r="131" spans="1:8" ht="15.75">
      <c r="A131" s="31" t="s">
        <v>315</v>
      </c>
      <c r="B131" s="42" t="s">
        <v>456</v>
      </c>
      <c r="C131" s="42" t="s">
        <v>305</v>
      </c>
      <c r="D131" s="42" t="s">
        <v>159</v>
      </c>
      <c r="E131" s="42" t="s">
        <v>316</v>
      </c>
      <c r="F131" s="42"/>
      <c r="G131" s="185" t="e">
        <f>#REF!</f>
        <v>#REF!</v>
      </c>
      <c r="H131" s="186" t="s">
        <v>800</v>
      </c>
    </row>
    <row r="132" spans="1:7" ht="47.25" hidden="1">
      <c r="A132" s="31" t="s">
        <v>445</v>
      </c>
      <c r="B132" s="42" t="s">
        <v>456</v>
      </c>
      <c r="C132" s="42" t="s">
        <v>305</v>
      </c>
      <c r="D132" s="42" t="s">
        <v>159</v>
      </c>
      <c r="E132" s="42"/>
      <c r="F132" s="42" t="s">
        <v>696</v>
      </c>
      <c r="G132" s="11"/>
    </row>
    <row r="133" spans="1:7" ht="63">
      <c r="A133" s="31" t="s">
        <v>457</v>
      </c>
      <c r="B133" s="42" t="s">
        <v>458</v>
      </c>
      <c r="C133" s="42" t="s">
        <v>305</v>
      </c>
      <c r="D133" s="42" t="s">
        <v>159</v>
      </c>
      <c r="E133" s="42"/>
      <c r="F133" s="42"/>
      <c r="G133" s="11" t="e">
        <f>G134</f>
        <v>#REF!</v>
      </c>
    </row>
    <row r="134" spans="1:7" ht="65.25" customHeight="1">
      <c r="A134" s="31" t="s">
        <v>313</v>
      </c>
      <c r="B134" s="42" t="s">
        <v>458</v>
      </c>
      <c r="C134" s="42" t="s">
        <v>305</v>
      </c>
      <c r="D134" s="42" t="s">
        <v>159</v>
      </c>
      <c r="E134" s="42" t="s">
        <v>314</v>
      </c>
      <c r="F134" s="42"/>
      <c r="G134" s="11" t="e">
        <f>G135</f>
        <v>#REF!</v>
      </c>
    </row>
    <row r="135" spans="1:7" ht="15.75">
      <c r="A135" s="31" t="s">
        <v>315</v>
      </c>
      <c r="B135" s="42" t="s">
        <v>458</v>
      </c>
      <c r="C135" s="42" t="s">
        <v>305</v>
      </c>
      <c r="D135" s="42" t="s">
        <v>159</v>
      </c>
      <c r="E135" s="42" t="s">
        <v>316</v>
      </c>
      <c r="F135" s="42"/>
      <c r="G135" s="7" t="e">
        <f>#REF!</f>
        <v>#REF!</v>
      </c>
    </row>
    <row r="136" spans="1:7" ht="47.25">
      <c r="A136" s="31" t="s">
        <v>445</v>
      </c>
      <c r="B136" s="42" t="s">
        <v>454</v>
      </c>
      <c r="C136" s="42" t="s">
        <v>305</v>
      </c>
      <c r="D136" s="42" t="s">
        <v>159</v>
      </c>
      <c r="E136" s="42"/>
      <c r="F136" s="42" t="s">
        <v>696</v>
      </c>
      <c r="G136" s="7" t="e">
        <f>G118+G131</f>
        <v>#REF!</v>
      </c>
    </row>
    <row r="137" spans="1:7" ht="31.5" hidden="1">
      <c r="A137" s="31" t="s">
        <v>325</v>
      </c>
      <c r="B137" s="42" t="s">
        <v>651</v>
      </c>
      <c r="C137" s="42" t="s">
        <v>305</v>
      </c>
      <c r="D137" s="42" t="s">
        <v>159</v>
      </c>
      <c r="E137" s="42"/>
      <c r="F137" s="42"/>
      <c r="G137" s="11">
        <f>G138</f>
        <v>0</v>
      </c>
    </row>
    <row r="138" spans="1:7" ht="63" hidden="1">
      <c r="A138" s="31" t="s">
        <v>313</v>
      </c>
      <c r="B138" s="42" t="s">
        <v>651</v>
      </c>
      <c r="C138" s="42" t="s">
        <v>305</v>
      </c>
      <c r="D138" s="42" t="s">
        <v>159</v>
      </c>
      <c r="E138" s="42" t="s">
        <v>314</v>
      </c>
      <c r="F138" s="42"/>
      <c r="G138" s="11">
        <f>G139</f>
        <v>0</v>
      </c>
    </row>
    <row r="139" spans="1:7" ht="15.75" hidden="1">
      <c r="A139" s="31" t="s">
        <v>315</v>
      </c>
      <c r="B139" s="42" t="s">
        <v>651</v>
      </c>
      <c r="C139" s="42" t="s">
        <v>305</v>
      </c>
      <c r="D139" s="42" t="s">
        <v>159</v>
      </c>
      <c r="E139" s="42" t="s">
        <v>316</v>
      </c>
      <c r="F139" s="42"/>
      <c r="G139" s="11"/>
    </row>
    <row r="140" spans="1:7" ht="47.25" hidden="1">
      <c r="A140" s="31" t="s">
        <v>445</v>
      </c>
      <c r="B140" s="42" t="s">
        <v>651</v>
      </c>
      <c r="C140" s="42" t="s">
        <v>305</v>
      </c>
      <c r="D140" s="42" t="s">
        <v>159</v>
      </c>
      <c r="E140" s="42"/>
      <c r="F140" s="42" t="s">
        <v>696</v>
      </c>
      <c r="G140" s="11">
        <v>0</v>
      </c>
    </row>
    <row r="141" spans="1:7" ht="47.25">
      <c r="A141" s="43" t="s">
        <v>472</v>
      </c>
      <c r="B141" s="8" t="s">
        <v>473</v>
      </c>
      <c r="C141" s="8"/>
      <c r="D141" s="8"/>
      <c r="E141" s="8"/>
      <c r="F141" s="8"/>
      <c r="G141" s="4" t="e">
        <f>G162</f>
        <v>#REF!</v>
      </c>
    </row>
    <row r="142" spans="1:7" ht="70.5" customHeight="1" hidden="1">
      <c r="A142" s="31" t="s">
        <v>646</v>
      </c>
      <c r="B142" s="42" t="s">
        <v>652</v>
      </c>
      <c r="C142" s="42" t="s">
        <v>305</v>
      </c>
      <c r="D142" s="42" t="s">
        <v>254</v>
      </c>
      <c r="E142" s="42"/>
      <c r="F142" s="42"/>
      <c r="G142" s="11">
        <f>G143</f>
        <v>0</v>
      </c>
    </row>
    <row r="143" spans="1:7" ht="63" hidden="1">
      <c r="A143" s="31" t="s">
        <v>313</v>
      </c>
      <c r="B143" s="42" t="s">
        <v>652</v>
      </c>
      <c r="C143" s="42" t="s">
        <v>305</v>
      </c>
      <c r="D143" s="42" t="s">
        <v>254</v>
      </c>
      <c r="E143" s="42" t="s">
        <v>314</v>
      </c>
      <c r="F143" s="42"/>
      <c r="G143" s="11">
        <f>G145</f>
        <v>0</v>
      </c>
    </row>
    <row r="144" spans="1:7" ht="18.75" customHeight="1" hidden="1">
      <c r="A144" s="31" t="s">
        <v>315</v>
      </c>
      <c r="B144" s="42" t="s">
        <v>652</v>
      </c>
      <c r="C144" s="42" t="s">
        <v>305</v>
      </c>
      <c r="D144" s="42" t="s">
        <v>254</v>
      </c>
      <c r="E144" s="42" t="s">
        <v>316</v>
      </c>
      <c r="F144" s="42"/>
      <c r="G144" s="11"/>
    </row>
    <row r="145" spans="1:7" ht="47.25" hidden="1">
      <c r="A145" s="31" t="s">
        <v>445</v>
      </c>
      <c r="B145" s="42" t="s">
        <v>652</v>
      </c>
      <c r="C145" s="42" t="s">
        <v>305</v>
      </c>
      <c r="D145" s="42" t="s">
        <v>254</v>
      </c>
      <c r="E145" s="42"/>
      <c r="F145" s="42" t="s">
        <v>696</v>
      </c>
      <c r="G145" s="11"/>
    </row>
    <row r="146" spans="1:7" ht="78.75" hidden="1">
      <c r="A146" s="26" t="s">
        <v>474</v>
      </c>
      <c r="B146" s="42" t="s">
        <v>475</v>
      </c>
      <c r="C146" s="42" t="s">
        <v>305</v>
      </c>
      <c r="D146" s="42" t="s">
        <v>254</v>
      </c>
      <c r="E146" s="42"/>
      <c r="F146" s="42"/>
      <c r="G146" s="11">
        <f>G147</f>
        <v>0</v>
      </c>
    </row>
    <row r="147" spans="1:7" ht="63" hidden="1">
      <c r="A147" s="31" t="s">
        <v>313</v>
      </c>
      <c r="B147" s="42" t="s">
        <v>475</v>
      </c>
      <c r="C147" s="42" t="s">
        <v>305</v>
      </c>
      <c r="D147" s="42" t="s">
        <v>254</v>
      </c>
      <c r="E147" s="42" t="s">
        <v>314</v>
      </c>
      <c r="F147" s="42"/>
      <c r="G147" s="11">
        <f>G148</f>
        <v>0</v>
      </c>
    </row>
    <row r="148" spans="1:7" ht="15.75" hidden="1">
      <c r="A148" s="31" t="s">
        <v>315</v>
      </c>
      <c r="B148" s="42" t="s">
        <v>475</v>
      </c>
      <c r="C148" s="42" t="s">
        <v>305</v>
      </c>
      <c r="D148" s="42" t="s">
        <v>254</v>
      </c>
      <c r="E148" s="42" t="s">
        <v>316</v>
      </c>
      <c r="F148" s="42"/>
      <c r="G148" s="11"/>
    </row>
    <row r="149" spans="1:7" ht="54.75" customHeight="1" hidden="1">
      <c r="A149" s="31" t="s">
        <v>445</v>
      </c>
      <c r="B149" s="42" t="s">
        <v>475</v>
      </c>
      <c r="C149" s="42" t="s">
        <v>305</v>
      </c>
      <c r="D149" s="42" t="s">
        <v>254</v>
      </c>
      <c r="E149" s="42"/>
      <c r="F149" s="42" t="s">
        <v>696</v>
      </c>
      <c r="G149" s="11">
        <f>G146</f>
        <v>0</v>
      </c>
    </row>
    <row r="150" spans="1:7" ht="31.5" hidden="1">
      <c r="A150" s="26" t="s">
        <v>476</v>
      </c>
      <c r="B150" s="21" t="s">
        <v>477</v>
      </c>
      <c r="C150" s="42" t="s">
        <v>305</v>
      </c>
      <c r="D150" s="42" t="s">
        <v>254</v>
      </c>
      <c r="E150" s="42"/>
      <c r="F150" s="42"/>
      <c r="G150" s="11">
        <f>G151</f>
        <v>0</v>
      </c>
    </row>
    <row r="151" spans="1:7" ht="65.25" customHeight="1" hidden="1">
      <c r="A151" s="26" t="s">
        <v>313</v>
      </c>
      <c r="B151" s="21" t="s">
        <v>477</v>
      </c>
      <c r="C151" s="42" t="s">
        <v>305</v>
      </c>
      <c r="D151" s="42" t="s">
        <v>254</v>
      </c>
      <c r="E151" s="42" t="s">
        <v>314</v>
      </c>
      <c r="F151" s="42"/>
      <c r="G151" s="11">
        <f>G152</f>
        <v>0</v>
      </c>
    </row>
    <row r="152" spans="1:7" ht="15.75" hidden="1">
      <c r="A152" s="26" t="s">
        <v>315</v>
      </c>
      <c r="B152" s="21" t="s">
        <v>477</v>
      </c>
      <c r="C152" s="42" t="s">
        <v>305</v>
      </c>
      <c r="D152" s="42" t="s">
        <v>254</v>
      </c>
      <c r="E152" s="42" t="s">
        <v>316</v>
      </c>
      <c r="F152" s="42"/>
      <c r="G152" s="11"/>
    </row>
    <row r="153" spans="1:7" ht="47.25" hidden="1">
      <c r="A153" s="31" t="s">
        <v>445</v>
      </c>
      <c r="B153" s="21" t="s">
        <v>477</v>
      </c>
      <c r="C153" s="42" t="s">
        <v>305</v>
      </c>
      <c r="D153" s="42" t="s">
        <v>254</v>
      </c>
      <c r="E153" s="42"/>
      <c r="F153" s="42" t="s">
        <v>696</v>
      </c>
      <c r="G153" s="11">
        <f>G150</f>
        <v>0</v>
      </c>
    </row>
    <row r="154" spans="1:7" ht="63" hidden="1">
      <c r="A154" s="26" t="s">
        <v>480</v>
      </c>
      <c r="B154" s="21" t="s">
        <v>481</v>
      </c>
      <c r="C154" s="42" t="s">
        <v>305</v>
      </c>
      <c r="D154" s="42" t="s">
        <v>254</v>
      </c>
      <c r="E154" s="42"/>
      <c r="F154" s="42"/>
      <c r="G154" s="11">
        <f>G155</f>
        <v>0</v>
      </c>
    </row>
    <row r="155" spans="1:7" ht="63" hidden="1">
      <c r="A155" s="31" t="s">
        <v>313</v>
      </c>
      <c r="B155" s="21" t="s">
        <v>481</v>
      </c>
      <c r="C155" s="42" t="s">
        <v>305</v>
      </c>
      <c r="D155" s="42" t="s">
        <v>254</v>
      </c>
      <c r="E155" s="42" t="s">
        <v>314</v>
      </c>
      <c r="F155" s="42"/>
      <c r="G155" s="11">
        <f>G156</f>
        <v>0</v>
      </c>
    </row>
    <row r="156" spans="1:7" ht="15.75" hidden="1">
      <c r="A156" s="31" t="s">
        <v>315</v>
      </c>
      <c r="B156" s="21" t="s">
        <v>481</v>
      </c>
      <c r="C156" s="42" t="s">
        <v>305</v>
      </c>
      <c r="D156" s="42" t="s">
        <v>254</v>
      </c>
      <c r="E156" s="42" t="s">
        <v>316</v>
      </c>
      <c r="F156" s="42"/>
      <c r="G156" s="11"/>
    </row>
    <row r="157" spans="1:7" ht="47.25" hidden="1">
      <c r="A157" s="31" t="s">
        <v>445</v>
      </c>
      <c r="B157" s="21" t="s">
        <v>481</v>
      </c>
      <c r="C157" s="42" t="s">
        <v>305</v>
      </c>
      <c r="D157" s="42" t="s">
        <v>254</v>
      </c>
      <c r="E157" s="42"/>
      <c r="F157" s="42" t="s">
        <v>696</v>
      </c>
      <c r="G157" s="11">
        <f>G156</f>
        <v>0</v>
      </c>
    </row>
    <row r="158" spans="1:7" ht="47.25" hidden="1">
      <c r="A158" s="26" t="s">
        <v>655</v>
      </c>
      <c r="B158" s="21" t="s">
        <v>484</v>
      </c>
      <c r="C158" s="42" t="s">
        <v>305</v>
      </c>
      <c r="D158" s="42" t="s">
        <v>254</v>
      </c>
      <c r="E158" s="42"/>
      <c r="F158" s="42"/>
      <c r="G158" s="11">
        <f>G159</f>
        <v>0</v>
      </c>
    </row>
    <row r="159" spans="1:7" ht="63" hidden="1">
      <c r="A159" s="26" t="s">
        <v>313</v>
      </c>
      <c r="B159" s="21" t="s">
        <v>484</v>
      </c>
      <c r="C159" s="42" t="s">
        <v>305</v>
      </c>
      <c r="D159" s="42" t="s">
        <v>254</v>
      </c>
      <c r="E159" s="42" t="s">
        <v>314</v>
      </c>
      <c r="F159" s="42"/>
      <c r="G159" s="11">
        <f>G160</f>
        <v>0</v>
      </c>
    </row>
    <row r="160" spans="1:7" ht="15.75" hidden="1">
      <c r="A160" s="26" t="s">
        <v>315</v>
      </c>
      <c r="B160" s="21" t="s">
        <v>484</v>
      </c>
      <c r="C160" s="42" t="s">
        <v>305</v>
      </c>
      <c r="D160" s="42" t="s">
        <v>254</v>
      </c>
      <c r="E160" s="42" t="s">
        <v>316</v>
      </c>
      <c r="F160" s="42"/>
      <c r="G160" s="11"/>
    </row>
    <row r="161" spans="1:7" ht="47.25" hidden="1">
      <c r="A161" s="31" t="s">
        <v>445</v>
      </c>
      <c r="B161" s="21" t="s">
        <v>484</v>
      </c>
      <c r="C161" s="42" t="s">
        <v>305</v>
      </c>
      <c r="D161" s="42" t="s">
        <v>254</v>
      </c>
      <c r="E161" s="42"/>
      <c r="F161" s="42" t="s">
        <v>696</v>
      </c>
      <c r="G161" s="11">
        <f>G159</f>
        <v>0</v>
      </c>
    </row>
    <row r="162" spans="1:7" ht="15.75">
      <c r="A162" s="31" t="s">
        <v>304</v>
      </c>
      <c r="B162" s="42" t="s">
        <v>473</v>
      </c>
      <c r="C162" s="42" t="s">
        <v>305</v>
      </c>
      <c r="D162" s="42"/>
      <c r="E162" s="42"/>
      <c r="F162" s="42"/>
      <c r="G162" s="11" t="e">
        <f>G163</f>
        <v>#REF!</v>
      </c>
    </row>
    <row r="163" spans="1:7" ht="15.75">
      <c r="A163" s="31" t="s">
        <v>467</v>
      </c>
      <c r="B163" s="42" t="s">
        <v>473</v>
      </c>
      <c r="C163" s="42" t="s">
        <v>305</v>
      </c>
      <c r="D163" s="42" t="s">
        <v>254</v>
      </c>
      <c r="E163" s="42"/>
      <c r="F163" s="42"/>
      <c r="G163" s="11" t="e">
        <f>G164+G167+G173+G170+G176</f>
        <v>#REF!</v>
      </c>
    </row>
    <row r="164" spans="1:7" ht="78.75">
      <c r="A164" s="31" t="s">
        <v>654</v>
      </c>
      <c r="B164" s="21" t="s">
        <v>479</v>
      </c>
      <c r="C164" s="42" t="s">
        <v>305</v>
      </c>
      <c r="D164" s="42" t="s">
        <v>254</v>
      </c>
      <c r="E164" s="42"/>
      <c r="F164" s="42"/>
      <c r="G164" s="11" t="e">
        <f>G165</f>
        <v>#REF!</v>
      </c>
    </row>
    <row r="165" spans="1:7" ht="63">
      <c r="A165" s="31" t="s">
        <v>313</v>
      </c>
      <c r="B165" s="21" t="s">
        <v>479</v>
      </c>
      <c r="C165" s="42" t="s">
        <v>305</v>
      </c>
      <c r="D165" s="42" t="s">
        <v>254</v>
      </c>
      <c r="E165" s="42" t="s">
        <v>314</v>
      </c>
      <c r="F165" s="42"/>
      <c r="G165" s="11" t="e">
        <f>G166</f>
        <v>#REF!</v>
      </c>
    </row>
    <row r="166" spans="1:7" ht="24" customHeight="1">
      <c r="A166" s="31" t="s">
        <v>315</v>
      </c>
      <c r="B166" s="21" t="s">
        <v>479</v>
      </c>
      <c r="C166" s="42" t="s">
        <v>305</v>
      </c>
      <c r="D166" s="42" t="s">
        <v>254</v>
      </c>
      <c r="E166" s="42" t="s">
        <v>316</v>
      </c>
      <c r="F166" s="42"/>
      <c r="G166" s="7" t="e">
        <f>#REF!</f>
        <v>#REF!</v>
      </c>
    </row>
    <row r="167" spans="1:7" ht="63">
      <c r="A167" s="26" t="s">
        <v>480</v>
      </c>
      <c r="B167" s="21" t="s">
        <v>481</v>
      </c>
      <c r="C167" s="42" t="s">
        <v>305</v>
      </c>
      <c r="D167" s="42" t="s">
        <v>254</v>
      </c>
      <c r="E167" s="42"/>
      <c r="F167" s="42"/>
      <c r="G167" s="7" t="e">
        <f>G168</f>
        <v>#REF!</v>
      </c>
    </row>
    <row r="168" spans="1:7" ht="63">
      <c r="A168" s="26" t="s">
        <v>313</v>
      </c>
      <c r="B168" s="21" t="s">
        <v>481</v>
      </c>
      <c r="C168" s="42" t="s">
        <v>305</v>
      </c>
      <c r="D168" s="42" t="s">
        <v>254</v>
      </c>
      <c r="E168" s="42" t="s">
        <v>314</v>
      </c>
      <c r="F168" s="42"/>
      <c r="G168" s="7" t="e">
        <f>G169</f>
        <v>#REF!</v>
      </c>
    </row>
    <row r="169" spans="1:7" ht="15.75">
      <c r="A169" s="26" t="s">
        <v>315</v>
      </c>
      <c r="B169" s="21" t="s">
        <v>481</v>
      </c>
      <c r="C169" s="42" t="s">
        <v>305</v>
      </c>
      <c r="D169" s="42" t="s">
        <v>254</v>
      </c>
      <c r="E169" s="42" t="s">
        <v>316</v>
      </c>
      <c r="F169" s="42"/>
      <c r="G169" s="7" t="e">
        <f>#REF!</f>
        <v>#REF!</v>
      </c>
    </row>
    <row r="170" spans="1:7" ht="47.25">
      <c r="A170" s="26" t="s">
        <v>319</v>
      </c>
      <c r="B170" s="42" t="s">
        <v>484</v>
      </c>
      <c r="C170" s="42" t="s">
        <v>305</v>
      </c>
      <c r="D170" s="42" t="s">
        <v>254</v>
      </c>
      <c r="E170" s="42"/>
      <c r="F170" s="42"/>
      <c r="G170" s="7" t="e">
        <f>G171</f>
        <v>#REF!</v>
      </c>
    </row>
    <row r="171" spans="1:7" ht="63">
      <c r="A171" s="26" t="s">
        <v>313</v>
      </c>
      <c r="B171" s="42" t="s">
        <v>484</v>
      </c>
      <c r="C171" s="42" t="s">
        <v>305</v>
      </c>
      <c r="D171" s="42" t="s">
        <v>254</v>
      </c>
      <c r="E171" s="42" t="s">
        <v>314</v>
      </c>
      <c r="F171" s="42"/>
      <c r="G171" s="7" t="e">
        <f>G172</f>
        <v>#REF!</v>
      </c>
    </row>
    <row r="172" spans="1:8" ht="15.75">
      <c r="A172" s="26" t="s">
        <v>315</v>
      </c>
      <c r="B172" s="42" t="s">
        <v>484</v>
      </c>
      <c r="C172" s="42" t="s">
        <v>305</v>
      </c>
      <c r="D172" s="42" t="s">
        <v>254</v>
      </c>
      <c r="E172" s="42" t="s">
        <v>316</v>
      </c>
      <c r="F172" s="42"/>
      <c r="G172" s="7" t="e">
        <f>#REF!</f>
        <v>#REF!</v>
      </c>
      <c r="H172" s="134"/>
    </row>
    <row r="173" spans="1:7" ht="47.25">
      <c r="A173" s="31" t="s">
        <v>323</v>
      </c>
      <c r="B173" s="42" t="s">
        <v>486</v>
      </c>
      <c r="C173" s="42" t="s">
        <v>305</v>
      </c>
      <c r="D173" s="42" t="s">
        <v>254</v>
      </c>
      <c r="E173" s="42"/>
      <c r="F173" s="42"/>
      <c r="G173" s="11" t="e">
        <f>G174</f>
        <v>#REF!</v>
      </c>
    </row>
    <row r="174" spans="1:7" ht="63">
      <c r="A174" s="31" t="s">
        <v>313</v>
      </c>
      <c r="B174" s="42" t="s">
        <v>486</v>
      </c>
      <c r="C174" s="42" t="s">
        <v>305</v>
      </c>
      <c r="D174" s="42" t="s">
        <v>254</v>
      </c>
      <c r="E174" s="42" t="s">
        <v>314</v>
      </c>
      <c r="F174" s="42"/>
      <c r="G174" s="11" t="e">
        <f>G175</f>
        <v>#REF!</v>
      </c>
    </row>
    <row r="175" spans="1:7" ht="26.25" customHeight="1">
      <c r="A175" s="31" t="s">
        <v>315</v>
      </c>
      <c r="B175" s="42" t="s">
        <v>486</v>
      </c>
      <c r="C175" s="42" t="s">
        <v>305</v>
      </c>
      <c r="D175" s="42" t="s">
        <v>254</v>
      </c>
      <c r="E175" s="42" t="s">
        <v>316</v>
      </c>
      <c r="F175" s="42"/>
      <c r="G175" s="11" t="e">
        <f>#REF!</f>
        <v>#REF!</v>
      </c>
    </row>
    <row r="176" spans="1:7" ht="31.5">
      <c r="A176" s="31" t="s">
        <v>325</v>
      </c>
      <c r="B176" s="42" t="s">
        <v>487</v>
      </c>
      <c r="C176" s="42" t="s">
        <v>305</v>
      </c>
      <c r="D176" s="42" t="s">
        <v>254</v>
      </c>
      <c r="E176" s="42"/>
      <c r="F176" s="42"/>
      <c r="G176" s="11" t="e">
        <f>G177</f>
        <v>#REF!</v>
      </c>
    </row>
    <row r="177" spans="1:7" ht="63">
      <c r="A177" s="31" t="s">
        <v>313</v>
      </c>
      <c r="B177" s="42" t="s">
        <v>487</v>
      </c>
      <c r="C177" s="42" t="s">
        <v>305</v>
      </c>
      <c r="D177" s="42" t="s">
        <v>254</v>
      </c>
      <c r="E177" s="42" t="s">
        <v>314</v>
      </c>
      <c r="F177" s="42"/>
      <c r="G177" s="11" t="e">
        <f>G178</f>
        <v>#REF!</v>
      </c>
    </row>
    <row r="178" spans="1:7" ht="26.25" customHeight="1">
      <c r="A178" s="31" t="s">
        <v>315</v>
      </c>
      <c r="B178" s="42" t="s">
        <v>487</v>
      </c>
      <c r="C178" s="42" t="s">
        <v>305</v>
      </c>
      <c r="D178" s="42" t="s">
        <v>254</v>
      </c>
      <c r="E178" s="42" t="s">
        <v>316</v>
      </c>
      <c r="F178" s="42"/>
      <c r="G178" s="11" t="e">
        <f>#REF!</f>
        <v>#REF!</v>
      </c>
    </row>
    <row r="179" spans="1:7" ht="47.25">
      <c r="A179" s="31" t="s">
        <v>445</v>
      </c>
      <c r="B179" s="42" t="s">
        <v>473</v>
      </c>
      <c r="C179" s="42" t="s">
        <v>305</v>
      </c>
      <c r="D179" s="42" t="s">
        <v>254</v>
      </c>
      <c r="E179" s="42"/>
      <c r="F179" s="42" t="s">
        <v>696</v>
      </c>
      <c r="G179" s="11" t="e">
        <f>G141</f>
        <v>#REF!</v>
      </c>
    </row>
    <row r="180" spans="1:7" ht="31.5" hidden="1">
      <c r="A180" s="31" t="s">
        <v>325</v>
      </c>
      <c r="B180" s="42" t="s">
        <v>656</v>
      </c>
      <c r="C180" s="42" t="s">
        <v>305</v>
      </c>
      <c r="D180" s="42" t="s">
        <v>254</v>
      </c>
      <c r="E180" s="42"/>
      <c r="F180" s="42"/>
      <c r="G180" s="11">
        <f>G181</f>
        <v>0</v>
      </c>
    </row>
    <row r="181" spans="1:7" ht="63" hidden="1">
      <c r="A181" s="31" t="s">
        <v>313</v>
      </c>
      <c r="B181" s="42" t="s">
        <v>656</v>
      </c>
      <c r="C181" s="42" t="s">
        <v>305</v>
      </c>
      <c r="D181" s="42" t="s">
        <v>254</v>
      </c>
      <c r="E181" s="42" t="s">
        <v>314</v>
      </c>
      <c r="F181" s="42"/>
      <c r="G181" s="11">
        <f>G182</f>
        <v>0</v>
      </c>
    </row>
    <row r="182" spans="1:7" ht="15.75" hidden="1">
      <c r="A182" s="31" t="s">
        <v>315</v>
      </c>
      <c r="B182" s="42" t="s">
        <v>656</v>
      </c>
      <c r="C182" s="42" t="s">
        <v>305</v>
      </c>
      <c r="D182" s="42" t="s">
        <v>254</v>
      </c>
      <c r="E182" s="42" t="s">
        <v>316</v>
      </c>
      <c r="F182" s="42"/>
      <c r="G182" s="11"/>
    </row>
    <row r="183" spans="1:7" ht="47.25" hidden="1">
      <c r="A183" s="31" t="s">
        <v>445</v>
      </c>
      <c r="B183" s="42" t="s">
        <v>656</v>
      </c>
      <c r="C183" s="42" t="s">
        <v>305</v>
      </c>
      <c r="D183" s="42" t="s">
        <v>254</v>
      </c>
      <c r="E183" s="42"/>
      <c r="F183" s="42" t="s">
        <v>696</v>
      </c>
      <c r="G183" s="11">
        <v>0</v>
      </c>
    </row>
    <row r="184" spans="1:7" ht="47.25" hidden="1">
      <c r="A184" s="31" t="s">
        <v>697</v>
      </c>
      <c r="B184" s="42" t="s">
        <v>657</v>
      </c>
      <c r="C184" s="42" t="s">
        <v>305</v>
      </c>
      <c r="D184" s="42" t="s">
        <v>254</v>
      </c>
      <c r="E184" s="42"/>
      <c r="F184" s="42"/>
      <c r="G184" s="11">
        <f>G185</f>
        <v>0</v>
      </c>
    </row>
    <row r="185" spans="1:7" ht="63" hidden="1">
      <c r="A185" s="31" t="s">
        <v>313</v>
      </c>
      <c r="B185" s="42" t="s">
        <v>657</v>
      </c>
      <c r="C185" s="42" t="s">
        <v>305</v>
      </c>
      <c r="D185" s="42" t="s">
        <v>254</v>
      </c>
      <c r="E185" s="42" t="s">
        <v>314</v>
      </c>
      <c r="F185" s="42"/>
      <c r="G185" s="11">
        <f>G186</f>
        <v>0</v>
      </c>
    </row>
    <row r="186" spans="1:7" ht="15.75" hidden="1">
      <c r="A186" s="31" t="s">
        <v>315</v>
      </c>
      <c r="B186" s="42" t="s">
        <v>657</v>
      </c>
      <c r="C186" s="42" t="s">
        <v>305</v>
      </c>
      <c r="D186" s="42" t="s">
        <v>254</v>
      </c>
      <c r="E186" s="42" t="s">
        <v>316</v>
      </c>
      <c r="F186" s="42"/>
      <c r="G186" s="11"/>
    </row>
    <row r="187" spans="1:7" ht="47.25" hidden="1">
      <c r="A187" s="31" t="s">
        <v>445</v>
      </c>
      <c r="B187" s="42" t="s">
        <v>657</v>
      </c>
      <c r="C187" s="42" t="s">
        <v>305</v>
      </c>
      <c r="D187" s="42" t="s">
        <v>254</v>
      </c>
      <c r="E187" s="42"/>
      <c r="F187" s="42" t="s">
        <v>696</v>
      </c>
      <c r="G187" s="11">
        <v>0</v>
      </c>
    </row>
    <row r="188" spans="1:7" ht="45.75" customHeight="1">
      <c r="A188" s="43" t="s">
        <v>488</v>
      </c>
      <c r="B188" s="8" t="s">
        <v>489</v>
      </c>
      <c r="C188" s="8"/>
      <c r="D188" s="8"/>
      <c r="E188" s="8"/>
      <c r="F188" s="8"/>
      <c r="G188" s="66" t="e">
        <f>G189</f>
        <v>#REF!</v>
      </c>
    </row>
    <row r="189" spans="1:7" ht="21" customHeight="1">
      <c r="A189" s="31" t="s">
        <v>304</v>
      </c>
      <c r="B189" s="42" t="s">
        <v>489</v>
      </c>
      <c r="C189" s="42" t="s">
        <v>305</v>
      </c>
      <c r="D189" s="42"/>
      <c r="E189" s="42"/>
      <c r="F189" s="42"/>
      <c r="G189" s="11" t="e">
        <f>G190</f>
        <v>#REF!</v>
      </c>
    </row>
    <row r="190" spans="1:7" ht="22.5" customHeight="1">
      <c r="A190" s="31" t="s">
        <v>306</v>
      </c>
      <c r="B190" s="42" t="s">
        <v>489</v>
      </c>
      <c r="C190" s="42" t="s">
        <v>305</v>
      </c>
      <c r="D190" s="42" t="s">
        <v>256</v>
      </c>
      <c r="E190" s="42"/>
      <c r="F190" s="42"/>
      <c r="G190" s="11" t="e">
        <f>G191</f>
        <v>#REF!</v>
      </c>
    </row>
    <row r="191" spans="1:7" ht="31.5">
      <c r="A191" s="47" t="s">
        <v>774</v>
      </c>
      <c r="B191" s="21" t="s">
        <v>775</v>
      </c>
      <c r="C191" s="42" t="s">
        <v>305</v>
      </c>
      <c r="D191" s="42" t="s">
        <v>256</v>
      </c>
      <c r="E191" s="42"/>
      <c r="F191" s="42"/>
      <c r="G191" s="11" t="e">
        <f>G192</f>
        <v>#REF!</v>
      </c>
    </row>
    <row r="192" spans="1:7" ht="63">
      <c r="A192" s="31" t="s">
        <v>313</v>
      </c>
      <c r="B192" s="21" t="s">
        <v>775</v>
      </c>
      <c r="C192" s="42" t="s">
        <v>305</v>
      </c>
      <c r="D192" s="42" t="s">
        <v>256</v>
      </c>
      <c r="E192" s="42" t="s">
        <v>314</v>
      </c>
      <c r="F192" s="42"/>
      <c r="G192" s="11" t="e">
        <f>G193</f>
        <v>#REF!</v>
      </c>
    </row>
    <row r="193" spans="1:8" ht="15.75">
      <c r="A193" s="31" t="s">
        <v>315</v>
      </c>
      <c r="B193" s="21" t="s">
        <v>775</v>
      </c>
      <c r="C193" s="42" t="s">
        <v>305</v>
      </c>
      <c r="D193" s="42" t="s">
        <v>256</v>
      </c>
      <c r="E193" s="42" t="s">
        <v>316</v>
      </c>
      <c r="F193" s="42"/>
      <c r="G193" s="11" t="e">
        <f>#REF!</f>
        <v>#REF!</v>
      </c>
      <c r="H193" s="134"/>
    </row>
    <row r="194" spans="1:7" ht="47.25">
      <c r="A194" s="31" t="s">
        <v>445</v>
      </c>
      <c r="B194" s="21" t="s">
        <v>775</v>
      </c>
      <c r="C194" s="42" t="s">
        <v>305</v>
      </c>
      <c r="D194" s="42" t="s">
        <v>256</v>
      </c>
      <c r="E194" s="42"/>
      <c r="F194" s="42" t="s">
        <v>696</v>
      </c>
      <c r="G194" s="11" t="e">
        <f>G189</f>
        <v>#REF!</v>
      </c>
    </row>
    <row r="195" spans="1:7" ht="47.25" hidden="1">
      <c r="A195" s="31" t="s">
        <v>698</v>
      </c>
      <c r="B195" s="42" t="s">
        <v>658</v>
      </c>
      <c r="C195" s="42" t="s">
        <v>305</v>
      </c>
      <c r="D195" s="42" t="s">
        <v>254</v>
      </c>
      <c r="E195" s="42"/>
      <c r="F195" s="42"/>
      <c r="G195" s="11">
        <f>G199</f>
        <v>0</v>
      </c>
    </row>
    <row r="196" spans="1:7" ht="63" hidden="1">
      <c r="A196" s="31" t="s">
        <v>313</v>
      </c>
      <c r="B196" s="42" t="s">
        <v>658</v>
      </c>
      <c r="C196" s="42" t="s">
        <v>510</v>
      </c>
      <c r="D196" s="42" t="s">
        <v>699</v>
      </c>
      <c r="E196" s="42" t="s">
        <v>314</v>
      </c>
      <c r="F196" s="42"/>
      <c r="G196" s="11">
        <f>G197</f>
        <v>0</v>
      </c>
    </row>
    <row r="197" spans="1:7" ht="15.75" hidden="1">
      <c r="A197" s="31" t="s">
        <v>315</v>
      </c>
      <c r="B197" s="42" t="s">
        <v>658</v>
      </c>
      <c r="C197" s="42" t="s">
        <v>510</v>
      </c>
      <c r="D197" s="42" t="s">
        <v>699</v>
      </c>
      <c r="E197" s="42" t="s">
        <v>316</v>
      </c>
      <c r="F197" s="42"/>
      <c r="G197" s="11">
        <f>G198</f>
        <v>0</v>
      </c>
    </row>
    <row r="198" spans="1:7" ht="31.5" hidden="1">
      <c r="A198" s="31" t="s">
        <v>649</v>
      </c>
      <c r="B198" s="42" t="s">
        <v>658</v>
      </c>
      <c r="C198" s="42" t="s">
        <v>510</v>
      </c>
      <c r="D198" s="42" t="s">
        <v>699</v>
      </c>
      <c r="E198" s="42" t="s">
        <v>650</v>
      </c>
      <c r="F198" s="42"/>
      <c r="G198" s="11">
        <f>G199</f>
        <v>0</v>
      </c>
    </row>
    <row r="199" spans="1:7" ht="47.25" hidden="1">
      <c r="A199" s="31" t="s">
        <v>445</v>
      </c>
      <c r="B199" s="42" t="s">
        <v>658</v>
      </c>
      <c r="C199" s="42" t="s">
        <v>305</v>
      </c>
      <c r="D199" s="42" t="s">
        <v>254</v>
      </c>
      <c r="E199" s="42"/>
      <c r="F199" s="42" t="s">
        <v>696</v>
      </c>
      <c r="G199" s="11"/>
    </row>
    <row r="200" spans="1:7" ht="47.25" hidden="1">
      <c r="A200" s="31" t="s">
        <v>700</v>
      </c>
      <c r="B200" s="21" t="s">
        <v>490</v>
      </c>
      <c r="C200" s="42" t="s">
        <v>305</v>
      </c>
      <c r="D200" s="42" t="s">
        <v>254</v>
      </c>
      <c r="E200" s="42"/>
      <c r="F200" s="42"/>
      <c r="G200" s="11">
        <f>G201</f>
        <v>0</v>
      </c>
    </row>
    <row r="201" spans="1:7" ht="31.5" hidden="1">
      <c r="A201" s="31" t="s">
        <v>321</v>
      </c>
      <c r="B201" s="21" t="s">
        <v>490</v>
      </c>
      <c r="C201" s="42" t="s">
        <v>305</v>
      </c>
      <c r="D201" s="42" t="s">
        <v>254</v>
      </c>
      <c r="E201" s="42" t="s">
        <v>314</v>
      </c>
      <c r="F201" s="42"/>
      <c r="G201" s="11">
        <f>G202</f>
        <v>0</v>
      </c>
    </row>
    <row r="202" spans="1:7" ht="15.75" hidden="1">
      <c r="A202" s="31" t="s">
        <v>315</v>
      </c>
      <c r="B202" s="21" t="s">
        <v>490</v>
      </c>
      <c r="C202" s="42" t="s">
        <v>305</v>
      </c>
      <c r="D202" s="42" t="s">
        <v>254</v>
      </c>
      <c r="E202" s="42" t="s">
        <v>316</v>
      </c>
      <c r="F202" s="42"/>
      <c r="G202" s="11"/>
    </row>
    <row r="203" spans="1:7" ht="31.5" hidden="1">
      <c r="A203" s="31" t="s">
        <v>649</v>
      </c>
      <c r="B203" s="21" t="s">
        <v>490</v>
      </c>
      <c r="C203" s="42" t="s">
        <v>305</v>
      </c>
      <c r="D203" s="42" t="s">
        <v>254</v>
      </c>
      <c r="E203" s="42" t="s">
        <v>650</v>
      </c>
      <c r="F203" s="42"/>
      <c r="G203" s="11"/>
    </row>
    <row r="204" spans="1:7" ht="47.25" hidden="1">
      <c r="A204" s="31" t="s">
        <v>445</v>
      </c>
      <c r="B204" s="21" t="s">
        <v>490</v>
      </c>
      <c r="C204" s="42" t="s">
        <v>305</v>
      </c>
      <c r="D204" s="42" t="s">
        <v>254</v>
      </c>
      <c r="E204" s="42"/>
      <c r="F204" s="42" t="s">
        <v>696</v>
      </c>
      <c r="G204" s="7">
        <f>G200</f>
        <v>0</v>
      </c>
    </row>
    <row r="205" spans="1:7" ht="47.25" hidden="1">
      <c r="A205" s="31" t="s">
        <v>655</v>
      </c>
      <c r="B205" s="42" t="s">
        <v>491</v>
      </c>
      <c r="C205" s="42" t="s">
        <v>305</v>
      </c>
      <c r="D205" s="42" t="s">
        <v>254</v>
      </c>
      <c r="E205" s="42"/>
      <c r="F205" s="42"/>
      <c r="G205" s="11">
        <f>G206</f>
        <v>0</v>
      </c>
    </row>
    <row r="206" spans="1:7" ht="63" hidden="1">
      <c r="A206" s="31" t="s">
        <v>313</v>
      </c>
      <c r="B206" s="42" t="s">
        <v>491</v>
      </c>
      <c r="C206" s="42" t="s">
        <v>305</v>
      </c>
      <c r="D206" s="42" t="s">
        <v>254</v>
      </c>
      <c r="E206" s="42" t="s">
        <v>314</v>
      </c>
      <c r="F206" s="42"/>
      <c r="G206" s="11">
        <f>G207</f>
        <v>0</v>
      </c>
    </row>
    <row r="207" spans="1:7" ht="15.75" hidden="1">
      <c r="A207" s="31" t="s">
        <v>315</v>
      </c>
      <c r="B207" s="42" t="s">
        <v>491</v>
      </c>
      <c r="C207" s="42" t="s">
        <v>305</v>
      </c>
      <c r="D207" s="42" t="s">
        <v>254</v>
      </c>
      <c r="E207" s="42" t="s">
        <v>316</v>
      </c>
      <c r="F207" s="42" t="s">
        <v>696</v>
      </c>
      <c r="G207" s="11"/>
    </row>
    <row r="208" spans="1:7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509</v>
      </c>
      <c r="B210" s="8" t="s">
        <v>511</v>
      </c>
      <c r="C210" s="8"/>
      <c r="D210" s="8"/>
      <c r="E210" s="8"/>
      <c r="F210" s="8"/>
      <c r="G210" s="66" t="e">
        <f>G211</f>
        <v>#REF!</v>
      </c>
    </row>
    <row r="211" spans="1:7" ht="15.75">
      <c r="A211" s="31" t="s">
        <v>304</v>
      </c>
      <c r="B211" s="42" t="s">
        <v>511</v>
      </c>
      <c r="C211" s="42" t="s">
        <v>305</v>
      </c>
      <c r="D211" s="42"/>
      <c r="E211" s="42"/>
      <c r="F211" s="42"/>
      <c r="G211" s="11" t="e">
        <f>G212</f>
        <v>#REF!</v>
      </c>
    </row>
    <row r="212" spans="1:7" ht="31.5">
      <c r="A212" s="31" t="s">
        <v>508</v>
      </c>
      <c r="B212" s="42" t="s">
        <v>511</v>
      </c>
      <c r="C212" s="42" t="s">
        <v>305</v>
      </c>
      <c r="D212" s="42" t="s">
        <v>305</v>
      </c>
      <c r="E212" s="42"/>
      <c r="F212" s="42"/>
      <c r="G212" s="11" t="e">
        <f>G213</f>
        <v>#REF!</v>
      </c>
    </row>
    <row r="213" spans="1:7" ht="47.25">
      <c r="A213" s="26" t="s">
        <v>662</v>
      </c>
      <c r="B213" s="21" t="s">
        <v>513</v>
      </c>
      <c r="C213" s="42" t="s">
        <v>305</v>
      </c>
      <c r="D213" s="42" t="s">
        <v>305</v>
      </c>
      <c r="E213" s="42"/>
      <c r="F213" s="42"/>
      <c r="G213" s="11" t="e">
        <f>G214</f>
        <v>#REF!</v>
      </c>
    </row>
    <row r="214" spans="1:7" ht="63">
      <c r="A214" s="31" t="s">
        <v>313</v>
      </c>
      <c r="B214" s="21" t="s">
        <v>513</v>
      </c>
      <c r="C214" s="42" t="s">
        <v>305</v>
      </c>
      <c r="D214" s="42" t="s">
        <v>305</v>
      </c>
      <c r="E214" s="42" t="s">
        <v>314</v>
      </c>
      <c r="F214" s="42"/>
      <c r="G214" s="11" t="e">
        <f>G215</f>
        <v>#REF!</v>
      </c>
    </row>
    <row r="215" spans="1:7" ht="15.75">
      <c r="A215" s="31" t="s">
        <v>315</v>
      </c>
      <c r="B215" s="21" t="s">
        <v>513</v>
      </c>
      <c r="C215" s="42" t="s">
        <v>305</v>
      </c>
      <c r="D215" s="42" t="s">
        <v>305</v>
      </c>
      <c r="E215" s="42" t="s">
        <v>316</v>
      </c>
      <c r="F215" s="42"/>
      <c r="G215" s="11" t="e">
        <f>#REF!</f>
        <v>#REF!</v>
      </c>
    </row>
    <row r="216" spans="1:7" ht="47.25">
      <c r="A216" s="31" t="s">
        <v>445</v>
      </c>
      <c r="B216" s="21" t="s">
        <v>511</v>
      </c>
      <c r="C216" s="42" t="s">
        <v>305</v>
      </c>
      <c r="D216" s="42" t="s">
        <v>305</v>
      </c>
      <c r="E216" s="42"/>
      <c r="F216" s="42" t="s">
        <v>696</v>
      </c>
      <c r="G216" s="11" t="e">
        <f>G210</f>
        <v>#REF!</v>
      </c>
    </row>
    <row r="217" spans="1:7" ht="78.75">
      <c r="A217" s="63" t="s">
        <v>196</v>
      </c>
      <c r="B217" s="201" t="s">
        <v>197</v>
      </c>
      <c r="C217" s="8"/>
      <c r="D217" s="201"/>
      <c r="E217" s="201"/>
      <c r="F217" s="201"/>
      <c r="G217" s="66" t="e">
        <f>G220</f>
        <v>#REF!</v>
      </c>
    </row>
    <row r="218" spans="1:7" ht="15.75">
      <c r="A218" s="47" t="s">
        <v>158</v>
      </c>
      <c r="B218" s="6" t="s">
        <v>197</v>
      </c>
      <c r="C218" s="42" t="s">
        <v>159</v>
      </c>
      <c r="D218" s="6"/>
      <c r="E218" s="6"/>
      <c r="F218" s="6"/>
      <c r="G218" s="11" t="e">
        <f>G219</f>
        <v>#REF!</v>
      </c>
    </row>
    <row r="219" spans="1:7" ht="31.5">
      <c r="A219" s="77" t="s">
        <v>180</v>
      </c>
      <c r="B219" s="76" t="s">
        <v>197</v>
      </c>
      <c r="C219" s="42" t="s">
        <v>159</v>
      </c>
      <c r="D219" s="76">
        <v>13</v>
      </c>
      <c r="E219" s="76"/>
      <c r="F219" s="76"/>
      <c r="G219" s="11" t="e">
        <f>G220</f>
        <v>#REF!</v>
      </c>
    </row>
    <row r="220" spans="1:7" ht="47.25">
      <c r="A220" s="31" t="s">
        <v>198</v>
      </c>
      <c r="B220" s="76" t="s">
        <v>199</v>
      </c>
      <c r="C220" s="42" t="s">
        <v>159</v>
      </c>
      <c r="D220" s="42" t="s">
        <v>181</v>
      </c>
      <c r="E220" s="42"/>
      <c r="F220" s="42"/>
      <c r="G220" s="11" t="e">
        <f>G221</f>
        <v>#REF!</v>
      </c>
    </row>
    <row r="221" spans="1:7" ht="47.25">
      <c r="A221" s="31" t="s">
        <v>172</v>
      </c>
      <c r="B221" s="76" t="s">
        <v>199</v>
      </c>
      <c r="C221" s="42" t="s">
        <v>159</v>
      </c>
      <c r="D221" s="42" t="s">
        <v>181</v>
      </c>
      <c r="E221" s="42" t="s">
        <v>186</v>
      </c>
      <c r="F221" s="42"/>
      <c r="G221" s="11" t="e">
        <f>G222</f>
        <v>#REF!</v>
      </c>
    </row>
    <row r="222" spans="1:7" ht="78.75">
      <c r="A222" s="31" t="s">
        <v>225</v>
      </c>
      <c r="B222" s="76" t="s">
        <v>199</v>
      </c>
      <c r="C222" s="42" t="s">
        <v>159</v>
      </c>
      <c r="D222" s="42" t="s">
        <v>181</v>
      </c>
      <c r="E222" s="42" t="s">
        <v>201</v>
      </c>
      <c r="F222" s="42"/>
      <c r="G222" s="11" t="e">
        <f>#REF!</f>
        <v>#REF!</v>
      </c>
    </row>
    <row r="223" spans="1:7" ht="31.5">
      <c r="A223" s="31" t="s">
        <v>189</v>
      </c>
      <c r="B223" s="76" t="s">
        <v>197</v>
      </c>
      <c r="C223" s="42" t="s">
        <v>159</v>
      </c>
      <c r="D223" s="42" t="s">
        <v>181</v>
      </c>
      <c r="E223" s="42"/>
      <c r="F223" s="42" t="s">
        <v>701</v>
      </c>
      <c r="G223" s="11" t="e">
        <f>G217</f>
        <v>#REF!</v>
      </c>
    </row>
    <row r="224" spans="1:7" ht="73.5" customHeight="1">
      <c r="A224" s="43" t="s">
        <v>202</v>
      </c>
      <c r="B224" s="201" t="s">
        <v>203</v>
      </c>
      <c r="C224" s="8"/>
      <c r="D224" s="8"/>
      <c r="E224" s="8"/>
      <c r="F224" s="8"/>
      <c r="G224" s="66" t="e">
        <f>G225</f>
        <v>#REF!</v>
      </c>
    </row>
    <row r="225" spans="1:7" ht="15.75">
      <c r="A225" s="47" t="s">
        <v>158</v>
      </c>
      <c r="B225" s="6" t="s">
        <v>203</v>
      </c>
      <c r="C225" s="42" t="s">
        <v>159</v>
      </c>
      <c r="D225" s="6"/>
      <c r="E225" s="6"/>
      <c r="F225" s="42"/>
      <c r="G225" s="11" t="e">
        <f>G226</f>
        <v>#REF!</v>
      </c>
    </row>
    <row r="226" spans="1:7" ht="31.5">
      <c r="A226" s="77" t="s">
        <v>180</v>
      </c>
      <c r="B226" s="76" t="s">
        <v>203</v>
      </c>
      <c r="C226" s="42" t="s">
        <v>159</v>
      </c>
      <c r="D226" s="76">
        <v>13</v>
      </c>
      <c r="E226" s="76"/>
      <c r="F226" s="42"/>
      <c r="G226" s="11" t="e">
        <f>G227+G230+G235+G238</f>
        <v>#REF!</v>
      </c>
    </row>
    <row r="227" spans="1:7" ht="31.5">
      <c r="A227" s="31" t="s">
        <v>204</v>
      </c>
      <c r="B227" s="42" t="s">
        <v>205</v>
      </c>
      <c r="C227" s="42" t="s">
        <v>159</v>
      </c>
      <c r="D227" s="42" t="s">
        <v>181</v>
      </c>
      <c r="E227" s="42"/>
      <c r="F227" s="42"/>
      <c r="G227" s="11" t="e">
        <f>G228</f>
        <v>#REF!</v>
      </c>
    </row>
    <row r="228" spans="1:7" ht="47.25">
      <c r="A228" s="31" t="s">
        <v>172</v>
      </c>
      <c r="B228" s="42" t="s">
        <v>205</v>
      </c>
      <c r="C228" s="42" t="s">
        <v>159</v>
      </c>
      <c r="D228" s="42" t="s">
        <v>181</v>
      </c>
      <c r="E228" s="42" t="s">
        <v>173</v>
      </c>
      <c r="F228" s="42"/>
      <c r="G228" s="11" t="e">
        <f>G229</f>
        <v>#REF!</v>
      </c>
    </row>
    <row r="229" spans="1:7" ht="47.25">
      <c r="A229" s="31" t="s">
        <v>174</v>
      </c>
      <c r="B229" s="42" t="s">
        <v>205</v>
      </c>
      <c r="C229" s="42" t="s">
        <v>159</v>
      </c>
      <c r="D229" s="42" t="s">
        <v>181</v>
      </c>
      <c r="E229" s="42" t="s">
        <v>175</v>
      </c>
      <c r="F229" s="42"/>
      <c r="G229" s="11" t="e">
        <f>#REF!</f>
        <v>#REF!</v>
      </c>
    </row>
    <row r="230" spans="1:7" ht="78.75">
      <c r="A230" s="119" t="s">
        <v>206</v>
      </c>
      <c r="B230" s="42" t="s">
        <v>207</v>
      </c>
      <c r="C230" s="42" t="s">
        <v>159</v>
      </c>
      <c r="D230" s="42" t="s">
        <v>181</v>
      </c>
      <c r="E230" s="42"/>
      <c r="F230" s="42"/>
      <c r="G230" s="11" t="e">
        <f>G231+G233</f>
        <v>#REF!</v>
      </c>
    </row>
    <row r="231" spans="1:7" ht="110.25">
      <c r="A231" s="31" t="s">
        <v>168</v>
      </c>
      <c r="B231" s="42" t="s">
        <v>207</v>
      </c>
      <c r="C231" s="42" t="s">
        <v>159</v>
      </c>
      <c r="D231" s="42" t="s">
        <v>181</v>
      </c>
      <c r="E231" s="42" t="s">
        <v>169</v>
      </c>
      <c r="F231" s="42"/>
      <c r="G231" s="11" t="e">
        <f>G232</f>
        <v>#REF!</v>
      </c>
    </row>
    <row r="232" spans="1:7" ht="47.25">
      <c r="A232" s="31" t="s">
        <v>170</v>
      </c>
      <c r="B232" s="42" t="s">
        <v>207</v>
      </c>
      <c r="C232" s="42" t="s">
        <v>159</v>
      </c>
      <c r="D232" s="42" t="s">
        <v>181</v>
      </c>
      <c r="E232" s="42" t="s">
        <v>171</v>
      </c>
      <c r="F232" s="42"/>
      <c r="G232" s="11" t="e">
        <f>#REF!</f>
        <v>#REF!</v>
      </c>
    </row>
    <row r="233" spans="1:7" ht="47.25">
      <c r="A233" s="31" t="s">
        <v>172</v>
      </c>
      <c r="B233" s="42" t="s">
        <v>207</v>
      </c>
      <c r="C233" s="42" t="s">
        <v>159</v>
      </c>
      <c r="D233" s="42" t="s">
        <v>181</v>
      </c>
      <c r="E233" s="42" t="s">
        <v>173</v>
      </c>
      <c r="F233" s="42"/>
      <c r="G233" s="11" t="e">
        <f>G234</f>
        <v>#REF!</v>
      </c>
    </row>
    <row r="234" spans="1:7" ht="47.25">
      <c r="A234" s="31" t="s">
        <v>174</v>
      </c>
      <c r="B234" s="42" t="s">
        <v>207</v>
      </c>
      <c r="C234" s="42" t="s">
        <v>159</v>
      </c>
      <c r="D234" s="42" t="s">
        <v>181</v>
      </c>
      <c r="E234" s="42" t="s">
        <v>175</v>
      </c>
      <c r="F234" s="42"/>
      <c r="G234" s="11" t="e">
        <f>#REF!</f>
        <v>#REF!</v>
      </c>
    </row>
    <row r="235" spans="1:7" ht="63">
      <c r="A235" s="33" t="s">
        <v>760</v>
      </c>
      <c r="B235" s="42" t="s">
        <v>761</v>
      </c>
      <c r="C235" s="42" t="s">
        <v>159</v>
      </c>
      <c r="D235" s="42" t="s">
        <v>181</v>
      </c>
      <c r="E235" s="42"/>
      <c r="F235" s="42"/>
      <c r="G235" s="11" t="e">
        <f>G236</f>
        <v>#REF!</v>
      </c>
    </row>
    <row r="236" spans="1:7" ht="47.25">
      <c r="A236" s="26" t="s">
        <v>172</v>
      </c>
      <c r="B236" s="42" t="s">
        <v>761</v>
      </c>
      <c r="C236" s="42" t="s">
        <v>159</v>
      </c>
      <c r="D236" s="42" t="s">
        <v>181</v>
      </c>
      <c r="E236" s="42" t="s">
        <v>173</v>
      </c>
      <c r="F236" s="42"/>
      <c r="G236" s="11" t="e">
        <f>G237</f>
        <v>#REF!</v>
      </c>
    </row>
    <row r="237" spans="1:7" ht="47.25">
      <c r="A237" s="26" t="s">
        <v>174</v>
      </c>
      <c r="B237" s="42" t="s">
        <v>761</v>
      </c>
      <c r="C237" s="42" t="s">
        <v>159</v>
      </c>
      <c r="D237" s="42" t="s">
        <v>181</v>
      </c>
      <c r="E237" s="42" t="s">
        <v>175</v>
      </c>
      <c r="F237" s="42"/>
      <c r="G237" s="11" t="e">
        <f>#REF!</f>
        <v>#REF!</v>
      </c>
    </row>
    <row r="238" spans="1:7" ht="63">
      <c r="A238" s="35" t="s">
        <v>232</v>
      </c>
      <c r="B238" s="42" t="s">
        <v>747</v>
      </c>
      <c r="C238" s="42" t="s">
        <v>159</v>
      </c>
      <c r="D238" s="42" t="s">
        <v>181</v>
      </c>
      <c r="E238" s="42"/>
      <c r="F238" s="42"/>
      <c r="G238" s="11" t="e">
        <f>G239</f>
        <v>#REF!</v>
      </c>
    </row>
    <row r="239" spans="1:7" ht="47.25">
      <c r="A239" s="26" t="s">
        <v>172</v>
      </c>
      <c r="B239" s="42" t="s">
        <v>747</v>
      </c>
      <c r="C239" s="42" t="s">
        <v>159</v>
      </c>
      <c r="D239" s="42" t="s">
        <v>181</v>
      </c>
      <c r="E239" s="42" t="s">
        <v>173</v>
      </c>
      <c r="F239" s="42"/>
      <c r="G239" s="11" t="e">
        <f>G240</f>
        <v>#REF!</v>
      </c>
    </row>
    <row r="240" spans="1:7" ht="47.25">
      <c r="A240" s="26" t="s">
        <v>174</v>
      </c>
      <c r="B240" s="42" t="s">
        <v>747</v>
      </c>
      <c r="C240" s="42" t="s">
        <v>159</v>
      </c>
      <c r="D240" s="42" t="s">
        <v>181</v>
      </c>
      <c r="E240" s="42" t="s">
        <v>175</v>
      </c>
      <c r="F240" s="42"/>
      <c r="G240" s="11" t="e">
        <f>#REF!</f>
        <v>#REF!</v>
      </c>
    </row>
    <row r="241" spans="1:7" ht="31.5">
      <c r="A241" s="31" t="s">
        <v>189</v>
      </c>
      <c r="B241" s="42" t="s">
        <v>203</v>
      </c>
      <c r="C241" s="42" t="s">
        <v>159</v>
      </c>
      <c r="D241" s="42" t="s">
        <v>181</v>
      </c>
      <c r="E241" s="42"/>
      <c r="F241" s="42" t="s">
        <v>701</v>
      </c>
      <c r="G241" s="11" t="e">
        <f>G224</f>
        <v>#REF!</v>
      </c>
    </row>
    <row r="242" spans="1:7" ht="94.5">
      <c r="A242" s="43" t="s">
        <v>294</v>
      </c>
      <c r="B242" s="201" t="s">
        <v>295</v>
      </c>
      <c r="C242" s="42"/>
      <c r="D242" s="42"/>
      <c r="E242" s="42"/>
      <c r="F242" s="42"/>
      <c r="G242" s="66" t="e">
        <f>G243</f>
        <v>#REF!</v>
      </c>
    </row>
    <row r="243" spans="1:7" ht="15.75">
      <c r="A243" s="31" t="s">
        <v>284</v>
      </c>
      <c r="B243" s="6" t="s">
        <v>295</v>
      </c>
      <c r="C243" s="42" t="s">
        <v>285</v>
      </c>
      <c r="D243" s="42"/>
      <c r="E243" s="42"/>
      <c r="F243" s="42"/>
      <c r="G243" s="11" t="e">
        <f>G244</f>
        <v>#REF!</v>
      </c>
    </row>
    <row r="244" spans="1:7" ht="22.5" customHeight="1">
      <c r="A244" s="31" t="s">
        <v>293</v>
      </c>
      <c r="B244" s="6" t="s">
        <v>295</v>
      </c>
      <c r="C244" s="42" t="s">
        <v>285</v>
      </c>
      <c r="D244" s="42" t="s">
        <v>256</v>
      </c>
      <c r="E244" s="42"/>
      <c r="F244" s="42"/>
      <c r="G244" s="11" t="e">
        <f>G245</f>
        <v>#REF!</v>
      </c>
    </row>
    <row r="245" spans="1:7" ht="47.25">
      <c r="A245" s="31" t="s">
        <v>198</v>
      </c>
      <c r="B245" s="76" t="s">
        <v>296</v>
      </c>
      <c r="C245" s="42" t="s">
        <v>285</v>
      </c>
      <c r="D245" s="42" t="s">
        <v>256</v>
      </c>
      <c r="E245" s="42"/>
      <c r="F245" s="42"/>
      <c r="G245" s="11" t="e">
        <f>G246</f>
        <v>#REF!</v>
      </c>
    </row>
    <row r="246" spans="1:7" ht="38.25" customHeight="1">
      <c r="A246" s="31" t="s">
        <v>289</v>
      </c>
      <c r="B246" s="76" t="s">
        <v>296</v>
      </c>
      <c r="C246" s="42" t="s">
        <v>285</v>
      </c>
      <c r="D246" s="42" t="s">
        <v>256</v>
      </c>
      <c r="E246" s="42" t="s">
        <v>290</v>
      </c>
      <c r="F246" s="42"/>
      <c r="G246" s="11" t="e">
        <f>G247</f>
        <v>#REF!</v>
      </c>
    </row>
    <row r="247" spans="1:7" ht="47.25">
      <c r="A247" s="31" t="s">
        <v>291</v>
      </c>
      <c r="B247" s="76" t="s">
        <v>296</v>
      </c>
      <c r="C247" s="42" t="s">
        <v>285</v>
      </c>
      <c r="D247" s="42" t="s">
        <v>256</v>
      </c>
      <c r="E247" s="42" t="s">
        <v>292</v>
      </c>
      <c r="F247" s="42"/>
      <c r="G247" s="11" t="e">
        <f>#REF!</f>
        <v>#REF!</v>
      </c>
    </row>
    <row r="248" spans="1:7" ht="31.5">
      <c r="A248" s="47" t="s">
        <v>189</v>
      </c>
      <c r="B248" s="76" t="s">
        <v>295</v>
      </c>
      <c r="C248" s="42" t="s">
        <v>285</v>
      </c>
      <c r="D248" s="42" t="s">
        <v>256</v>
      </c>
      <c r="E248" s="42"/>
      <c r="F248" s="42" t="s">
        <v>701</v>
      </c>
      <c r="G248" s="11" t="e">
        <f>G242</f>
        <v>#REF!</v>
      </c>
    </row>
    <row r="249" spans="1:7" ht="141.75">
      <c r="A249" s="43" t="s">
        <v>641</v>
      </c>
      <c r="B249" s="201" t="s">
        <v>209</v>
      </c>
      <c r="C249" s="8"/>
      <c r="D249" s="8"/>
      <c r="E249" s="8"/>
      <c r="F249" s="8"/>
      <c r="G249" s="66" t="e">
        <f>G250+G257+G264</f>
        <v>#REF!</v>
      </c>
    </row>
    <row r="250" spans="1:7" ht="110.25">
      <c r="A250" s="43" t="s">
        <v>210</v>
      </c>
      <c r="B250" s="201" t="s">
        <v>211</v>
      </c>
      <c r="C250" s="8"/>
      <c r="D250" s="8"/>
      <c r="E250" s="8"/>
      <c r="F250" s="8"/>
      <c r="G250" s="66" t="e">
        <f>G251</f>
        <v>#REF!</v>
      </c>
    </row>
    <row r="251" spans="1:7" ht="15.75">
      <c r="A251" s="47" t="s">
        <v>158</v>
      </c>
      <c r="B251" s="6" t="s">
        <v>211</v>
      </c>
      <c r="C251" s="42" t="s">
        <v>159</v>
      </c>
      <c r="D251" s="42"/>
      <c r="E251" s="42"/>
      <c r="F251" s="42"/>
      <c r="G251" s="11" t="e">
        <f>G252</f>
        <v>#REF!</v>
      </c>
    </row>
    <row r="252" spans="1:7" ht="33.75" customHeight="1">
      <c r="A252" s="77" t="s">
        <v>180</v>
      </c>
      <c r="B252" s="6" t="s">
        <v>211</v>
      </c>
      <c r="C252" s="42" t="s">
        <v>159</v>
      </c>
      <c r="D252" s="42" t="s">
        <v>181</v>
      </c>
      <c r="E252" s="42"/>
      <c r="F252" s="42"/>
      <c r="G252" s="11" t="e">
        <f>G253</f>
        <v>#REF!</v>
      </c>
    </row>
    <row r="253" spans="1:7" ht="47.25">
      <c r="A253" s="119" t="s">
        <v>212</v>
      </c>
      <c r="B253" s="6" t="s">
        <v>213</v>
      </c>
      <c r="C253" s="42" t="s">
        <v>159</v>
      </c>
      <c r="D253" s="42" t="s">
        <v>181</v>
      </c>
      <c r="E253" s="42"/>
      <c r="F253" s="42"/>
      <c r="G253" s="11" t="e">
        <f>G254</f>
        <v>#REF!</v>
      </c>
    </row>
    <row r="254" spans="1:7" ht="47.25">
      <c r="A254" s="31" t="s">
        <v>172</v>
      </c>
      <c r="B254" s="6" t="s">
        <v>213</v>
      </c>
      <c r="C254" s="42" t="s">
        <v>159</v>
      </c>
      <c r="D254" s="42" t="s">
        <v>181</v>
      </c>
      <c r="E254" s="42" t="s">
        <v>173</v>
      </c>
      <c r="F254" s="42"/>
      <c r="G254" s="11" t="e">
        <f>G255</f>
        <v>#REF!</v>
      </c>
    </row>
    <row r="255" spans="1:7" ht="47.25">
      <c r="A255" s="31" t="s">
        <v>174</v>
      </c>
      <c r="B255" s="6" t="s">
        <v>213</v>
      </c>
      <c r="C255" s="42" t="s">
        <v>159</v>
      </c>
      <c r="D255" s="42" t="s">
        <v>181</v>
      </c>
      <c r="E255" s="42" t="s">
        <v>175</v>
      </c>
      <c r="F255" s="42"/>
      <c r="G255" s="11" t="e">
        <f>#REF!</f>
        <v>#REF!</v>
      </c>
    </row>
    <row r="256" spans="1:7" ht="31.5">
      <c r="A256" s="31" t="s">
        <v>189</v>
      </c>
      <c r="B256" s="6" t="s">
        <v>211</v>
      </c>
      <c r="C256" s="42" t="s">
        <v>159</v>
      </c>
      <c r="D256" s="42" t="s">
        <v>181</v>
      </c>
      <c r="E256" s="42"/>
      <c r="F256" s="42" t="s">
        <v>701</v>
      </c>
      <c r="G256" s="7" t="e">
        <f>G250</f>
        <v>#REF!</v>
      </c>
    </row>
    <row r="257" spans="1:7" ht="94.5">
      <c r="A257" s="43" t="s">
        <v>214</v>
      </c>
      <c r="B257" s="201" t="s">
        <v>215</v>
      </c>
      <c r="C257" s="8"/>
      <c r="D257" s="8"/>
      <c r="E257" s="8"/>
      <c r="F257" s="8"/>
      <c r="G257" s="66" t="e">
        <f>G258</f>
        <v>#REF!</v>
      </c>
    </row>
    <row r="258" spans="1:7" ht="15.75">
      <c r="A258" s="47" t="s">
        <v>158</v>
      </c>
      <c r="B258" s="6" t="s">
        <v>215</v>
      </c>
      <c r="C258" s="42" t="s">
        <v>159</v>
      </c>
      <c r="D258" s="42"/>
      <c r="E258" s="42"/>
      <c r="F258" s="42"/>
      <c r="G258" s="7" t="e">
        <f>G259</f>
        <v>#REF!</v>
      </c>
    </row>
    <row r="259" spans="1:7" ht="31.5">
      <c r="A259" s="77" t="s">
        <v>180</v>
      </c>
      <c r="B259" s="6" t="s">
        <v>215</v>
      </c>
      <c r="C259" s="42" t="s">
        <v>159</v>
      </c>
      <c r="D259" s="42" t="s">
        <v>181</v>
      </c>
      <c r="E259" s="42"/>
      <c r="F259" s="42"/>
      <c r="G259" s="7" t="e">
        <f>G260</f>
        <v>#REF!</v>
      </c>
    </row>
    <row r="260" spans="1:7" ht="31.5">
      <c r="A260" s="47" t="s">
        <v>216</v>
      </c>
      <c r="B260" s="6" t="s">
        <v>217</v>
      </c>
      <c r="C260" s="10" t="s">
        <v>159</v>
      </c>
      <c r="D260" s="10" t="s">
        <v>181</v>
      </c>
      <c r="E260" s="10"/>
      <c r="F260" s="27"/>
      <c r="G260" s="27" t="e">
        <f>G261</f>
        <v>#REF!</v>
      </c>
    </row>
    <row r="261" spans="1:7" ht="47.25">
      <c r="A261" s="26" t="s">
        <v>172</v>
      </c>
      <c r="B261" s="6" t="s">
        <v>217</v>
      </c>
      <c r="C261" s="10" t="s">
        <v>159</v>
      </c>
      <c r="D261" s="10" t="s">
        <v>181</v>
      </c>
      <c r="E261" s="10" t="s">
        <v>173</v>
      </c>
      <c r="F261" s="27"/>
      <c r="G261" s="27" t="e">
        <f>G262</f>
        <v>#REF!</v>
      </c>
    </row>
    <row r="262" spans="1:7" ht="47.25">
      <c r="A262" s="26" t="s">
        <v>174</v>
      </c>
      <c r="B262" s="6" t="s">
        <v>217</v>
      </c>
      <c r="C262" s="10" t="s">
        <v>159</v>
      </c>
      <c r="D262" s="10" t="s">
        <v>181</v>
      </c>
      <c r="E262" s="10" t="s">
        <v>175</v>
      </c>
      <c r="F262" s="27"/>
      <c r="G262" s="27" t="e">
        <f>#REF!</f>
        <v>#REF!</v>
      </c>
    </row>
    <row r="263" spans="1:7" ht="31.5">
      <c r="A263" s="31" t="s">
        <v>189</v>
      </c>
      <c r="B263" s="6" t="s">
        <v>215</v>
      </c>
      <c r="C263" s="42" t="s">
        <v>159</v>
      </c>
      <c r="D263" s="42" t="s">
        <v>181</v>
      </c>
      <c r="E263" s="42"/>
      <c r="F263" s="42" t="s">
        <v>701</v>
      </c>
      <c r="G263" s="7" t="e">
        <f>G257</f>
        <v>#REF!</v>
      </c>
    </row>
    <row r="264" spans="1:7" ht="63">
      <c r="A264" s="24" t="s">
        <v>218</v>
      </c>
      <c r="B264" s="201" t="s">
        <v>219</v>
      </c>
      <c r="C264" s="8"/>
      <c r="D264" s="8"/>
      <c r="E264" s="8"/>
      <c r="F264" s="8"/>
      <c r="G264" s="66" t="e">
        <f>G265</f>
        <v>#REF!</v>
      </c>
    </row>
    <row r="265" spans="1:7" ht="15.75">
      <c r="A265" s="47" t="s">
        <v>158</v>
      </c>
      <c r="B265" s="6" t="s">
        <v>219</v>
      </c>
      <c r="C265" s="42" t="s">
        <v>159</v>
      </c>
      <c r="D265" s="42"/>
      <c r="E265" s="42"/>
      <c r="F265" s="42"/>
      <c r="G265" s="11" t="e">
        <f>G266</f>
        <v>#REF!</v>
      </c>
    </row>
    <row r="266" spans="1:7" ht="31.5">
      <c r="A266" s="77" t="s">
        <v>180</v>
      </c>
      <c r="B266" s="6" t="s">
        <v>219</v>
      </c>
      <c r="C266" s="42" t="s">
        <v>159</v>
      </c>
      <c r="D266" s="42" t="s">
        <v>181</v>
      </c>
      <c r="E266" s="42"/>
      <c r="F266" s="42"/>
      <c r="G266" s="11" t="e">
        <f>G267</f>
        <v>#REF!</v>
      </c>
    </row>
    <row r="267" spans="1:7" ht="32.25" customHeight="1">
      <c r="A267" s="47" t="s">
        <v>220</v>
      </c>
      <c r="B267" s="6" t="s">
        <v>221</v>
      </c>
      <c r="C267" s="42" t="s">
        <v>159</v>
      </c>
      <c r="D267" s="42" t="s">
        <v>181</v>
      </c>
      <c r="E267" s="42"/>
      <c r="F267" s="42"/>
      <c r="G267" s="11" t="e">
        <f>G268</f>
        <v>#REF!</v>
      </c>
    </row>
    <row r="268" spans="1:7" ht="47.25">
      <c r="A268" s="31" t="s">
        <v>172</v>
      </c>
      <c r="B268" s="6" t="s">
        <v>221</v>
      </c>
      <c r="C268" s="42" t="s">
        <v>159</v>
      </c>
      <c r="D268" s="42" t="s">
        <v>181</v>
      </c>
      <c r="E268" s="42" t="s">
        <v>173</v>
      </c>
      <c r="F268" s="42"/>
      <c r="G268" s="11" t="e">
        <f>G269</f>
        <v>#REF!</v>
      </c>
    </row>
    <row r="269" spans="1:7" ht="47.25">
      <c r="A269" s="31" t="s">
        <v>174</v>
      </c>
      <c r="B269" s="6" t="s">
        <v>221</v>
      </c>
      <c r="C269" s="42" t="s">
        <v>159</v>
      </c>
      <c r="D269" s="42" t="s">
        <v>181</v>
      </c>
      <c r="E269" s="42" t="s">
        <v>175</v>
      </c>
      <c r="F269" s="42"/>
      <c r="G269" s="11" t="e">
        <f>#REF!</f>
        <v>#REF!</v>
      </c>
    </row>
    <row r="270" spans="1:7" ht="31.5">
      <c r="A270" s="31" t="s">
        <v>189</v>
      </c>
      <c r="B270" s="6" t="s">
        <v>219</v>
      </c>
      <c r="C270" s="42" t="s">
        <v>159</v>
      </c>
      <c r="D270" s="42" t="s">
        <v>181</v>
      </c>
      <c r="E270" s="42"/>
      <c r="F270" s="42" t="s">
        <v>701</v>
      </c>
      <c r="G270" s="11" t="e">
        <f>G264</f>
        <v>#REF!</v>
      </c>
    </row>
    <row r="271" spans="1:7" ht="69" customHeight="1">
      <c r="A271" s="43" t="s">
        <v>523</v>
      </c>
      <c r="B271" s="3" t="s">
        <v>524</v>
      </c>
      <c r="C271" s="78"/>
      <c r="D271" s="78"/>
      <c r="E271" s="78"/>
      <c r="F271" s="78"/>
      <c r="G271" s="4" t="e">
        <f>G273+G294+G317</f>
        <v>#REF!</v>
      </c>
    </row>
    <row r="272" spans="1:7" ht="94.5">
      <c r="A272" s="43" t="s">
        <v>702</v>
      </c>
      <c r="B272" s="3" t="s">
        <v>526</v>
      </c>
      <c r="C272" s="79"/>
      <c r="D272" s="79"/>
      <c r="E272" s="79"/>
      <c r="F272" s="79"/>
      <c r="G272" s="66" t="e">
        <f>G273</f>
        <v>#REF!</v>
      </c>
    </row>
    <row r="273" spans="1:7" ht="15.75">
      <c r="A273" s="31" t="s">
        <v>304</v>
      </c>
      <c r="B273" s="42" t="s">
        <v>526</v>
      </c>
      <c r="C273" s="42" t="s">
        <v>305</v>
      </c>
      <c r="D273" s="78"/>
      <c r="E273" s="78"/>
      <c r="F273" s="78"/>
      <c r="G273" s="11" t="e">
        <f>G274</f>
        <v>#REF!</v>
      </c>
    </row>
    <row r="274" spans="1:7" ht="15.75">
      <c r="A274" s="31" t="s">
        <v>306</v>
      </c>
      <c r="B274" s="42" t="s">
        <v>526</v>
      </c>
      <c r="C274" s="42" t="s">
        <v>305</v>
      </c>
      <c r="D274" s="42" t="s">
        <v>256</v>
      </c>
      <c r="E274" s="78"/>
      <c r="F274" s="78"/>
      <c r="G274" s="11" t="e">
        <f>G275+G290</f>
        <v>#REF!</v>
      </c>
    </row>
    <row r="275" spans="1:7" ht="63">
      <c r="A275" s="31" t="s">
        <v>311</v>
      </c>
      <c r="B275" s="42" t="s">
        <v>527</v>
      </c>
      <c r="C275" s="42" t="s">
        <v>305</v>
      </c>
      <c r="D275" s="42" t="s">
        <v>256</v>
      </c>
      <c r="E275" s="78"/>
      <c r="F275" s="78"/>
      <c r="G275" s="11" t="e">
        <f>G276</f>
        <v>#REF!</v>
      </c>
    </row>
    <row r="276" spans="1:7" ht="63">
      <c r="A276" s="31" t="s">
        <v>313</v>
      </c>
      <c r="B276" s="42" t="s">
        <v>527</v>
      </c>
      <c r="C276" s="42" t="s">
        <v>305</v>
      </c>
      <c r="D276" s="42" t="s">
        <v>256</v>
      </c>
      <c r="E276" s="42" t="s">
        <v>314</v>
      </c>
      <c r="F276" s="78"/>
      <c r="G276" s="11" t="e">
        <f>G277</f>
        <v>#REF!</v>
      </c>
    </row>
    <row r="277" spans="1:7" ht="15.75">
      <c r="A277" s="31" t="s">
        <v>315</v>
      </c>
      <c r="B277" s="42" t="s">
        <v>527</v>
      </c>
      <c r="C277" s="42" t="s">
        <v>305</v>
      </c>
      <c r="D277" s="42" t="s">
        <v>256</v>
      </c>
      <c r="E277" s="42" t="s">
        <v>316</v>
      </c>
      <c r="F277" s="78"/>
      <c r="G277" s="11" t="e">
        <f>#REF!</f>
        <v>#REF!</v>
      </c>
    </row>
    <row r="278" spans="1:7" ht="78.75" customHeight="1" hidden="1">
      <c r="A278" s="31" t="s">
        <v>646</v>
      </c>
      <c r="B278" s="42" t="s">
        <v>703</v>
      </c>
      <c r="C278" s="42" t="s">
        <v>305</v>
      </c>
      <c r="D278" s="42" t="s">
        <v>256</v>
      </c>
      <c r="E278" s="42"/>
      <c r="F278" s="78"/>
      <c r="G278" s="11">
        <f>G279</f>
        <v>0</v>
      </c>
    </row>
    <row r="279" spans="1:7" ht="63" hidden="1">
      <c r="A279" s="31" t="s">
        <v>313</v>
      </c>
      <c r="B279" s="42" t="s">
        <v>703</v>
      </c>
      <c r="C279" s="42" t="s">
        <v>305</v>
      </c>
      <c r="D279" s="42" t="s">
        <v>256</v>
      </c>
      <c r="E279" s="42" t="s">
        <v>314</v>
      </c>
      <c r="F279" s="78"/>
      <c r="G279" s="11">
        <f>G280</f>
        <v>0</v>
      </c>
    </row>
    <row r="280" spans="1:7" ht="15.75" hidden="1">
      <c r="A280" s="31" t="s">
        <v>315</v>
      </c>
      <c r="B280" s="42" t="s">
        <v>703</v>
      </c>
      <c r="C280" s="42" t="s">
        <v>305</v>
      </c>
      <c r="D280" s="42" t="s">
        <v>256</v>
      </c>
      <c r="E280" s="42" t="s">
        <v>316</v>
      </c>
      <c r="F280" s="78"/>
      <c r="G280" s="11">
        <f>G281</f>
        <v>0</v>
      </c>
    </row>
    <row r="281" spans="1:7" ht="47.25" hidden="1">
      <c r="A281" s="48" t="s">
        <v>522</v>
      </c>
      <c r="B281" s="42" t="s">
        <v>703</v>
      </c>
      <c r="C281" s="42" t="s">
        <v>305</v>
      </c>
      <c r="D281" s="42" t="s">
        <v>256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319</v>
      </c>
      <c r="B282" s="42" t="s">
        <v>704</v>
      </c>
      <c r="C282" s="42" t="s">
        <v>305</v>
      </c>
      <c r="D282" s="42" t="s">
        <v>256</v>
      </c>
      <c r="E282" s="42"/>
      <c r="F282" s="78"/>
      <c r="G282" s="11">
        <f>G283</f>
        <v>0</v>
      </c>
    </row>
    <row r="283" spans="1:7" ht="63" hidden="1">
      <c r="A283" s="31" t="s">
        <v>313</v>
      </c>
      <c r="B283" s="42" t="s">
        <v>704</v>
      </c>
      <c r="C283" s="42" t="s">
        <v>305</v>
      </c>
      <c r="D283" s="42" t="s">
        <v>256</v>
      </c>
      <c r="E283" s="42" t="s">
        <v>314</v>
      </c>
      <c r="F283" s="78"/>
      <c r="G283" s="11">
        <f>G284</f>
        <v>0</v>
      </c>
    </row>
    <row r="284" spans="1:7" ht="15.75" hidden="1">
      <c r="A284" s="31" t="s">
        <v>315</v>
      </c>
      <c r="B284" s="42" t="s">
        <v>704</v>
      </c>
      <c r="C284" s="42" t="s">
        <v>305</v>
      </c>
      <c r="D284" s="42" t="s">
        <v>256</v>
      </c>
      <c r="E284" s="42" t="s">
        <v>316</v>
      </c>
      <c r="F284" s="78"/>
      <c r="G284" s="11"/>
    </row>
    <row r="285" spans="1:7" ht="47.25" hidden="1">
      <c r="A285" s="48" t="s">
        <v>522</v>
      </c>
      <c r="B285" s="42" t="s">
        <v>704</v>
      </c>
      <c r="C285" s="42" t="s">
        <v>305</v>
      </c>
      <c r="D285" s="42" t="s">
        <v>256</v>
      </c>
      <c r="E285" s="42"/>
      <c r="F285" s="2">
        <v>907</v>
      </c>
      <c r="G285" s="11">
        <v>0</v>
      </c>
    </row>
    <row r="286" spans="1:7" ht="31.5" hidden="1">
      <c r="A286" s="31" t="s">
        <v>321</v>
      </c>
      <c r="B286" s="42" t="s">
        <v>705</v>
      </c>
      <c r="C286" s="42" t="s">
        <v>305</v>
      </c>
      <c r="D286" s="42" t="s">
        <v>256</v>
      </c>
      <c r="E286" s="42"/>
      <c r="F286" s="78"/>
      <c r="G286" s="11">
        <f>G287</f>
        <v>0</v>
      </c>
    </row>
    <row r="287" spans="1:7" ht="63" hidden="1">
      <c r="A287" s="31" t="s">
        <v>313</v>
      </c>
      <c r="B287" s="42" t="s">
        <v>705</v>
      </c>
      <c r="C287" s="42" t="s">
        <v>305</v>
      </c>
      <c r="D287" s="42" t="s">
        <v>256</v>
      </c>
      <c r="E287" s="42" t="s">
        <v>314</v>
      </c>
      <c r="F287" s="78"/>
      <c r="G287" s="11">
        <f>G288</f>
        <v>0</v>
      </c>
    </row>
    <row r="288" spans="1:7" ht="15.75" hidden="1">
      <c r="A288" s="31" t="s">
        <v>315</v>
      </c>
      <c r="B288" s="42" t="s">
        <v>705</v>
      </c>
      <c r="C288" s="42" t="s">
        <v>305</v>
      </c>
      <c r="D288" s="42" t="s">
        <v>256</v>
      </c>
      <c r="E288" s="42" t="s">
        <v>316</v>
      </c>
      <c r="F288" s="78"/>
      <c r="G288" s="11"/>
    </row>
    <row r="289" spans="1:7" ht="47.25" hidden="1">
      <c r="A289" s="48" t="s">
        <v>522</v>
      </c>
      <c r="B289" s="42" t="s">
        <v>705</v>
      </c>
      <c r="C289" s="42" t="s">
        <v>305</v>
      </c>
      <c r="D289" s="42" t="s">
        <v>256</v>
      </c>
      <c r="E289" s="42"/>
      <c r="F289" s="2">
        <v>907</v>
      </c>
      <c r="G289" s="11">
        <v>0</v>
      </c>
    </row>
    <row r="290" spans="1:7" ht="47.25">
      <c r="A290" s="31" t="s">
        <v>323</v>
      </c>
      <c r="B290" s="42" t="s">
        <v>530</v>
      </c>
      <c r="C290" s="42" t="s">
        <v>305</v>
      </c>
      <c r="D290" s="42" t="s">
        <v>256</v>
      </c>
      <c r="E290" s="42"/>
      <c r="F290" s="78"/>
      <c r="G290" s="11" t="e">
        <f>G291</f>
        <v>#REF!</v>
      </c>
    </row>
    <row r="291" spans="1:7" ht="63">
      <c r="A291" s="31" t="s">
        <v>313</v>
      </c>
      <c r="B291" s="42" t="s">
        <v>530</v>
      </c>
      <c r="C291" s="42" t="s">
        <v>305</v>
      </c>
      <c r="D291" s="42" t="s">
        <v>256</v>
      </c>
      <c r="E291" s="42" t="s">
        <v>314</v>
      </c>
      <c r="F291" s="78"/>
      <c r="G291" s="11" t="e">
        <f>G292</f>
        <v>#REF!</v>
      </c>
    </row>
    <row r="292" spans="1:7" ht="15.75">
      <c r="A292" s="31" t="s">
        <v>315</v>
      </c>
      <c r="B292" s="42" t="s">
        <v>530</v>
      </c>
      <c r="C292" s="42" t="s">
        <v>305</v>
      </c>
      <c r="D292" s="42" t="s">
        <v>256</v>
      </c>
      <c r="E292" s="42" t="s">
        <v>316</v>
      </c>
      <c r="F292" s="78"/>
      <c r="G292" s="11" t="e">
        <f>#REF!</f>
        <v>#REF!</v>
      </c>
    </row>
    <row r="293" spans="1:7" ht="58.5" customHeight="1">
      <c r="A293" s="80" t="s">
        <v>522</v>
      </c>
      <c r="B293" s="42" t="s">
        <v>526</v>
      </c>
      <c r="C293" s="42" t="s">
        <v>305</v>
      </c>
      <c r="D293" s="42" t="s">
        <v>256</v>
      </c>
      <c r="E293" s="42"/>
      <c r="F293" s="2">
        <v>907</v>
      </c>
      <c r="G293" s="11" t="e">
        <f>G272</f>
        <v>#REF!</v>
      </c>
    </row>
    <row r="294" spans="1:7" ht="63">
      <c r="A294" s="63" t="s">
        <v>535</v>
      </c>
      <c r="B294" s="8" t="s">
        <v>536</v>
      </c>
      <c r="C294" s="8"/>
      <c r="D294" s="8"/>
      <c r="E294" s="8"/>
      <c r="F294" s="3"/>
      <c r="G294" s="66" t="e">
        <f>G295</f>
        <v>#REF!</v>
      </c>
    </row>
    <row r="295" spans="1:7" ht="15.75">
      <c r="A295" s="31" t="s">
        <v>532</v>
      </c>
      <c r="B295" s="42" t="s">
        <v>536</v>
      </c>
      <c r="C295" s="2">
        <v>11</v>
      </c>
      <c r="D295" s="78"/>
      <c r="E295" s="78"/>
      <c r="F295" s="78"/>
      <c r="G295" s="11" t="e">
        <f>G296</f>
        <v>#REF!</v>
      </c>
    </row>
    <row r="296" spans="1:7" ht="20.25" customHeight="1">
      <c r="A296" s="31" t="s">
        <v>534</v>
      </c>
      <c r="B296" s="42" t="s">
        <v>536</v>
      </c>
      <c r="C296" s="42" t="s">
        <v>533</v>
      </c>
      <c r="D296" s="42" t="s">
        <v>159</v>
      </c>
      <c r="E296" s="81"/>
      <c r="F296" s="6"/>
      <c r="G296" s="11" t="e">
        <f>G297+G301+G305+G309+G313</f>
        <v>#REF!</v>
      </c>
    </row>
    <row r="297" spans="1:7" ht="47.25">
      <c r="A297" s="31" t="s">
        <v>537</v>
      </c>
      <c r="B297" s="42" t="s">
        <v>538</v>
      </c>
      <c r="C297" s="42" t="s">
        <v>533</v>
      </c>
      <c r="D297" s="42" t="s">
        <v>159</v>
      </c>
      <c r="E297" s="81"/>
      <c r="F297" s="6"/>
      <c r="G297" s="11" t="e">
        <f>G298</f>
        <v>#REF!</v>
      </c>
    </row>
    <row r="298" spans="1:7" ht="65.25" customHeight="1">
      <c r="A298" s="31" t="s">
        <v>313</v>
      </c>
      <c r="B298" s="42" t="s">
        <v>538</v>
      </c>
      <c r="C298" s="42" t="s">
        <v>533</v>
      </c>
      <c r="D298" s="42" t="s">
        <v>159</v>
      </c>
      <c r="E298" s="42" t="s">
        <v>314</v>
      </c>
      <c r="F298" s="6"/>
      <c r="G298" s="11" t="e">
        <f>G299</f>
        <v>#REF!</v>
      </c>
    </row>
    <row r="299" spans="1:7" ht="15.75">
      <c r="A299" s="31" t="s">
        <v>315</v>
      </c>
      <c r="B299" s="42" t="s">
        <v>538</v>
      </c>
      <c r="C299" s="42" t="s">
        <v>533</v>
      </c>
      <c r="D299" s="42" t="s">
        <v>159</v>
      </c>
      <c r="E299" s="42" t="s">
        <v>316</v>
      </c>
      <c r="F299" s="6"/>
      <c r="G299" s="11" t="e">
        <f>#REF!</f>
        <v>#REF!</v>
      </c>
    </row>
    <row r="300" spans="1:7" ht="47.25" hidden="1">
      <c r="A300" s="48" t="s">
        <v>522</v>
      </c>
      <c r="B300" s="42" t="s">
        <v>536</v>
      </c>
      <c r="C300" s="42" t="s">
        <v>533</v>
      </c>
      <c r="D300" s="42" t="s">
        <v>159</v>
      </c>
      <c r="E300" s="42"/>
      <c r="F300" s="6">
        <v>907</v>
      </c>
      <c r="G300" s="11" t="e">
        <f>G294</f>
        <v>#REF!</v>
      </c>
    </row>
    <row r="301" spans="1:7" ht="63" hidden="1">
      <c r="A301" s="31" t="s">
        <v>646</v>
      </c>
      <c r="B301" s="42" t="s">
        <v>706</v>
      </c>
      <c r="C301" s="42" t="s">
        <v>533</v>
      </c>
      <c r="D301" s="42" t="s">
        <v>159</v>
      </c>
      <c r="E301" s="42"/>
      <c r="F301" s="6"/>
      <c r="G301" s="11">
        <f>G302</f>
        <v>0</v>
      </c>
    </row>
    <row r="302" spans="1:7" ht="63" hidden="1">
      <c r="A302" s="31" t="s">
        <v>313</v>
      </c>
      <c r="B302" s="42" t="s">
        <v>706</v>
      </c>
      <c r="C302" s="42" t="s">
        <v>533</v>
      </c>
      <c r="D302" s="42" t="s">
        <v>159</v>
      </c>
      <c r="E302" s="42" t="s">
        <v>314</v>
      </c>
      <c r="F302" s="6"/>
      <c r="G302" s="11">
        <f>G303</f>
        <v>0</v>
      </c>
    </row>
    <row r="303" spans="1:7" ht="15.75" hidden="1">
      <c r="A303" s="31" t="s">
        <v>315</v>
      </c>
      <c r="B303" s="42" t="s">
        <v>706</v>
      </c>
      <c r="C303" s="42" t="s">
        <v>533</v>
      </c>
      <c r="D303" s="42" t="s">
        <v>159</v>
      </c>
      <c r="E303" s="42" t="s">
        <v>316</v>
      </c>
      <c r="F303" s="6"/>
      <c r="G303" s="11">
        <f>G304</f>
        <v>0</v>
      </c>
    </row>
    <row r="304" spans="1:7" ht="47.25" hidden="1">
      <c r="A304" s="80" t="s">
        <v>522</v>
      </c>
      <c r="B304" s="42" t="s">
        <v>706</v>
      </c>
      <c r="C304" s="42" t="s">
        <v>533</v>
      </c>
      <c r="D304" s="42" t="s">
        <v>159</v>
      </c>
      <c r="E304" s="42"/>
      <c r="F304" s="6">
        <v>907</v>
      </c>
      <c r="G304" s="11">
        <f>1500-1500</f>
        <v>0</v>
      </c>
    </row>
    <row r="305" spans="1:7" ht="47.25">
      <c r="A305" s="31" t="s">
        <v>319</v>
      </c>
      <c r="B305" s="42" t="s">
        <v>539</v>
      </c>
      <c r="C305" s="42" t="s">
        <v>533</v>
      </c>
      <c r="D305" s="42" t="s">
        <v>159</v>
      </c>
      <c r="E305" s="42"/>
      <c r="F305" s="6"/>
      <c r="G305" s="11" t="e">
        <f>G306</f>
        <v>#REF!</v>
      </c>
    </row>
    <row r="306" spans="1:7" ht="63">
      <c r="A306" s="31" t="s">
        <v>313</v>
      </c>
      <c r="B306" s="42" t="s">
        <v>539</v>
      </c>
      <c r="C306" s="42" t="s">
        <v>533</v>
      </c>
      <c r="D306" s="42" t="s">
        <v>159</v>
      </c>
      <c r="E306" s="42" t="s">
        <v>314</v>
      </c>
      <c r="F306" s="6"/>
      <c r="G306" s="11" t="e">
        <f>G307</f>
        <v>#REF!</v>
      </c>
    </row>
    <row r="307" spans="1:8" ht="15.75">
      <c r="A307" s="31" t="s">
        <v>315</v>
      </c>
      <c r="B307" s="42" t="s">
        <v>539</v>
      </c>
      <c r="C307" s="42" t="s">
        <v>533</v>
      </c>
      <c r="D307" s="42" t="s">
        <v>159</v>
      </c>
      <c r="E307" s="42" t="s">
        <v>316</v>
      </c>
      <c r="F307" s="6"/>
      <c r="G307" s="185" t="e">
        <f>#REF!</f>
        <v>#REF!</v>
      </c>
      <c r="H307" s="186" t="s">
        <v>806</v>
      </c>
    </row>
    <row r="308" spans="1:7" ht="47.25">
      <c r="A308" s="48" t="s">
        <v>522</v>
      </c>
      <c r="B308" s="42" t="s">
        <v>536</v>
      </c>
      <c r="C308" s="42" t="s">
        <v>533</v>
      </c>
      <c r="D308" s="42" t="s">
        <v>159</v>
      </c>
      <c r="E308" s="42"/>
      <c r="F308" s="6">
        <v>907</v>
      </c>
      <c r="G308" s="11" t="e">
        <f>G299+G307</f>
        <v>#REF!</v>
      </c>
    </row>
    <row r="309" spans="1:7" ht="31.5" hidden="1">
      <c r="A309" s="31" t="s">
        <v>321</v>
      </c>
      <c r="B309" s="42" t="s">
        <v>707</v>
      </c>
      <c r="C309" s="42" t="s">
        <v>533</v>
      </c>
      <c r="D309" s="42" t="s">
        <v>159</v>
      </c>
      <c r="E309" s="42"/>
      <c r="F309" s="6"/>
      <c r="G309" s="11">
        <f>G310</f>
        <v>0</v>
      </c>
    </row>
    <row r="310" spans="1:7" ht="63" hidden="1">
      <c r="A310" s="31" t="s">
        <v>313</v>
      </c>
      <c r="B310" s="42" t="s">
        <v>707</v>
      </c>
      <c r="C310" s="42" t="s">
        <v>533</v>
      </c>
      <c r="D310" s="42" t="s">
        <v>159</v>
      </c>
      <c r="E310" s="42" t="s">
        <v>314</v>
      </c>
      <c r="F310" s="6"/>
      <c r="G310" s="11">
        <f>G311</f>
        <v>0</v>
      </c>
    </row>
    <row r="311" spans="1:7" ht="15.75" hidden="1">
      <c r="A311" s="31" t="s">
        <v>315</v>
      </c>
      <c r="B311" s="42" t="s">
        <v>707</v>
      </c>
      <c r="C311" s="42" t="s">
        <v>533</v>
      </c>
      <c r="D311" s="42" t="s">
        <v>159</v>
      </c>
      <c r="E311" s="42" t="s">
        <v>316</v>
      </c>
      <c r="F311" s="6"/>
      <c r="G311" s="11"/>
    </row>
    <row r="312" spans="1:7" ht="47.25" hidden="1">
      <c r="A312" s="48" t="s">
        <v>522</v>
      </c>
      <c r="B312" s="42" t="s">
        <v>707</v>
      </c>
      <c r="C312" s="42" t="s">
        <v>533</v>
      </c>
      <c r="D312" s="42" t="s">
        <v>159</v>
      </c>
      <c r="E312" s="42"/>
      <c r="F312" s="6">
        <v>907</v>
      </c>
      <c r="G312" s="11">
        <v>0</v>
      </c>
    </row>
    <row r="313" spans="1:7" ht="71.25" customHeight="1" hidden="1">
      <c r="A313" s="31" t="s">
        <v>325</v>
      </c>
      <c r="B313" s="42" t="s">
        <v>708</v>
      </c>
      <c r="C313" s="42" t="s">
        <v>533</v>
      </c>
      <c r="D313" s="42" t="s">
        <v>159</v>
      </c>
      <c r="E313" s="42"/>
      <c r="F313" s="6"/>
      <c r="G313" s="11">
        <f>G314</f>
        <v>0</v>
      </c>
    </row>
    <row r="314" spans="1:7" ht="63" hidden="1">
      <c r="A314" s="31" t="s">
        <v>313</v>
      </c>
      <c r="B314" s="42" t="s">
        <v>708</v>
      </c>
      <c r="C314" s="42" t="s">
        <v>533</v>
      </c>
      <c r="D314" s="42" t="s">
        <v>159</v>
      </c>
      <c r="E314" s="42" t="s">
        <v>314</v>
      </c>
      <c r="F314" s="6"/>
      <c r="G314" s="11">
        <f>G315</f>
        <v>0</v>
      </c>
    </row>
    <row r="315" spans="1:7" ht="15.75" hidden="1">
      <c r="A315" s="31" t="s">
        <v>315</v>
      </c>
      <c r="B315" s="42" t="s">
        <v>708</v>
      </c>
      <c r="C315" s="42" t="s">
        <v>533</v>
      </c>
      <c r="D315" s="42" t="s">
        <v>159</v>
      </c>
      <c r="E315" s="42" t="s">
        <v>316</v>
      </c>
      <c r="F315" s="6"/>
      <c r="G315" s="11"/>
    </row>
    <row r="316" spans="1:7" ht="47.25" hidden="1">
      <c r="A316" s="48" t="s">
        <v>522</v>
      </c>
      <c r="B316" s="42" t="s">
        <v>708</v>
      </c>
      <c r="C316" s="42" t="s">
        <v>533</v>
      </c>
      <c r="D316" s="42" t="s">
        <v>159</v>
      </c>
      <c r="E316" s="42"/>
      <c r="F316" s="6">
        <v>907</v>
      </c>
      <c r="G316" s="11">
        <v>0</v>
      </c>
    </row>
    <row r="317" spans="1:7" ht="63">
      <c r="A317" s="63" t="s">
        <v>543</v>
      </c>
      <c r="B317" s="8" t="s">
        <v>544</v>
      </c>
      <c r="C317" s="8"/>
      <c r="D317" s="8"/>
      <c r="E317" s="8"/>
      <c r="F317" s="201"/>
      <c r="G317" s="4" t="e">
        <f>G318</f>
        <v>#REF!</v>
      </c>
    </row>
    <row r="318" spans="1:7" ht="15.75">
      <c r="A318" s="31" t="s">
        <v>532</v>
      </c>
      <c r="B318" s="42" t="s">
        <v>544</v>
      </c>
      <c r="C318" s="2">
        <v>11</v>
      </c>
      <c r="D318" s="42"/>
      <c r="E318" s="42"/>
      <c r="F318" s="6"/>
      <c r="G318" s="7" t="e">
        <f>G319</f>
        <v>#REF!</v>
      </c>
    </row>
    <row r="319" spans="1:7" ht="31.5">
      <c r="A319" s="26" t="s">
        <v>542</v>
      </c>
      <c r="B319" s="42" t="s">
        <v>544</v>
      </c>
      <c r="C319" s="42" t="s">
        <v>533</v>
      </c>
      <c r="D319" s="42" t="s">
        <v>275</v>
      </c>
      <c r="E319" s="42"/>
      <c r="F319" s="6"/>
      <c r="G319" s="7" t="e">
        <f>G320</f>
        <v>#REF!</v>
      </c>
    </row>
    <row r="320" spans="1:7" ht="47.25">
      <c r="A320" s="31" t="s">
        <v>198</v>
      </c>
      <c r="B320" s="42" t="s">
        <v>545</v>
      </c>
      <c r="C320" s="42" t="s">
        <v>533</v>
      </c>
      <c r="D320" s="42" t="s">
        <v>275</v>
      </c>
      <c r="E320" s="42"/>
      <c r="F320" s="6"/>
      <c r="G320" s="7" t="e">
        <f>G323+G321</f>
        <v>#REF!</v>
      </c>
    </row>
    <row r="321" spans="1:7" ht="110.25">
      <c r="A321" s="26" t="s">
        <v>168</v>
      </c>
      <c r="B321" s="42" t="s">
        <v>545</v>
      </c>
      <c r="C321" s="42" t="s">
        <v>533</v>
      </c>
      <c r="D321" s="42" t="s">
        <v>275</v>
      </c>
      <c r="E321" s="42" t="s">
        <v>169</v>
      </c>
      <c r="F321" s="6"/>
      <c r="G321" s="7" t="e">
        <f>G322</f>
        <v>#REF!</v>
      </c>
    </row>
    <row r="322" spans="1:7" ht="55.5" customHeight="1">
      <c r="A322" s="26" t="s">
        <v>170</v>
      </c>
      <c r="B322" s="42" t="s">
        <v>545</v>
      </c>
      <c r="C322" s="42" t="s">
        <v>533</v>
      </c>
      <c r="D322" s="42" t="s">
        <v>275</v>
      </c>
      <c r="E322" s="42" t="s">
        <v>171</v>
      </c>
      <c r="F322" s="6"/>
      <c r="G322" s="7" t="e">
        <f>#REF!</f>
        <v>#REF!</v>
      </c>
    </row>
    <row r="323" spans="1:7" ht="47.25">
      <c r="A323" s="31" t="s">
        <v>172</v>
      </c>
      <c r="B323" s="42" t="s">
        <v>545</v>
      </c>
      <c r="C323" s="42" t="s">
        <v>533</v>
      </c>
      <c r="D323" s="42" t="s">
        <v>275</v>
      </c>
      <c r="E323" s="42" t="s">
        <v>173</v>
      </c>
      <c r="F323" s="6"/>
      <c r="G323" s="7" t="e">
        <f>G324</f>
        <v>#REF!</v>
      </c>
    </row>
    <row r="324" spans="1:7" ht="47.25">
      <c r="A324" s="31" t="s">
        <v>174</v>
      </c>
      <c r="B324" s="42" t="s">
        <v>545</v>
      </c>
      <c r="C324" s="42" t="s">
        <v>533</v>
      </c>
      <c r="D324" s="42" t="s">
        <v>275</v>
      </c>
      <c r="E324" s="42" t="s">
        <v>175</v>
      </c>
      <c r="F324" s="6"/>
      <c r="G324" s="7" t="e">
        <f>#REF!</f>
        <v>#REF!</v>
      </c>
    </row>
    <row r="325" spans="1:7" ht="47.25">
      <c r="A325" s="80" t="s">
        <v>522</v>
      </c>
      <c r="B325" s="42" t="s">
        <v>544</v>
      </c>
      <c r="C325" s="42" t="s">
        <v>533</v>
      </c>
      <c r="D325" s="42" t="s">
        <v>275</v>
      </c>
      <c r="E325" s="42"/>
      <c r="F325" s="6">
        <v>907</v>
      </c>
      <c r="G325" s="11" t="e">
        <f>G317</f>
        <v>#REF!</v>
      </c>
    </row>
    <row r="326" spans="1:7" ht="63">
      <c r="A326" s="43" t="s">
        <v>307</v>
      </c>
      <c r="B326" s="8" t="s">
        <v>308</v>
      </c>
      <c r="C326" s="82"/>
      <c r="D326" s="82"/>
      <c r="E326" s="82"/>
      <c r="F326" s="3"/>
      <c r="G326" s="66" t="e">
        <f>G327+G353+G374</f>
        <v>#REF!</v>
      </c>
    </row>
    <row r="327" spans="1:7" ht="78.75">
      <c r="A327" s="43" t="s">
        <v>309</v>
      </c>
      <c r="B327" s="8" t="s">
        <v>310</v>
      </c>
      <c r="C327" s="82"/>
      <c r="D327" s="82"/>
      <c r="E327" s="82"/>
      <c r="F327" s="3"/>
      <c r="G327" s="66" t="e">
        <f>G328</f>
        <v>#REF!</v>
      </c>
    </row>
    <row r="328" spans="1:7" ht="15.75">
      <c r="A328" s="31" t="s">
        <v>304</v>
      </c>
      <c r="B328" s="42" t="s">
        <v>310</v>
      </c>
      <c r="C328" s="42" t="s">
        <v>305</v>
      </c>
      <c r="D328" s="82"/>
      <c r="E328" s="82"/>
      <c r="F328" s="3"/>
      <c r="G328" s="11" t="e">
        <f>G329</f>
        <v>#REF!</v>
      </c>
    </row>
    <row r="329" spans="1:7" ht="15.75">
      <c r="A329" s="31" t="s">
        <v>467</v>
      </c>
      <c r="B329" s="42" t="s">
        <v>310</v>
      </c>
      <c r="C329" s="42" t="s">
        <v>305</v>
      </c>
      <c r="D329" s="42" t="s">
        <v>256</v>
      </c>
      <c r="E329" s="82"/>
      <c r="F329" s="3"/>
      <c r="G329" s="11" t="e">
        <f>G330+G345</f>
        <v>#REF!</v>
      </c>
    </row>
    <row r="330" spans="1:7" ht="63">
      <c r="A330" s="31" t="s">
        <v>311</v>
      </c>
      <c r="B330" s="42" t="s">
        <v>312</v>
      </c>
      <c r="C330" s="42" t="s">
        <v>305</v>
      </c>
      <c r="D330" s="42" t="s">
        <v>256</v>
      </c>
      <c r="E330" s="82"/>
      <c r="F330" s="3"/>
      <c r="G330" s="11" t="e">
        <f>G331</f>
        <v>#REF!</v>
      </c>
    </row>
    <row r="331" spans="1:7" ht="63">
      <c r="A331" s="31" t="s">
        <v>313</v>
      </c>
      <c r="B331" s="42" t="s">
        <v>312</v>
      </c>
      <c r="C331" s="42" t="s">
        <v>305</v>
      </c>
      <c r="D331" s="42" t="s">
        <v>256</v>
      </c>
      <c r="E331" s="42" t="s">
        <v>314</v>
      </c>
      <c r="F331" s="3"/>
      <c r="G331" s="11" t="e">
        <f>G332</f>
        <v>#REF!</v>
      </c>
    </row>
    <row r="332" spans="1:7" ht="15.75">
      <c r="A332" s="31" t="s">
        <v>315</v>
      </c>
      <c r="B332" s="42" t="s">
        <v>312</v>
      </c>
      <c r="C332" s="42" t="s">
        <v>305</v>
      </c>
      <c r="D332" s="42" t="s">
        <v>256</v>
      </c>
      <c r="E332" s="42" t="s">
        <v>316</v>
      </c>
      <c r="F332" s="3"/>
      <c r="G332" s="7" t="e">
        <f>#REF!</f>
        <v>#REF!</v>
      </c>
    </row>
    <row r="333" spans="1:7" ht="63" hidden="1">
      <c r="A333" s="31" t="s">
        <v>317</v>
      </c>
      <c r="B333" s="42" t="s">
        <v>709</v>
      </c>
      <c r="C333" s="42" t="s">
        <v>305</v>
      </c>
      <c r="D333" s="42" t="s">
        <v>256</v>
      </c>
      <c r="E333" s="42"/>
      <c r="F333" s="3"/>
      <c r="G333" s="11">
        <f>G334</f>
        <v>0</v>
      </c>
    </row>
    <row r="334" spans="1:7" ht="63" hidden="1">
      <c r="A334" s="31" t="s">
        <v>313</v>
      </c>
      <c r="B334" s="42" t="s">
        <v>709</v>
      </c>
      <c r="C334" s="42" t="s">
        <v>305</v>
      </c>
      <c r="D334" s="42" t="s">
        <v>256</v>
      </c>
      <c r="E334" s="42" t="s">
        <v>314</v>
      </c>
      <c r="F334" s="3"/>
      <c r="G334" s="11">
        <f>G335</f>
        <v>0</v>
      </c>
    </row>
    <row r="335" spans="1:7" ht="15.75" hidden="1">
      <c r="A335" s="31" t="s">
        <v>315</v>
      </c>
      <c r="B335" s="42" t="s">
        <v>709</v>
      </c>
      <c r="C335" s="42" t="s">
        <v>305</v>
      </c>
      <c r="D335" s="42" t="s">
        <v>256</v>
      </c>
      <c r="E335" s="42" t="s">
        <v>316</v>
      </c>
      <c r="F335" s="3"/>
      <c r="G335" s="11"/>
    </row>
    <row r="336" spans="1:7" ht="63" hidden="1">
      <c r="A336" s="47" t="s">
        <v>302</v>
      </c>
      <c r="B336" s="42" t="s">
        <v>709</v>
      </c>
      <c r="C336" s="42" t="s">
        <v>305</v>
      </c>
      <c r="D336" s="42" t="s">
        <v>256</v>
      </c>
      <c r="E336" s="42"/>
      <c r="F336" s="2">
        <v>903</v>
      </c>
      <c r="G336" s="11">
        <v>0</v>
      </c>
    </row>
    <row r="337" spans="1:7" ht="47.25" hidden="1">
      <c r="A337" s="31" t="s">
        <v>319</v>
      </c>
      <c r="B337" s="42" t="s">
        <v>710</v>
      </c>
      <c r="C337" s="42" t="s">
        <v>305</v>
      </c>
      <c r="D337" s="42" t="s">
        <v>256</v>
      </c>
      <c r="E337" s="42"/>
      <c r="F337" s="3"/>
      <c r="G337" s="11">
        <f>G338</f>
        <v>0</v>
      </c>
    </row>
    <row r="338" spans="1:7" ht="63" hidden="1">
      <c r="A338" s="31" t="s">
        <v>313</v>
      </c>
      <c r="B338" s="42" t="s">
        <v>710</v>
      </c>
      <c r="C338" s="42" t="s">
        <v>305</v>
      </c>
      <c r="D338" s="42" t="s">
        <v>256</v>
      </c>
      <c r="E338" s="42" t="s">
        <v>314</v>
      </c>
      <c r="F338" s="3"/>
      <c r="G338" s="11">
        <f>G339</f>
        <v>0</v>
      </c>
    </row>
    <row r="339" spans="1:7" ht="15.75" hidden="1">
      <c r="A339" s="31" t="s">
        <v>315</v>
      </c>
      <c r="B339" s="42" t="s">
        <v>710</v>
      </c>
      <c r="C339" s="42" t="s">
        <v>305</v>
      </c>
      <c r="D339" s="42" t="s">
        <v>256</v>
      </c>
      <c r="E339" s="42" t="s">
        <v>316</v>
      </c>
      <c r="F339" s="3"/>
      <c r="G339" s="11"/>
    </row>
    <row r="340" spans="1:7" ht="63" hidden="1">
      <c r="A340" s="47" t="s">
        <v>302</v>
      </c>
      <c r="B340" s="42" t="s">
        <v>710</v>
      </c>
      <c r="C340" s="42" t="s">
        <v>305</v>
      </c>
      <c r="D340" s="42" t="s">
        <v>256</v>
      </c>
      <c r="E340" s="42"/>
      <c r="F340" s="2">
        <v>903</v>
      </c>
      <c r="G340" s="11">
        <v>0</v>
      </c>
    </row>
    <row r="341" spans="1:7" ht="31.5" hidden="1">
      <c r="A341" s="31" t="s">
        <v>321</v>
      </c>
      <c r="B341" s="42" t="s">
        <v>711</v>
      </c>
      <c r="C341" s="42" t="s">
        <v>305</v>
      </c>
      <c r="D341" s="42" t="s">
        <v>256</v>
      </c>
      <c r="E341" s="42"/>
      <c r="F341" s="3"/>
      <c r="G341" s="11">
        <f>G342</f>
        <v>0</v>
      </c>
    </row>
    <row r="342" spans="1:7" ht="69" customHeight="1" hidden="1">
      <c r="A342" s="31" t="s">
        <v>313</v>
      </c>
      <c r="B342" s="42" t="s">
        <v>711</v>
      </c>
      <c r="C342" s="42" t="s">
        <v>305</v>
      </c>
      <c r="D342" s="42" t="s">
        <v>256</v>
      </c>
      <c r="E342" s="42" t="s">
        <v>314</v>
      </c>
      <c r="F342" s="3"/>
      <c r="G342" s="11">
        <f>G343</f>
        <v>0</v>
      </c>
    </row>
    <row r="343" spans="1:7" ht="15.75" hidden="1">
      <c r="A343" s="31" t="s">
        <v>315</v>
      </c>
      <c r="B343" s="42" t="s">
        <v>711</v>
      </c>
      <c r="C343" s="42" t="s">
        <v>305</v>
      </c>
      <c r="D343" s="42" t="s">
        <v>256</v>
      </c>
      <c r="E343" s="42" t="s">
        <v>316</v>
      </c>
      <c r="F343" s="3"/>
      <c r="G343" s="11"/>
    </row>
    <row r="344" spans="1:7" ht="63" hidden="1">
      <c r="A344" s="47" t="s">
        <v>302</v>
      </c>
      <c r="B344" s="42" t="s">
        <v>711</v>
      </c>
      <c r="C344" s="42" t="s">
        <v>305</v>
      </c>
      <c r="D344" s="42" t="s">
        <v>256</v>
      </c>
      <c r="E344" s="42"/>
      <c r="F344" s="2">
        <v>903</v>
      </c>
      <c r="G344" s="11">
        <v>0</v>
      </c>
    </row>
    <row r="345" spans="1:7" ht="47.25">
      <c r="A345" s="31" t="s">
        <v>323</v>
      </c>
      <c r="B345" s="42" t="s">
        <v>324</v>
      </c>
      <c r="C345" s="42" t="s">
        <v>305</v>
      </c>
      <c r="D345" s="42" t="s">
        <v>256</v>
      </c>
      <c r="E345" s="42"/>
      <c r="F345" s="3"/>
      <c r="G345" s="11" t="e">
        <f>G346</f>
        <v>#REF!</v>
      </c>
    </row>
    <row r="346" spans="1:7" ht="63">
      <c r="A346" s="31" t="s">
        <v>313</v>
      </c>
      <c r="B346" s="42" t="s">
        <v>324</v>
      </c>
      <c r="C346" s="42" t="s">
        <v>305</v>
      </c>
      <c r="D346" s="42" t="s">
        <v>256</v>
      </c>
      <c r="E346" s="42" t="s">
        <v>314</v>
      </c>
      <c r="F346" s="3"/>
      <c r="G346" s="11" t="e">
        <f>G347</f>
        <v>#REF!</v>
      </c>
    </row>
    <row r="347" spans="1:7" ht="15.75">
      <c r="A347" s="31" t="s">
        <v>315</v>
      </c>
      <c r="B347" s="42" t="s">
        <v>324</v>
      </c>
      <c r="C347" s="42" t="s">
        <v>305</v>
      </c>
      <c r="D347" s="42" t="s">
        <v>256</v>
      </c>
      <c r="E347" s="42" t="s">
        <v>316</v>
      </c>
      <c r="F347" s="3"/>
      <c r="G347" s="7" t="e">
        <f>#REF!</f>
        <v>#REF!</v>
      </c>
    </row>
    <row r="348" spans="1:7" ht="63">
      <c r="A348" s="47" t="s">
        <v>302</v>
      </c>
      <c r="B348" s="42" t="s">
        <v>310</v>
      </c>
      <c r="C348" s="42" t="s">
        <v>305</v>
      </c>
      <c r="D348" s="42" t="s">
        <v>256</v>
      </c>
      <c r="E348" s="42"/>
      <c r="F348" s="2">
        <v>903</v>
      </c>
      <c r="G348" s="11" t="e">
        <f>G327</f>
        <v>#REF!</v>
      </c>
    </row>
    <row r="349" spans="1:7" ht="47.25" hidden="1">
      <c r="A349" s="31" t="s">
        <v>659</v>
      </c>
      <c r="B349" s="42" t="s">
        <v>660</v>
      </c>
      <c r="C349" s="42" t="s">
        <v>305</v>
      </c>
      <c r="D349" s="42" t="s">
        <v>254</v>
      </c>
      <c r="E349" s="42"/>
      <c r="F349" s="3"/>
      <c r="G349" s="11">
        <f>G350</f>
        <v>0</v>
      </c>
    </row>
    <row r="350" spans="1:7" ht="63" hidden="1">
      <c r="A350" s="31" t="s">
        <v>313</v>
      </c>
      <c r="B350" s="42" t="s">
        <v>660</v>
      </c>
      <c r="C350" s="42" t="s">
        <v>305</v>
      </c>
      <c r="D350" s="42" t="s">
        <v>254</v>
      </c>
      <c r="E350" s="42" t="s">
        <v>314</v>
      </c>
      <c r="F350" s="3"/>
      <c r="G350" s="11">
        <f>G351</f>
        <v>0</v>
      </c>
    </row>
    <row r="351" spans="1:7" ht="15.75" hidden="1">
      <c r="A351" s="31" t="s">
        <v>315</v>
      </c>
      <c r="B351" s="42" t="s">
        <v>660</v>
      </c>
      <c r="C351" s="42" t="s">
        <v>305</v>
      </c>
      <c r="D351" s="42" t="s">
        <v>254</v>
      </c>
      <c r="E351" s="42" t="s">
        <v>316</v>
      </c>
      <c r="F351" s="3"/>
      <c r="G351" s="11"/>
    </row>
    <row r="352" spans="1:7" ht="63" hidden="1">
      <c r="A352" s="47" t="s">
        <v>302</v>
      </c>
      <c r="B352" s="42" t="s">
        <v>660</v>
      </c>
      <c r="C352" s="42" t="s">
        <v>305</v>
      </c>
      <c r="D352" s="42" t="s">
        <v>254</v>
      </c>
      <c r="E352" s="82"/>
      <c r="F352" s="2">
        <v>903</v>
      </c>
      <c r="G352" s="11">
        <v>0</v>
      </c>
    </row>
    <row r="353" spans="1:7" ht="79.5" customHeight="1">
      <c r="A353" s="43" t="s">
        <v>342</v>
      </c>
      <c r="B353" s="8" t="s">
        <v>343</v>
      </c>
      <c r="C353" s="8"/>
      <c r="D353" s="8"/>
      <c r="E353" s="82"/>
      <c r="F353" s="3"/>
      <c r="G353" s="66" t="e">
        <f>G354</f>
        <v>#REF!</v>
      </c>
    </row>
    <row r="354" spans="1:7" ht="15.75">
      <c r="A354" s="83" t="s">
        <v>339</v>
      </c>
      <c r="B354" s="42" t="s">
        <v>343</v>
      </c>
      <c r="C354" s="42" t="s">
        <v>340</v>
      </c>
      <c r="D354" s="83"/>
      <c r="E354" s="83"/>
      <c r="F354" s="2"/>
      <c r="G354" s="11" t="e">
        <f>G355</f>
        <v>#REF!</v>
      </c>
    </row>
    <row r="355" spans="1:7" ht="15.75">
      <c r="A355" s="83" t="s">
        <v>341</v>
      </c>
      <c r="B355" s="42" t="s">
        <v>343</v>
      </c>
      <c r="C355" s="42" t="s">
        <v>340</v>
      </c>
      <c r="D355" s="42" t="s">
        <v>159</v>
      </c>
      <c r="E355" s="83"/>
      <c r="F355" s="2"/>
      <c r="G355" s="11" t="e">
        <f>G356+G363+G366</f>
        <v>#REF!</v>
      </c>
    </row>
    <row r="356" spans="1:7" ht="63">
      <c r="A356" s="31" t="s">
        <v>344</v>
      </c>
      <c r="B356" s="42" t="s">
        <v>345</v>
      </c>
      <c r="C356" s="42" t="s">
        <v>340</v>
      </c>
      <c r="D356" s="42" t="s">
        <v>159</v>
      </c>
      <c r="E356" s="83"/>
      <c r="F356" s="2"/>
      <c r="G356" s="11" t="e">
        <f>G357</f>
        <v>#REF!</v>
      </c>
    </row>
    <row r="357" spans="1:7" ht="63">
      <c r="A357" s="31" t="s">
        <v>313</v>
      </c>
      <c r="B357" s="42" t="s">
        <v>345</v>
      </c>
      <c r="C357" s="42" t="s">
        <v>340</v>
      </c>
      <c r="D357" s="42" t="s">
        <v>159</v>
      </c>
      <c r="E357" s="42" t="s">
        <v>314</v>
      </c>
      <c r="F357" s="2"/>
      <c r="G357" s="11" t="e">
        <f>G358</f>
        <v>#REF!</v>
      </c>
    </row>
    <row r="358" spans="1:7" ht="15.75">
      <c r="A358" s="31" t="s">
        <v>315</v>
      </c>
      <c r="B358" s="42" t="s">
        <v>345</v>
      </c>
      <c r="C358" s="42" t="s">
        <v>340</v>
      </c>
      <c r="D358" s="42" t="s">
        <v>159</v>
      </c>
      <c r="E358" s="42" t="s">
        <v>316</v>
      </c>
      <c r="F358" s="2"/>
      <c r="G358" s="11" t="e">
        <f>#REF!</f>
        <v>#REF!</v>
      </c>
    </row>
    <row r="359" spans="1:7" ht="63" hidden="1">
      <c r="A359" s="31" t="s">
        <v>317</v>
      </c>
      <c r="B359" s="42" t="s">
        <v>664</v>
      </c>
      <c r="C359" s="42" t="s">
        <v>340</v>
      </c>
      <c r="D359" s="42" t="s">
        <v>159</v>
      </c>
      <c r="E359" s="42"/>
      <c r="F359" s="2"/>
      <c r="G359" s="11">
        <f>G360</f>
        <v>0</v>
      </c>
    </row>
    <row r="360" spans="1:7" ht="63" hidden="1">
      <c r="A360" s="31" t="s">
        <v>313</v>
      </c>
      <c r="B360" s="42" t="s">
        <v>664</v>
      </c>
      <c r="C360" s="42" t="s">
        <v>340</v>
      </c>
      <c r="D360" s="42" t="s">
        <v>159</v>
      </c>
      <c r="E360" s="42" t="s">
        <v>314</v>
      </c>
      <c r="F360" s="2"/>
      <c r="G360" s="11">
        <f>G361</f>
        <v>0</v>
      </c>
    </row>
    <row r="361" spans="1:7" ht="15.75" hidden="1">
      <c r="A361" s="31" t="s">
        <v>315</v>
      </c>
      <c r="B361" s="42" t="s">
        <v>664</v>
      </c>
      <c r="C361" s="42" t="s">
        <v>340</v>
      </c>
      <c r="D361" s="42" t="s">
        <v>159</v>
      </c>
      <c r="E361" s="42" t="s">
        <v>316</v>
      </c>
      <c r="F361" s="2"/>
      <c r="G361" s="11"/>
    </row>
    <row r="362" spans="1:7" ht="63" hidden="1">
      <c r="A362" s="47" t="s">
        <v>302</v>
      </c>
      <c r="B362" s="42" t="s">
        <v>664</v>
      </c>
      <c r="C362" s="42" t="s">
        <v>340</v>
      </c>
      <c r="D362" s="42" t="s">
        <v>159</v>
      </c>
      <c r="E362" s="42"/>
      <c r="F362" s="2">
        <v>903</v>
      </c>
      <c r="G362" s="11">
        <v>0</v>
      </c>
    </row>
    <row r="363" spans="1:7" ht="31.5">
      <c r="A363" s="31" t="s">
        <v>666</v>
      </c>
      <c r="B363" s="42" t="s">
        <v>347</v>
      </c>
      <c r="C363" s="42" t="s">
        <v>340</v>
      </c>
      <c r="D363" s="42" t="s">
        <v>159</v>
      </c>
      <c r="E363" s="42"/>
      <c r="F363" s="2"/>
      <c r="G363" s="11" t="e">
        <f>G364</f>
        <v>#REF!</v>
      </c>
    </row>
    <row r="364" spans="1:7" ht="71.25" customHeight="1">
      <c r="A364" s="31" t="s">
        <v>313</v>
      </c>
      <c r="B364" s="42" t="s">
        <v>347</v>
      </c>
      <c r="C364" s="42" t="s">
        <v>340</v>
      </c>
      <c r="D364" s="42" t="s">
        <v>159</v>
      </c>
      <c r="E364" s="42" t="s">
        <v>314</v>
      </c>
      <c r="F364" s="2"/>
      <c r="G364" s="11" t="e">
        <f>G365</f>
        <v>#REF!</v>
      </c>
    </row>
    <row r="365" spans="1:7" ht="15.75">
      <c r="A365" s="31" t="s">
        <v>315</v>
      </c>
      <c r="B365" s="42" t="s">
        <v>347</v>
      </c>
      <c r="C365" s="42" t="s">
        <v>340</v>
      </c>
      <c r="D365" s="42" t="s">
        <v>159</v>
      </c>
      <c r="E365" s="42" t="s">
        <v>316</v>
      </c>
      <c r="F365" s="2"/>
      <c r="G365" s="11" t="e">
        <f>#REF!</f>
        <v>#REF!</v>
      </c>
    </row>
    <row r="366" spans="1:7" ht="31.5">
      <c r="A366" s="31" t="s">
        <v>348</v>
      </c>
      <c r="B366" s="42" t="s">
        <v>349</v>
      </c>
      <c r="C366" s="42" t="s">
        <v>340</v>
      </c>
      <c r="D366" s="42" t="s">
        <v>159</v>
      </c>
      <c r="E366" s="42"/>
      <c r="F366" s="2"/>
      <c r="G366" s="11" t="e">
        <f>G367</f>
        <v>#REF!</v>
      </c>
    </row>
    <row r="367" spans="1:7" ht="63">
      <c r="A367" s="31" t="s">
        <v>313</v>
      </c>
      <c r="B367" s="42" t="s">
        <v>349</v>
      </c>
      <c r="C367" s="42" t="s">
        <v>340</v>
      </c>
      <c r="D367" s="42" t="s">
        <v>159</v>
      </c>
      <c r="E367" s="42" t="s">
        <v>314</v>
      </c>
      <c r="F367" s="2"/>
      <c r="G367" s="11" t="e">
        <f>G368</f>
        <v>#REF!</v>
      </c>
    </row>
    <row r="368" spans="1:7" ht="15.75">
      <c r="A368" s="31" t="s">
        <v>315</v>
      </c>
      <c r="B368" s="42" t="s">
        <v>349</v>
      </c>
      <c r="C368" s="42" t="s">
        <v>340</v>
      </c>
      <c r="D368" s="42" t="s">
        <v>159</v>
      </c>
      <c r="E368" s="42" t="s">
        <v>316</v>
      </c>
      <c r="F368" s="2"/>
      <c r="G368" s="11" t="e">
        <f>#REF!</f>
        <v>#REF!</v>
      </c>
    </row>
    <row r="369" spans="1:7" ht="63">
      <c r="A369" s="47" t="s">
        <v>302</v>
      </c>
      <c r="B369" s="42" t="s">
        <v>343</v>
      </c>
      <c r="C369" s="42" t="s">
        <v>340</v>
      </c>
      <c r="D369" s="42" t="s">
        <v>159</v>
      </c>
      <c r="E369" s="42"/>
      <c r="F369" s="2">
        <v>903</v>
      </c>
      <c r="G369" s="11" t="e">
        <f>G353</f>
        <v>#REF!</v>
      </c>
    </row>
    <row r="370" spans="1:7" ht="31.5" hidden="1">
      <c r="A370" s="31" t="s">
        <v>325</v>
      </c>
      <c r="B370" s="42" t="s">
        <v>665</v>
      </c>
      <c r="C370" s="42" t="s">
        <v>340</v>
      </c>
      <c r="D370" s="42" t="s">
        <v>159</v>
      </c>
      <c r="E370" s="42"/>
      <c r="F370" s="2"/>
      <c r="G370" s="11">
        <f>G371</f>
        <v>0</v>
      </c>
    </row>
    <row r="371" spans="1:7" ht="63" hidden="1">
      <c r="A371" s="31" t="s">
        <v>313</v>
      </c>
      <c r="B371" s="42" t="s">
        <v>665</v>
      </c>
      <c r="C371" s="42" t="s">
        <v>340</v>
      </c>
      <c r="D371" s="42" t="s">
        <v>159</v>
      </c>
      <c r="E371" s="42" t="s">
        <v>314</v>
      </c>
      <c r="F371" s="2"/>
      <c r="G371" s="11">
        <f>G372</f>
        <v>0</v>
      </c>
    </row>
    <row r="372" spans="1:7" ht="15.75" hidden="1">
      <c r="A372" s="31" t="s">
        <v>315</v>
      </c>
      <c r="B372" s="42" t="s">
        <v>665</v>
      </c>
      <c r="C372" s="42" t="s">
        <v>340</v>
      </c>
      <c r="D372" s="42" t="s">
        <v>159</v>
      </c>
      <c r="E372" s="42" t="s">
        <v>316</v>
      </c>
      <c r="F372" s="2"/>
      <c r="G372" s="11"/>
    </row>
    <row r="373" spans="1:7" ht="63" hidden="1">
      <c r="A373" s="47" t="s">
        <v>302</v>
      </c>
      <c r="B373" s="42" t="s">
        <v>665</v>
      </c>
      <c r="C373" s="42" t="s">
        <v>340</v>
      </c>
      <c r="D373" s="42" t="s">
        <v>159</v>
      </c>
      <c r="E373" s="42"/>
      <c r="F373" s="2">
        <v>903</v>
      </c>
      <c r="G373" s="11">
        <v>0</v>
      </c>
    </row>
    <row r="374" spans="1:7" ht="63">
      <c r="A374" s="43" t="s">
        <v>353</v>
      </c>
      <c r="B374" s="8" t="s">
        <v>354</v>
      </c>
      <c r="C374" s="8"/>
      <c r="D374" s="8"/>
      <c r="E374" s="8"/>
      <c r="F374" s="85"/>
      <c r="G374" s="66" t="e">
        <f>G375</f>
        <v>#REF!</v>
      </c>
    </row>
    <row r="375" spans="1:7" ht="15.75">
      <c r="A375" s="83" t="s">
        <v>339</v>
      </c>
      <c r="B375" s="42" t="s">
        <v>354</v>
      </c>
      <c r="C375" s="42" t="s">
        <v>340</v>
      </c>
      <c r="D375" s="42"/>
      <c r="E375" s="8"/>
      <c r="F375" s="85"/>
      <c r="G375" s="11" t="e">
        <f>G376</f>
        <v>#REF!</v>
      </c>
    </row>
    <row r="376" spans="1:7" ht="15.75">
      <c r="A376" s="83" t="s">
        <v>341</v>
      </c>
      <c r="B376" s="42" t="s">
        <v>354</v>
      </c>
      <c r="C376" s="42" t="s">
        <v>340</v>
      </c>
      <c r="D376" s="42" t="s">
        <v>159</v>
      </c>
      <c r="E376" s="8"/>
      <c r="F376" s="85"/>
      <c r="G376" s="11" t="e">
        <f>G377+G396+G401+G380</f>
        <v>#REF!</v>
      </c>
    </row>
    <row r="377" spans="1:7" ht="63">
      <c r="A377" s="31" t="s">
        <v>344</v>
      </c>
      <c r="B377" s="42" t="s">
        <v>355</v>
      </c>
      <c r="C377" s="42" t="s">
        <v>340</v>
      </c>
      <c r="D377" s="42" t="s">
        <v>159</v>
      </c>
      <c r="E377" s="42"/>
      <c r="F377" s="84"/>
      <c r="G377" s="11" t="e">
        <f>G378</f>
        <v>#REF!</v>
      </c>
    </row>
    <row r="378" spans="1:7" ht="63">
      <c r="A378" s="31" t="s">
        <v>313</v>
      </c>
      <c r="B378" s="42" t="s">
        <v>355</v>
      </c>
      <c r="C378" s="42" t="s">
        <v>340</v>
      </c>
      <c r="D378" s="42" t="s">
        <v>159</v>
      </c>
      <c r="E378" s="42" t="s">
        <v>314</v>
      </c>
      <c r="F378" s="84"/>
      <c r="G378" s="11" t="e">
        <f>G379</f>
        <v>#REF!</v>
      </c>
    </row>
    <row r="379" spans="1:7" ht="15.75">
      <c r="A379" s="31" t="s">
        <v>315</v>
      </c>
      <c r="B379" s="42" t="s">
        <v>355</v>
      </c>
      <c r="C379" s="42" t="s">
        <v>340</v>
      </c>
      <c r="D379" s="42" t="s">
        <v>159</v>
      </c>
      <c r="E379" s="42" t="s">
        <v>316</v>
      </c>
      <c r="F379" s="84"/>
      <c r="G379" s="7" t="e">
        <f>#REF!</f>
        <v>#REF!</v>
      </c>
    </row>
    <row r="380" spans="1:7" ht="63">
      <c r="A380" s="31" t="s">
        <v>317</v>
      </c>
      <c r="B380" s="42" t="s">
        <v>358</v>
      </c>
      <c r="C380" s="42" t="s">
        <v>340</v>
      </c>
      <c r="D380" s="42" t="s">
        <v>159</v>
      </c>
      <c r="E380" s="42"/>
      <c r="F380" s="84"/>
      <c r="G380" s="11" t="e">
        <f>G381</f>
        <v>#REF!</v>
      </c>
    </row>
    <row r="381" spans="1:7" ht="63">
      <c r="A381" s="31" t="s">
        <v>313</v>
      </c>
      <c r="B381" s="42" t="s">
        <v>358</v>
      </c>
      <c r="C381" s="42" t="s">
        <v>340</v>
      </c>
      <c r="D381" s="42" t="s">
        <v>159</v>
      </c>
      <c r="E381" s="42" t="s">
        <v>314</v>
      </c>
      <c r="F381" s="84"/>
      <c r="G381" s="11" t="e">
        <f>G382</f>
        <v>#REF!</v>
      </c>
    </row>
    <row r="382" spans="1:7" ht="15.75">
      <c r="A382" s="31" t="s">
        <v>315</v>
      </c>
      <c r="B382" s="42" t="s">
        <v>358</v>
      </c>
      <c r="C382" s="42" t="s">
        <v>340</v>
      </c>
      <c r="D382" s="42" t="s">
        <v>159</v>
      </c>
      <c r="E382" s="42" t="s">
        <v>316</v>
      </c>
      <c r="F382" s="84"/>
      <c r="G382" s="11" t="e">
        <f>#REF!</f>
        <v>#REF!</v>
      </c>
    </row>
    <row r="383" spans="1:7" ht="63" hidden="1">
      <c r="A383" s="47" t="s">
        <v>302</v>
      </c>
      <c r="B383" s="42" t="s">
        <v>712</v>
      </c>
      <c r="C383" s="42" t="s">
        <v>340</v>
      </c>
      <c r="D383" s="42" t="s">
        <v>159</v>
      </c>
      <c r="E383" s="42"/>
      <c r="F383" s="2">
        <v>903</v>
      </c>
      <c r="G383" s="11" t="e">
        <f>G380</f>
        <v>#REF!</v>
      </c>
    </row>
    <row r="384" spans="1:7" ht="47.25" hidden="1">
      <c r="A384" s="26" t="s">
        <v>319</v>
      </c>
      <c r="B384" s="42" t="s">
        <v>359</v>
      </c>
      <c r="C384" s="42" t="s">
        <v>340</v>
      </c>
      <c r="D384" s="42" t="s">
        <v>159</v>
      </c>
      <c r="E384" s="42"/>
      <c r="F384" s="84"/>
      <c r="G384" s="11">
        <f>G385</f>
        <v>0</v>
      </c>
    </row>
    <row r="385" spans="1:7" ht="63" hidden="1">
      <c r="A385" s="31" t="s">
        <v>313</v>
      </c>
      <c r="B385" s="42" t="s">
        <v>359</v>
      </c>
      <c r="C385" s="42" t="s">
        <v>340</v>
      </c>
      <c r="D385" s="42" t="s">
        <v>159</v>
      </c>
      <c r="E385" s="42" t="s">
        <v>314</v>
      </c>
      <c r="F385" s="84"/>
      <c r="G385" s="11">
        <f>G386</f>
        <v>0</v>
      </c>
    </row>
    <row r="386" spans="1:7" ht="35.25" customHeight="1" hidden="1">
      <c r="A386" s="31" t="s">
        <v>315</v>
      </c>
      <c r="B386" s="42" t="s">
        <v>359</v>
      </c>
      <c r="C386" s="42" t="s">
        <v>340</v>
      </c>
      <c r="D386" s="42" t="s">
        <v>159</v>
      </c>
      <c r="E386" s="42" t="s">
        <v>316</v>
      </c>
      <c r="F386" s="84"/>
      <c r="G386" s="11"/>
    </row>
    <row r="387" spans="1:7" ht="63" hidden="1">
      <c r="A387" s="47" t="s">
        <v>302</v>
      </c>
      <c r="B387" s="42" t="s">
        <v>359</v>
      </c>
      <c r="C387" s="42" t="s">
        <v>340</v>
      </c>
      <c r="D387" s="42" t="s">
        <v>159</v>
      </c>
      <c r="E387" s="42"/>
      <c r="F387" s="2">
        <v>903</v>
      </c>
      <c r="G387" s="11">
        <f>G384</f>
        <v>0</v>
      </c>
    </row>
    <row r="388" spans="1:7" ht="31.5" hidden="1">
      <c r="A388" s="31" t="s">
        <v>713</v>
      </c>
      <c r="B388" s="42" t="s">
        <v>360</v>
      </c>
      <c r="C388" s="42" t="s">
        <v>340</v>
      </c>
      <c r="D388" s="42" t="s">
        <v>159</v>
      </c>
      <c r="E388" s="42"/>
      <c r="F388" s="84"/>
      <c r="G388" s="11">
        <f>G389</f>
        <v>0</v>
      </c>
    </row>
    <row r="389" spans="1:7" ht="63" hidden="1">
      <c r="A389" s="31" t="s">
        <v>313</v>
      </c>
      <c r="B389" s="42" t="s">
        <v>360</v>
      </c>
      <c r="C389" s="42" t="s">
        <v>340</v>
      </c>
      <c r="D389" s="42" t="s">
        <v>159</v>
      </c>
      <c r="E389" s="42" t="s">
        <v>314</v>
      </c>
      <c r="F389" s="84"/>
      <c r="G389" s="11">
        <f>G390</f>
        <v>0</v>
      </c>
    </row>
    <row r="390" spans="1:7" ht="15.75" hidden="1">
      <c r="A390" s="31" t="s">
        <v>315</v>
      </c>
      <c r="B390" s="42" t="s">
        <v>360</v>
      </c>
      <c r="C390" s="42" t="s">
        <v>340</v>
      </c>
      <c r="D390" s="42" t="s">
        <v>159</v>
      </c>
      <c r="E390" s="42" t="s">
        <v>316</v>
      </c>
      <c r="F390" s="84"/>
      <c r="G390" s="11"/>
    </row>
    <row r="391" spans="1:7" ht="63" hidden="1">
      <c r="A391" s="47" t="s">
        <v>302</v>
      </c>
      <c r="B391" s="42" t="s">
        <v>360</v>
      </c>
      <c r="C391" s="42" t="s">
        <v>340</v>
      </c>
      <c r="D391" s="42" t="s">
        <v>159</v>
      </c>
      <c r="E391" s="42"/>
      <c r="F391" s="2">
        <v>903</v>
      </c>
      <c r="G391" s="11">
        <f>G388</f>
        <v>0</v>
      </c>
    </row>
    <row r="392" spans="1:7" ht="31.5" hidden="1">
      <c r="A392" s="31" t="s">
        <v>325</v>
      </c>
      <c r="B392" s="42" t="s">
        <v>667</v>
      </c>
      <c r="C392" s="42" t="s">
        <v>340</v>
      </c>
      <c r="D392" s="42" t="s">
        <v>159</v>
      </c>
      <c r="E392" s="42"/>
      <c r="F392" s="84"/>
      <c r="G392" s="11">
        <f>G393</f>
        <v>0</v>
      </c>
    </row>
    <row r="393" spans="1:7" ht="63" hidden="1">
      <c r="A393" s="31" t="s">
        <v>313</v>
      </c>
      <c r="B393" s="42" t="s">
        <v>667</v>
      </c>
      <c r="C393" s="42" t="s">
        <v>340</v>
      </c>
      <c r="D393" s="42" t="s">
        <v>159</v>
      </c>
      <c r="E393" s="42" t="s">
        <v>314</v>
      </c>
      <c r="F393" s="84"/>
      <c r="G393" s="11">
        <f>G394</f>
        <v>0</v>
      </c>
    </row>
    <row r="394" spans="1:7" ht="15.75" hidden="1">
      <c r="A394" s="31" t="s">
        <v>315</v>
      </c>
      <c r="B394" s="42" t="s">
        <v>667</v>
      </c>
      <c r="C394" s="42" t="s">
        <v>340</v>
      </c>
      <c r="D394" s="42" t="s">
        <v>159</v>
      </c>
      <c r="E394" s="42" t="s">
        <v>316</v>
      </c>
      <c r="F394" s="84"/>
      <c r="G394" s="11"/>
    </row>
    <row r="395" spans="1:7" ht="63" hidden="1">
      <c r="A395" s="47" t="s">
        <v>302</v>
      </c>
      <c r="B395" s="42" t="s">
        <v>667</v>
      </c>
      <c r="C395" s="42" t="s">
        <v>340</v>
      </c>
      <c r="D395" s="42" t="s">
        <v>159</v>
      </c>
      <c r="E395" s="42"/>
      <c r="F395" s="2">
        <v>903</v>
      </c>
      <c r="G395" s="11">
        <f>G392</f>
        <v>0</v>
      </c>
    </row>
    <row r="396" spans="1:7" ht="31.5">
      <c r="A396" s="86" t="s">
        <v>714</v>
      </c>
      <c r="B396" s="42" t="s">
        <v>357</v>
      </c>
      <c r="C396" s="42" t="s">
        <v>340</v>
      </c>
      <c r="D396" s="42" t="s">
        <v>159</v>
      </c>
      <c r="E396" s="42"/>
      <c r="F396" s="2"/>
      <c r="G396" s="11" t="e">
        <f>G397+G399</f>
        <v>#REF!</v>
      </c>
    </row>
    <row r="397" spans="1:7" ht="47.25" hidden="1">
      <c r="A397" s="31" t="s">
        <v>172</v>
      </c>
      <c r="B397" s="42" t="s">
        <v>357</v>
      </c>
      <c r="C397" s="42" t="s">
        <v>340</v>
      </c>
      <c r="D397" s="42" t="s">
        <v>159</v>
      </c>
      <c r="E397" s="42" t="s">
        <v>173</v>
      </c>
      <c r="F397" s="2"/>
      <c r="G397" s="11">
        <f>G398</f>
        <v>0</v>
      </c>
    </row>
    <row r="398" spans="1:7" ht="47.25" hidden="1">
      <c r="A398" s="31" t="s">
        <v>174</v>
      </c>
      <c r="B398" s="42" t="s">
        <v>357</v>
      </c>
      <c r="C398" s="42" t="s">
        <v>340</v>
      </c>
      <c r="D398" s="42" t="s">
        <v>159</v>
      </c>
      <c r="E398" s="42" t="s">
        <v>175</v>
      </c>
      <c r="F398" s="2"/>
      <c r="G398" s="11">
        <v>0</v>
      </c>
    </row>
    <row r="399" spans="1:7" ht="62.25" customHeight="1">
      <c r="A399" s="31" t="s">
        <v>313</v>
      </c>
      <c r="B399" s="42" t="s">
        <v>357</v>
      </c>
      <c r="C399" s="42" t="s">
        <v>340</v>
      </c>
      <c r="D399" s="42" t="s">
        <v>159</v>
      </c>
      <c r="E399" s="42" t="s">
        <v>314</v>
      </c>
      <c r="F399" s="2"/>
      <c r="G399" s="11" t="e">
        <f>G400</f>
        <v>#REF!</v>
      </c>
    </row>
    <row r="400" spans="1:7" ht="15.75">
      <c r="A400" s="31" t="s">
        <v>315</v>
      </c>
      <c r="B400" s="42" t="s">
        <v>357</v>
      </c>
      <c r="C400" s="42" t="s">
        <v>340</v>
      </c>
      <c r="D400" s="42" t="s">
        <v>159</v>
      </c>
      <c r="E400" s="42" t="s">
        <v>316</v>
      </c>
      <c r="F400" s="2"/>
      <c r="G400" s="11" t="e">
        <f>#REF!</f>
        <v>#REF!</v>
      </c>
    </row>
    <row r="401" spans="1:7" ht="15.75">
      <c r="A401" s="26" t="s">
        <v>748</v>
      </c>
      <c r="B401" s="21" t="s">
        <v>749</v>
      </c>
      <c r="C401" s="42" t="s">
        <v>340</v>
      </c>
      <c r="D401" s="42" t="s">
        <v>159</v>
      </c>
      <c r="E401" s="42"/>
      <c r="F401" s="2"/>
      <c r="G401" s="11" t="e">
        <f>G402</f>
        <v>#REF!</v>
      </c>
    </row>
    <row r="402" spans="1:7" ht="63">
      <c r="A402" s="26" t="s">
        <v>313</v>
      </c>
      <c r="B402" s="21" t="s">
        <v>749</v>
      </c>
      <c r="C402" s="42" t="s">
        <v>340</v>
      </c>
      <c r="D402" s="42" t="s">
        <v>159</v>
      </c>
      <c r="E402" s="42" t="s">
        <v>314</v>
      </c>
      <c r="F402" s="2"/>
      <c r="G402" s="11" t="e">
        <f>G403</f>
        <v>#REF!</v>
      </c>
    </row>
    <row r="403" spans="1:7" ht="15.75">
      <c r="A403" s="26" t="s">
        <v>315</v>
      </c>
      <c r="B403" s="21" t="s">
        <v>749</v>
      </c>
      <c r="C403" s="42" t="s">
        <v>340</v>
      </c>
      <c r="D403" s="42" t="s">
        <v>159</v>
      </c>
      <c r="E403" s="42" t="s">
        <v>316</v>
      </c>
      <c r="F403" s="2"/>
      <c r="G403" s="11" t="e">
        <f>#REF!</f>
        <v>#REF!</v>
      </c>
    </row>
    <row r="404" spans="1:7" ht="63">
      <c r="A404" s="47" t="s">
        <v>302</v>
      </c>
      <c r="B404" s="42" t="s">
        <v>354</v>
      </c>
      <c r="C404" s="42" t="s">
        <v>340</v>
      </c>
      <c r="D404" s="42" t="s">
        <v>159</v>
      </c>
      <c r="E404" s="42"/>
      <c r="F404" s="2">
        <v>903</v>
      </c>
      <c r="G404" s="11" t="e">
        <f>G374</f>
        <v>#REF!</v>
      </c>
    </row>
    <row r="405" spans="1:7" ht="47.25" hidden="1">
      <c r="A405" s="68" t="s">
        <v>362</v>
      </c>
      <c r="B405" s="42" t="s">
        <v>363</v>
      </c>
      <c r="C405" s="42" t="s">
        <v>340</v>
      </c>
      <c r="D405" s="42" t="s">
        <v>159</v>
      </c>
      <c r="E405" s="42"/>
      <c r="F405" s="2"/>
      <c r="G405" s="11">
        <f>G406</f>
        <v>0</v>
      </c>
    </row>
    <row r="406" spans="1:7" ht="63" hidden="1">
      <c r="A406" s="31" t="s">
        <v>313</v>
      </c>
      <c r="B406" s="42" t="s">
        <v>363</v>
      </c>
      <c r="C406" s="42" t="s">
        <v>340</v>
      </c>
      <c r="D406" s="42" t="s">
        <v>159</v>
      </c>
      <c r="E406" s="42" t="s">
        <v>314</v>
      </c>
      <c r="F406" s="2"/>
      <c r="G406" s="11"/>
    </row>
    <row r="407" spans="1:7" ht="15.75" hidden="1">
      <c r="A407" s="31" t="s">
        <v>315</v>
      </c>
      <c r="B407" s="42" t="s">
        <v>363</v>
      </c>
      <c r="C407" s="42" t="s">
        <v>340</v>
      </c>
      <c r="D407" s="42" t="s">
        <v>159</v>
      </c>
      <c r="E407" s="42" t="s">
        <v>316</v>
      </c>
      <c r="F407" s="2"/>
      <c r="G407" s="11"/>
    </row>
    <row r="408" spans="1:7" ht="63" hidden="1">
      <c r="A408" s="47" t="s">
        <v>302</v>
      </c>
      <c r="B408" s="42" t="s">
        <v>363</v>
      </c>
      <c r="C408" s="42" t="s">
        <v>340</v>
      </c>
      <c r="D408" s="42" t="s">
        <v>159</v>
      </c>
      <c r="E408" s="42"/>
      <c r="F408" s="2">
        <v>903</v>
      </c>
      <c r="G408" s="11">
        <f>G407</f>
        <v>0</v>
      </c>
    </row>
    <row r="409" spans="1:7" ht="78.75">
      <c r="A409" s="43" t="s">
        <v>364</v>
      </c>
      <c r="B409" s="8" t="s">
        <v>365</v>
      </c>
      <c r="C409" s="82"/>
      <c r="D409" s="82"/>
      <c r="E409" s="82"/>
      <c r="F409" s="82"/>
      <c r="G409" s="66" t="e">
        <f>G410</f>
        <v>#REF!</v>
      </c>
    </row>
    <row r="410" spans="1:7" ht="15.75">
      <c r="A410" s="83" t="s">
        <v>339</v>
      </c>
      <c r="B410" s="42" t="s">
        <v>365</v>
      </c>
      <c r="C410" s="42" t="s">
        <v>340</v>
      </c>
      <c r="D410" s="83"/>
      <c r="E410" s="83"/>
      <c r="F410" s="83"/>
      <c r="G410" s="11" t="e">
        <f>G411</f>
        <v>#REF!</v>
      </c>
    </row>
    <row r="411" spans="1:7" ht="15.75">
      <c r="A411" s="83" t="s">
        <v>341</v>
      </c>
      <c r="B411" s="42" t="s">
        <v>365</v>
      </c>
      <c r="C411" s="42" t="s">
        <v>340</v>
      </c>
      <c r="D411" s="42" t="s">
        <v>159</v>
      </c>
      <c r="E411" s="83"/>
      <c r="F411" s="83"/>
      <c r="G411" s="11" t="e">
        <f>G412</f>
        <v>#REF!</v>
      </c>
    </row>
    <row r="412" spans="1:7" ht="63">
      <c r="A412" s="31" t="s">
        <v>366</v>
      </c>
      <c r="B412" s="42" t="s">
        <v>367</v>
      </c>
      <c r="C412" s="42" t="s">
        <v>340</v>
      </c>
      <c r="D412" s="42" t="s">
        <v>159</v>
      </c>
      <c r="E412" s="83"/>
      <c r="F412" s="83"/>
      <c r="G412" s="11" t="e">
        <f>G413</f>
        <v>#REF!</v>
      </c>
    </row>
    <row r="413" spans="1:7" ht="63">
      <c r="A413" s="26" t="s">
        <v>313</v>
      </c>
      <c r="B413" s="42" t="s">
        <v>367</v>
      </c>
      <c r="C413" s="42" t="s">
        <v>340</v>
      </c>
      <c r="D413" s="42" t="s">
        <v>159</v>
      </c>
      <c r="E413" s="42" t="s">
        <v>314</v>
      </c>
      <c r="F413" s="83"/>
      <c r="G413" s="11" t="e">
        <f>G414</f>
        <v>#REF!</v>
      </c>
    </row>
    <row r="414" spans="1:7" ht="15.75">
      <c r="A414" s="26" t="s">
        <v>315</v>
      </c>
      <c r="B414" s="42" t="s">
        <v>367</v>
      </c>
      <c r="C414" s="42" t="s">
        <v>340</v>
      </c>
      <c r="D414" s="42" t="s">
        <v>159</v>
      </c>
      <c r="E414" s="42" t="s">
        <v>316</v>
      </c>
      <c r="F414" s="83"/>
      <c r="G414" s="11" t="e">
        <f>#REF!</f>
        <v>#REF!</v>
      </c>
    </row>
    <row r="415" spans="1:7" ht="63" hidden="1">
      <c r="A415" s="47" t="s">
        <v>715</v>
      </c>
      <c r="B415" s="42" t="s">
        <v>367</v>
      </c>
      <c r="C415" s="42" t="s">
        <v>340</v>
      </c>
      <c r="D415" s="42" t="s">
        <v>159</v>
      </c>
      <c r="E415" s="42"/>
      <c r="F415" s="83"/>
      <c r="G415" s="11">
        <f>G416</f>
        <v>0</v>
      </c>
    </row>
    <row r="416" spans="1:7" ht="63" hidden="1">
      <c r="A416" s="31" t="s">
        <v>313</v>
      </c>
      <c r="B416" s="42" t="s">
        <v>367</v>
      </c>
      <c r="C416" s="42" t="s">
        <v>340</v>
      </c>
      <c r="D416" s="42" t="s">
        <v>159</v>
      </c>
      <c r="E416" s="42" t="s">
        <v>314</v>
      </c>
      <c r="F416" s="83"/>
      <c r="G416" s="11">
        <f>G417</f>
        <v>0</v>
      </c>
    </row>
    <row r="417" spans="1:7" ht="15.75" hidden="1">
      <c r="A417" s="31" t="s">
        <v>315</v>
      </c>
      <c r="B417" s="42" t="s">
        <v>367</v>
      </c>
      <c r="C417" s="42" t="s">
        <v>340</v>
      </c>
      <c r="D417" s="42" t="s">
        <v>159</v>
      </c>
      <c r="E417" s="42" t="s">
        <v>316</v>
      </c>
      <c r="F417" s="83"/>
      <c r="G417" s="11"/>
    </row>
    <row r="418" spans="1:7" ht="63">
      <c r="A418" s="47" t="s">
        <v>302</v>
      </c>
      <c r="B418" s="42" t="s">
        <v>365</v>
      </c>
      <c r="C418" s="42" t="s">
        <v>340</v>
      </c>
      <c r="D418" s="42" t="s">
        <v>159</v>
      </c>
      <c r="E418" s="83"/>
      <c r="F418" s="2">
        <v>903</v>
      </c>
      <c r="G418" s="11" t="e">
        <f>G409</f>
        <v>#REF!</v>
      </c>
    </row>
    <row r="419" spans="1:7" ht="63">
      <c r="A419" s="43" t="s">
        <v>584</v>
      </c>
      <c r="B419" s="8" t="s">
        <v>585</v>
      </c>
      <c r="C419" s="2"/>
      <c r="D419" s="2"/>
      <c r="E419" s="2"/>
      <c r="F419" s="2"/>
      <c r="G419" s="66" t="e">
        <f>G420+G433</f>
        <v>#REF!</v>
      </c>
    </row>
    <row r="420" spans="1:7" ht="78.75">
      <c r="A420" s="43" t="s">
        <v>586</v>
      </c>
      <c r="B420" s="8" t="s">
        <v>587</v>
      </c>
      <c r="C420" s="8"/>
      <c r="D420" s="8"/>
      <c r="E420" s="3"/>
      <c r="F420" s="3"/>
      <c r="G420" s="66" t="e">
        <f>G421</f>
        <v>#REF!</v>
      </c>
    </row>
    <row r="421" spans="1:7" ht="15.75">
      <c r="A421" s="83" t="s">
        <v>432</v>
      </c>
      <c r="B421" s="42" t="s">
        <v>587</v>
      </c>
      <c r="C421" s="42" t="s">
        <v>275</v>
      </c>
      <c r="D421" s="42"/>
      <c r="E421" s="2"/>
      <c r="F421" s="2"/>
      <c r="G421" s="11" t="e">
        <f>G422</f>
        <v>#REF!</v>
      </c>
    </row>
    <row r="422" spans="1:7" ht="15.75">
      <c r="A422" s="83" t="s">
        <v>583</v>
      </c>
      <c r="B422" s="42" t="s">
        <v>587</v>
      </c>
      <c r="C422" s="42" t="s">
        <v>275</v>
      </c>
      <c r="D422" s="42" t="s">
        <v>256</v>
      </c>
      <c r="E422" s="2"/>
      <c r="F422" s="2"/>
      <c r="G422" s="11" t="e">
        <f>G423+G426+G429</f>
        <v>#REF!</v>
      </c>
    </row>
    <row r="423" spans="1:7" ht="31.5">
      <c r="A423" s="26" t="s">
        <v>588</v>
      </c>
      <c r="B423" s="21" t="s">
        <v>589</v>
      </c>
      <c r="C423" s="42" t="s">
        <v>275</v>
      </c>
      <c r="D423" s="42" t="s">
        <v>256</v>
      </c>
      <c r="E423" s="2"/>
      <c r="F423" s="2"/>
      <c r="G423" s="11" t="e">
        <f>G424</f>
        <v>#REF!</v>
      </c>
    </row>
    <row r="424" spans="1:7" ht="51" customHeight="1">
      <c r="A424" s="26" t="s">
        <v>172</v>
      </c>
      <c r="B424" s="21" t="s">
        <v>589</v>
      </c>
      <c r="C424" s="42" t="s">
        <v>275</v>
      </c>
      <c r="D424" s="42" t="s">
        <v>256</v>
      </c>
      <c r="E424" s="2">
        <v>200</v>
      </c>
      <c r="F424" s="2"/>
      <c r="G424" s="11" t="e">
        <f>G425</f>
        <v>#REF!</v>
      </c>
    </row>
    <row r="425" spans="1:7" ht="47.25">
      <c r="A425" s="26" t="s">
        <v>174</v>
      </c>
      <c r="B425" s="21" t="s">
        <v>589</v>
      </c>
      <c r="C425" s="42" t="s">
        <v>275</v>
      </c>
      <c r="D425" s="42" t="s">
        <v>256</v>
      </c>
      <c r="E425" s="2">
        <v>240</v>
      </c>
      <c r="F425" s="2"/>
      <c r="G425" s="11" t="e">
        <f>#REF!</f>
        <v>#REF!</v>
      </c>
    </row>
    <row r="426" spans="1:7" ht="31.5" customHeight="1">
      <c r="A426" s="26" t="s">
        <v>590</v>
      </c>
      <c r="B426" s="21" t="s">
        <v>591</v>
      </c>
      <c r="C426" s="42" t="s">
        <v>275</v>
      </c>
      <c r="D426" s="42" t="s">
        <v>256</v>
      </c>
      <c r="E426" s="2"/>
      <c r="F426" s="2"/>
      <c r="G426" s="11" t="e">
        <f>G427</f>
        <v>#REF!</v>
      </c>
    </row>
    <row r="427" spans="1:7" ht="47.25">
      <c r="A427" s="26" t="s">
        <v>172</v>
      </c>
      <c r="B427" s="21" t="s">
        <v>591</v>
      </c>
      <c r="C427" s="42" t="s">
        <v>275</v>
      </c>
      <c r="D427" s="42" t="s">
        <v>256</v>
      </c>
      <c r="E427" s="2">
        <v>200</v>
      </c>
      <c r="F427" s="2"/>
      <c r="G427" s="11" t="e">
        <f>G428</f>
        <v>#REF!</v>
      </c>
    </row>
    <row r="428" spans="1:7" ht="47.25">
      <c r="A428" s="26" t="s">
        <v>174</v>
      </c>
      <c r="B428" s="21" t="s">
        <v>591</v>
      </c>
      <c r="C428" s="42" t="s">
        <v>275</v>
      </c>
      <c r="D428" s="42" t="s">
        <v>256</v>
      </c>
      <c r="E428" s="2">
        <v>240</v>
      </c>
      <c r="F428" s="2"/>
      <c r="G428" s="11" t="e">
        <f>#REF!</f>
        <v>#REF!</v>
      </c>
    </row>
    <row r="429" spans="1:7" ht="31.5">
      <c r="A429" s="26" t="s">
        <v>592</v>
      </c>
      <c r="B429" s="21" t="s">
        <v>593</v>
      </c>
      <c r="C429" s="42" t="s">
        <v>275</v>
      </c>
      <c r="D429" s="42" t="s">
        <v>256</v>
      </c>
      <c r="E429" s="2"/>
      <c r="F429" s="2"/>
      <c r="G429" s="11" t="e">
        <f>G430</f>
        <v>#REF!</v>
      </c>
    </row>
    <row r="430" spans="1:7" ht="47.25">
      <c r="A430" s="26" t="s">
        <v>172</v>
      </c>
      <c r="B430" s="21" t="s">
        <v>593</v>
      </c>
      <c r="C430" s="42" t="s">
        <v>275</v>
      </c>
      <c r="D430" s="42" t="s">
        <v>256</v>
      </c>
      <c r="E430" s="2">
        <v>200</v>
      </c>
      <c r="F430" s="2"/>
      <c r="G430" s="11" t="e">
        <f>G431</f>
        <v>#REF!</v>
      </c>
    </row>
    <row r="431" spans="1:7" ht="47.25">
      <c r="A431" s="26" t="s">
        <v>174</v>
      </c>
      <c r="B431" s="21" t="s">
        <v>593</v>
      </c>
      <c r="C431" s="42" t="s">
        <v>275</v>
      </c>
      <c r="D431" s="42" t="s">
        <v>256</v>
      </c>
      <c r="E431" s="2">
        <v>240</v>
      </c>
      <c r="F431" s="2"/>
      <c r="G431" s="11" t="e">
        <f>#REF!</f>
        <v>#REF!</v>
      </c>
    </row>
    <row r="432" spans="1:7" ht="47.25">
      <c r="A432" s="47" t="s">
        <v>683</v>
      </c>
      <c r="B432" s="42" t="s">
        <v>587</v>
      </c>
      <c r="C432" s="42" t="s">
        <v>275</v>
      </c>
      <c r="D432" s="42" t="s">
        <v>256</v>
      </c>
      <c r="E432" s="2"/>
      <c r="F432" s="2">
        <v>908</v>
      </c>
      <c r="G432" s="11" t="e">
        <f>G420</f>
        <v>#REF!</v>
      </c>
    </row>
    <row r="433" spans="1:7" ht="63">
      <c r="A433" s="24" t="s">
        <v>594</v>
      </c>
      <c r="B433" s="8" t="s">
        <v>595</v>
      </c>
      <c r="C433" s="8"/>
      <c r="D433" s="8"/>
      <c r="E433" s="3"/>
      <c r="F433" s="3"/>
      <c r="G433" s="66" t="e">
        <f>G434</f>
        <v>#REF!</v>
      </c>
    </row>
    <row r="434" spans="1:7" ht="15.75">
      <c r="A434" s="83" t="s">
        <v>432</v>
      </c>
      <c r="B434" s="42" t="s">
        <v>595</v>
      </c>
      <c r="C434" s="42" t="s">
        <v>275</v>
      </c>
      <c r="D434" s="42"/>
      <c r="E434" s="2"/>
      <c r="F434" s="2"/>
      <c r="G434" s="11" t="e">
        <f>G435</f>
        <v>#REF!</v>
      </c>
    </row>
    <row r="435" spans="1:7" ht="15.75">
      <c r="A435" s="83" t="s">
        <v>583</v>
      </c>
      <c r="B435" s="42" t="s">
        <v>595</v>
      </c>
      <c r="C435" s="42" t="s">
        <v>275</v>
      </c>
      <c r="D435" s="42" t="s">
        <v>256</v>
      </c>
      <c r="E435" s="2"/>
      <c r="F435" s="2"/>
      <c r="G435" s="11" t="e">
        <f>G436+G441+G444+G447</f>
        <v>#REF!</v>
      </c>
    </row>
    <row r="436" spans="1:7" ht="31.5">
      <c r="A436" s="26" t="s">
        <v>592</v>
      </c>
      <c r="B436" s="21" t="s">
        <v>596</v>
      </c>
      <c r="C436" s="42" t="s">
        <v>275</v>
      </c>
      <c r="D436" s="42" t="s">
        <v>256</v>
      </c>
      <c r="E436" s="2"/>
      <c r="F436" s="2"/>
      <c r="G436" s="11" t="e">
        <f>G437+G439</f>
        <v>#REF!</v>
      </c>
    </row>
    <row r="437" spans="1:7" ht="110.25">
      <c r="A437" s="26" t="s">
        <v>168</v>
      </c>
      <c r="B437" s="21" t="s">
        <v>596</v>
      </c>
      <c r="C437" s="42" t="s">
        <v>275</v>
      </c>
      <c r="D437" s="42" t="s">
        <v>256</v>
      </c>
      <c r="E437" s="2">
        <v>100</v>
      </c>
      <c r="F437" s="2"/>
      <c r="G437" s="11" t="e">
        <f>G438</f>
        <v>#REF!</v>
      </c>
    </row>
    <row r="438" spans="1:7" ht="31.5">
      <c r="A438" s="48" t="s">
        <v>383</v>
      </c>
      <c r="B438" s="21" t="s">
        <v>596</v>
      </c>
      <c r="C438" s="42" t="s">
        <v>275</v>
      </c>
      <c r="D438" s="42" t="s">
        <v>256</v>
      </c>
      <c r="E438" s="2">
        <v>110</v>
      </c>
      <c r="F438" s="2"/>
      <c r="G438" s="11" t="e">
        <f>#REF!</f>
        <v>#REF!</v>
      </c>
    </row>
    <row r="439" spans="1:7" ht="47.25">
      <c r="A439" s="26" t="s">
        <v>172</v>
      </c>
      <c r="B439" s="21" t="s">
        <v>596</v>
      </c>
      <c r="C439" s="42" t="s">
        <v>275</v>
      </c>
      <c r="D439" s="42" t="s">
        <v>256</v>
      </c>
      <c r="E439" s="2">
        <v>200</v>
      </c>
      <c r="F439" s="2"/>
      <c r="G439" s="11" t="e">
        <f>G440</f>
        <v>#REF!</v>
      </c>
    </row>
    <row r="440" spans="1:7" ht="47.25">
      <c r="A440" s="26" t="s">
        <v>174</v>
      </c>
      <c r="B440" s="21" t="s">
        <v>596</v>
      </c>
      <c r="C440" s="42" t="s">
        <v>275</v>
      </c>
      <c r="D440" s="42" t="s">
        <v>256</v>
      </c>
      <c r="E440" s="2">
        <v>240</v>
      </c>
      <c r="F440" s="2"/>
      <c r="G440" s="11" t="e">
        <f>#REF!</f>
        <v>#REF!</v>
      </c>
    </row>
    <row r="441" spans="1:7" ht="15.75">
      <c r="A441" s="26" t="s">
        <v>597</v>
      </c>
      <c r="B441" s="21" t="s">
        <v>598</v>
      </c>
      <c r="C441" s="42" t="s">
        <v>275</v>
      </c>
      <c r="D441" s="42" t="s">
        <v>256</v>
      </c>
      <c r="E441" s="2"/>
      <c r="F441" s="2"/>
      <c r="G441" s="11" t="e">
        <f>G442</f>
        <v>#REF!</v>
      </c>
    </row>
    <row r="442" spans="1:7" ht="47.25">
      <c r="A442" s="26" t="s">
        <v>172</v>
      </c>
      <c r="B442" s="21" t="s">
        <v>598</v>
      </c>
      <c r="C442" s="42" t="s">
        <v>275</v>
      </c>
      <c r="D442" s="42" t="s">
        <v>256</v>
      </c>
      <c r="E442" s="2">
        <v>200</v>
      </c>
      <c r="F442" s="2"/>
      <c r="G442" s="11" t="e">
        <f>G443</f>
        <v>#REF!</v>
      </c>
    </row>
    <row r="443" spans="1:7" ht="47.25">
      <c r="A443" s="26" t="s">
        <v>174</v>
      </c>
      <c r="B443" s="21" t="s">
        <v>598</v>
      </c>
      <c r="C443" s="42" t="s">
        <v>275</v>
      </c>
      <c r="D443" s="42" t="s">
        <v>256</v>
      </c>
      <c r="E443" s="2">
        <v>240</v>
      </c>
      <c r="F443" s="2"/>
      <c r="G443" s="11" t="e">
        <f>#REF!</f>
        <v>#REF!</v>
      </c>
    </row>
    <row r="444" spans="1:7" ht="63">
      <c r="A444" s="120" t="s">
        <v>599</v>
      </c>
      <c r="B444" s="21" t="s">
        <v>600</v>
      </c>
      <c r="C444" s="42" t="s">
        <v>275</v>
      </c>
      <c r="D444" s="42" t="s">
        <v>256</v>
      </c>
      <c r="E444" s="2"/>
      <c r="F444" s="2"/>
      <c r="G444" s="11" t="e">
        <f>G445</f>
        <v>#REF!</v>
      </c>
    </row>
    <row r="445" spans="1:7" ht="47.25">
      <c r="A445" s="26" t="s">
        <v>172</v>
      </c>
      <c r="B445" s="21" t="s">
        <v>600</v>
      </c>
      <c r="C445" s="42" t="s">
        <v>275</v>
      </c>
      <c r="D445" s="42" t="s">
        <v>256</v>
      </c>
      <c r="E445" s="2">
        <v>200</v>
      </c>
      <c r="F445" s="2"/>
      <c r="G445" s="11" t="e">
        <f>G446</f>
        <v>#REF!</v>
      </c>
    </row>
    <row r="446" spans="1:7" ht="47.25">
      <c r="A446" s="26" t="s">
        <v>174</v>
      </c>
      <c r="B446" s="21" t="s">
        <v>600</v>
      </c>
      <c r="C446" s="42" t="s">
        <v>275</v>
      </c>
      <c r="D446" s="42" t="s">
        <v>256</v>
      </c>
      <c r="E446" s="2">
        <v>240</v>
      </c>
      <c r="F446" s="2"/>
      <c r="G446" s="11" t="e">
        <f>#REF!</f>
        <v>#REF!</v>
      </c>
    </row>
    <row r="447" spans="1:7" ht="31.5">
      <c r="A447" s="120" t="s">
        <v>601</v>
      </c>
      <c r="B447" s="21" t="s">
        <v>602</v>
      </c>
      <c r="C447" s="42" t="s">
        <v>275</v>
      </c>
      <c r="D447" s="42" t="s">
        <v>256</v>
      </c>
      <c r="E447" s="2"/>
      <c r="F447" s="2"/>
      <c r="G447" s="11" t="e">
        <f>G448</f>
        <v>#REF!</v>
      </c>
    </row>
    <row r="448" spans="1:7" ht="47.25">
      <c r="A448" s="26" t="s">
        <v>172</v>
      </c>
      <c r="B448" s="21" t="s">
        <v>602</v>
      </c>
      <c r="C448" s="42" t="s">
        <v>275</v>
      </c>
      <c r="D448" s="42" t="s">
        <v>256</v>
      </c>
      <c r="E448" s="2">
        <v>200</v>
      </c>
      <c r="F448" s="2"/>
      <c r="G448" s="11" t="e">
        <f>G449</f>
        <v>#REF!</v>
      </c>
    </row>
    <row r="449" spans="1:7" ht="47.25">
      <c r="A449" s="26" t="s">
        <v>174</v>
      </c>
      <c r="B449" s="21" t="s">
        <v>602</v>
      </c>
      <c r="C449" s="42" t="s">
        <v>275</v>
      </c>
      <c r="D449" s="42" t="s">
        <v>256</v>
      </c>
      <c r="E449" s="2">
        <v>240</v>
      </c>
      <c r="F449" s="2"/>
      <c r="G449" s="11" t="e">
        <f>#REF!</f>
        <v>#REF!</v>
      </c>
    </row>
    <row r="450" spans="1:7" ht="47.25">
      <c r="A450" s="47" t="s">
        <v>683</v>
      </c>
      <c r="B450" s="21" t="s">
        <v>595</v>
      </c>
      <c r="C450" s="42" t="s">
        <v>275</v>
      </c>
      <c r="D450" s="42" t="s">
        <v>256</v>
      </c>
      <c r="E450" s="2"/>
      <c r="F450" s="2">
        <v>908</v>
      </c>
      <c r="G450" s="11" t="e">
        <f>G433</f>
        <v>#REF!</v>
      </c>
    </row>
    <row r="451" spans="1:7" ht="78.75">
      <c r="A451" s="36" t="s">
        <v>222</v>
      </c>
      <c r="B451" s="201" t="s">
        <v>223</v>
      </c>
      <c r="C451" s="8"/>
      <c r="D451" s="8"/>
      <c r="E451" s="8"/>
      <c r="F451" s="3"/>
      <c r="G451" s="66" t="e">
        <f>G452</f>
        <v>#REF!</v>
      </c>
    </row>
    <row r="452" spans="1:7" ht="15.75">
      <c r="A452" s="26" t="s">
        <v>158</v>
      </c>
      <c r="B452" s="6" t="s">
        <v>223</v>
      </c>
      <c r="C452" s="42" t="s">
        <v>159</v>
      </c>
      <c r="D452" s="42"/>
      <c r="E452" s="42"/>
      <c r="F452" s="2"/>
      <c r="G452" s="11" t="e">
        <f>G453</f>
        <v>#REF!</v>
      </c>
    </row>
    <row r="453" spans="1:7" ht="31.5">
      <c r="A453" s="26" t="s">
        <v>180</v>
      </c>
      <c r="B453" s="32" t="s">
        <v>223</v>
      </c>
      <c r="C453" s="42" t="s">
        <v>159</v>
      </c>
      <c r="D453" s="42" t="s">
        <v>181</v>
      </c>
      <c r="E453" s="42"/>
      <c r="F453" s="2"/>
      <c r="G453" s="11" t="e">
        <f>G454</f>
        <v>#REF!</v>
      </c>
    </row>
    <row r="454" spans="1:7" ht="47.25">
      <c r="A454" s="31" t="s">
        <v>198</v>
      </c>
      <c r="B454" s="21" t="s">
        <v>224</v>
      </c>
      <c r="C454" s="42" t="s">
        <v>159</v>
      </c>
      <c r="D454" s="42" t="s">
        <v>181</v>
      </c>
      <c r="E454" s="42"/>
      <c r="F454" s="2"/>
      <c r="G454" s="11" t="e">
        <f>G455</f>
        <v>#REF!</v>
      </c>
    </row>
    <row r="455" spans="1:7" ht="47.25">
      <c r="A455" s="31" t="s">
        <v>172</v>
      </c>
      <c r="B455" s="21" t="s">
        <v>224</v>
      </c>
      <c r="C455" s="42" t="s">
        <v>159</v>
      </c>
      <c r="D455" s="42" t="s">
        <v>181</v>
      </c>
      <c r="E455" s="42" t="s">
        <v>186</v>
      </c>
      <c r="F455" s="2"/>
      <c r="G455" s="11" t="e">
        <f>G456</f>
        <v>#REF!</v>
      </c>
    </row>
    <row r="456" spans="1:7" ht="78.75">
      <c r="A456" s="31" t="s">
        <v>225</v>
      </c>
      <c r="B456" s="21" t="s">
        <v>224</v>
      </c>
      <c r="C456" s="42" t="s">
        <v>159</v>
      </c>
      <c r="D456" s="42" t="s">
        <v>181</v>
      </c>
      <c r="E456" s="42" t="s">
        <v>201</v>
      </c>
      <c r="F456" s="2"/>
      <c r="G456" s="11" t="e">
        <f>#REF!</f>
        <v>#REF!</v>
      </c>
    </row>
    <row r="457" spans="1:7" ht="31.5">
      <c r="A457" s="31" t="s">
        <v>189</v>
      </c>
      <c r="B457" s="32" t="s">
        <v>223</v>
      </c>
      <c r="C457" s="42" t="s">
        <v>159</v>
      </c>
      <c r="D457" s="42" t="s">
        <v>181</v>
      </c>
      <c r="E457" s="42"/>
      <c r="F457" s="2">
        <v>902</v>
      </c>
      <c r="G457" s="11" t="e">
        <f>G451</f>
        <v>#REF!</v>
      </c>
    </row>
    <row r="458" spans="1:7" ht="94.5">
      <c r="A458" s="43" t="s">
        <v>716</v>
      </c>
      <c r="B458" s="8" t="s">
        <v>560</v>
      </c>
      <c r="C458" s="8"/>
      <c r="D458" s="8"/>
      <c r="E458" s="82"/>
      <c r="F458" s="3"/>
      <c r="G458" s="66" t="e">
        <f>G459</f>
        <v>#REF!</v>
      </c>
    </row>
    <row r="459" spans="1:7" ht="15.75">
      <c r="A459" s="31" t="s">
        <v>432</v>
      </c>
      <c r="B459" s="42" t="s">
        <v>560</v>
      </c>
      <c r="C459" s="42" t="s">
        <v>275</v>
      </c>
      <c r="D459" s="42"/>
      <c r="E459" s="83"/>
      <c r="F459" s="2"/>
      <c r="G459" s="11" t="e">
        <f>G460</f>
        <v>#REF!</v>
      </c>
    </row>
    <row r="460" spans="1:7" ht="15.75">
      <c r="A460" s="31" t="s">
        <v>559</v>
      </c>
      <c r="B460" s="42" t="s">
        <v>560</v>
      </c>
      <c r="C460" s="42" t="s">
        <v>275</v>
      </c>
      <c r="D460" s="42" t="s">
        <v>254</v>
      </c>
      <c r="E460" s="83"/>
      <c r="F460" s="2"/>
      <c r="G460" s="11" t="e">
        <f>G465+G468+G471+G474+G477+G480+G483</f>
        <v>#REF!</v>
      </c>
    </row>
    <row r="461" spans="1:7" ht="63" hidden="1">
      <c r="A461" s="37" t="s">
        <v>561</v>
      </c>
      <c r="B461" s="21" t="s">
        <v>562</v>
      </c>
      <c r="C461" s="42" t="s">
        <v>275</v>
      </c>
      <c r="D461" s="42" t="s">
        <v>254</v>
      </c>
      <c r="E461" s="83"/>
      <c r="F461" s="2"/>
      <c r="G461" s="11">
        <f>G462</f>
        <v>0</v>
      </c>
    </row>
    <row r="462" spans="1:7" ht="47.25" hidden="1">
      <c r="A462" s="31" t="s">
        <v>172</v>
      </c>
      <c r="B462" s="21" t="s">
        <v>562</v>
      </c>
      <c r="C462" s="42" t="s">
        <v>275</v>
      </c>
      <c r="D462" s="42" t="s">
        <v>254</v>
      </c>
      <c r="E462" s="42" t="s">
        <v>173</v>
      </c>
      <c r="F462" s="2"/>
      <c r="G462" s="11">
        <f>G463</f>
        <v>0</v>
      </c>
    </row>
    <row r="463" spans="1:7" ht="47.25" hidden="1">
      <c r="A463" s="31" t="s">
        <v>174</v>
      </c>
      <c r="B463" s="21" t="s">
        <v>562</v>
      </c>
      <c r="C463" s="42" t="s">
        <v>275</v>
      </c>
      <c r="D463" s="42" t="s">
        <v>254</v>
      </c>
      <c r="E463" s="42" t="s">
        <v>175</v>
      </c>
      <c r="F463" s="2"/>
      <c r="G463" s="11"/>
    </row>
    <row r="464" spans="1:7" ht="47.25" hidden="1">
      <c r="A464" s="47" t="s">
        <v>683</v>
      </c>
      <c r="B464" s="21" t="s">
        <v>562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20" t="s">
        <v>563</v>
      </c>
      <c r="B465" s="21" t="s">
        <v>564</v>
      </c>
      <c r="C465" s="42" t="s">
        <v>275</v>
      </c>
      <c r="D465" s="42" t="s">
        <v>254</v>
      </c>
      <c r="E465" s="42"/>
      <c r="F465" s="2"/>
      <c r="G465" s="11" t="e">
        <f>G466</f>
        <v>#REF!</v>
      </c>
    </row>
    <row r="466" spans="1:7" ht="47.25">
      <c r="A466" s="33" t="s">
        <v>172</v>
      </c>
      <c r="B466" s="21" t="s">
        <v>564</v>
      </c>
      <c r="C466" s="42" t="s">
        <v>275</v>
      </c>
      <c r="D466" s="42" t="s">
        <v>254</v>
      </c>
      <c r="E466" s="42" t="s">
        <v>173</v>
      </c>
      <c r="F466" s="2"/>
      <c r="G466" s="11" t="e">
        <f>G467</f>
        <v>#REF!</v>
      </c>
    </row>
    <row r="467" spans="1:7" ht="47.25">
      <c r="A467" s="33" t="s">
        <v>174</v>
      </c>
      <c r="B467" s="21" t="s">
        <v>564</v>
      </c>
      <c r="C467" s="42" t="s">
        <v>275</v>
      </c>
      <c r="D467" s="42" t="s">
        <v>254</v>
      </c>
      <c r="E467" s="42" t="s">
        <v>175</v>
      </c>
      <c r="F467" s="2"/>
      <c r="G467" s="11" t="e">
        <f>#REF!</f>
        <v>#REF!</v>
      </c>
    </row>
    <row r="468" spans="1:7" ht="15.75">
      <c r="A468" s="120" t="s">
        <v>565</v>
      </c>
      <c r="B468" s="21" t="s">
        <v>566</v>
      </c>
      <c r="C468" s="42" t="s">
        <v>275</v>
      </c>
      <c r="D468" s="42" t="s">
        <v>254</v>
      </c>
      <c r="E468" s="42"/>
      <c r="F468" s="2"/>
      <c r="G468" s="11" t="e">
        <f>G469</f>
        <v>#REF!</v>
      </c>
    </row>
    <row r="469" spans="1:7" ht="47.25">
      <c r="A469" s="33" t="s">
        <v>172</v>
      </c>
      <c r="B469" s="21" t="s">
        <v>566</v>
      </c>
      <c r="C469" s="42" t="s">
        <v>275</v>
      </c>
      <c r="D469" s="42" t="s">
        <v>254</v>
      </c>
      <c r="E469" s="42" t="s">
        <v>173</v>
      </c>
      <c r="F469" s="2"/>
      <c r="G469" s="11" t="e">
        <f>G470</f>
        <v>#REF!</v>
      </c>
    </row>
    <row r="470" spans="1:7" ht="47.25">
      <c r="A470" s="33" t="s">
        <v>174</v>
      </c>
      <c r="B470" s="21" t="s">
        <v>566</v>
      </c>
      <c r="C470" s="42" t="s">
        <v>275</v>
      </c>
      <c r="D470" s="42" t="s">
        <v>254</v>
      </c>
      <c r="E470" s="42" t="s">
        <v>175</v>
      </c>
      <c r="F470" s="2"/>
      <c r="G470" s="11" t="e">
        <f>#REF!</f>
        <v>#REF!</v>
      </c>
    </row>
    <row r="471" spans="1:7" ht="15.75">
      <c r="A471" s="120" t="s">
        <v>567</v>
      </c>
      <c r="B471" s="21" t="s">
        <v>568</v>
      </c>
      <c r="C471" s="42" t="s">
        <v>275</v>
      </c>
      <c r="D471" s="42" t="s">
        <v>254</v>
      </c>
      <c r="E471" s="42"/>
      <c r="F471" s="2"/>
      <c r="G471" s="11" t="e">
        <f>G472</f>
        <v>#REF!</v>
      </c>
    </row>
    <row r="472" spans="1:7" ht="47.25">
      <c r="A472" s="33" t="s">
        <v>172</v>
      </c>
      <c r="B472" s="21" t="s">
        <v>568</v>
      </c>
      <c r="C472" s="42" t="s">
        <v>275</v>
      </c>
      <c r="D472" s="42" t="s">
        <v>254</v>
      </c>
      <c r="E472" s="42" t="s">
        <v>173</v>
      </c>
      <c r="F472" s="2"/>
      <c r="G472" s="11" t="e">
        <f>G473</f>
        <v>#REF!</v>
      </c>
    </row>
    <row r="473" spans="1:7" ht="47.25">
      <c r="A473" s="33" t="s">
        <v>174</v>
      </c>
      <c r="B473" s="21" t="s">
        <v>568</v>
      </c>
      <c r="C473" s="42" t="s">
        <v>275</v>
      </c>
      <c r="D473" s="42" t="s">
        <v>254</v>
      </c>
      <c r="E473" s="42" t="s">
        <v>175</v>
      </c>
      <c r="F473" s="2"/>
      <c r="G473" s="11" t="e">
        <f>#REF!</f>
        <v>#REF!</v>
      </c>
    </row>
    <row r="474" spans="1:7" ht="31.5">
      <c r="A474" s="120" t="s">
        <v>569</v>
      </c>
      <c r="B474" s="21" t="s">
        <v>570</v>
      </c>
      <c r="C474" s="42" t="s">
        <v>275</v>
      </c>
      <c r="D474" s="42" t="s">
        <v>254</v>
      </c>
      <c r="E474" s="42"/>
      <c r="F474" s="2"/>
      <c r="G474" s="11" t="e">
        <f>G475</f>
        <v>#REF!</v>
      </c>
    </row>
    <row r="475" spans="1:7" ht="47.25">
      <c r="A475" s="33" t="s">
        <v>172</v>
      </c>
      <c r="B475" s="21" t="s">
        <v>570</v>
      </c>
      <c r="C475" s="42" t="s">
        <v>275</v>
      </c>
      <c r="D475" s="42" t="s">
        <v>254</v>
      </c>
      <c r="E475" s="42" t="s">
        <v>173</v>
      </c>
      <c r="F475" s="2"/>
      <c r="G475" s="11" t="e">
        <f>G476</f>
        <v>#REF!</v>
      </c>
    </row>
    <row r="476" spans="1:7" ht="47.25">
      <c r="A476" s="33" t="s">
        <v>174</v>
      </c>
      <c r="B476" s="21" t="s">
        <v>570</v>
      </c>
      <c r="C476" s="42" t="s">
        <v>275</v>
      </c>
      <c r="D476" s="42" t="s">
        <v>254</v>
      </c>
      <c r="E476" s="42" t="s">
        <v>175</v>
      </c>
      <c r="F476" s="2"/>
      <c r="G476" s="11" t="e">
        <f>#REF!</f>
        <v>#REF!</v>
      </c>
    </row>
    <row r="477" spans="1:7" ht="15.75">
      <c r="A477" s="120" t="s">
        <v>571</v>
      </c>
      <c r="B477" s="21" t="s">
        <v>572</v>
      </c>
      <c r="C477" s="42" t="s">
        <v>275</v>
      </c>
      <c r="D477" s="42" t="s">
        <v>254</v>
      </c>
      <c r="E477" s="42"/>
      <c r="F477" s="2"/>
      <c r="G477" s="11" t="e">
        <f>G478</f>
        <v>#REF!</v>
      </c>
    </row>
    <row r="478" spans="1:7" ht="47.25">
      <c r="A478" s="33" t="s">
        <v>172</v>
      </c>
      <c r="B478" s="21" t="s">
        <v>572</v>
      </c>
      <c r="C478" s="42" t="s">
        <v>275</v>
      </c>
      <c r="D478" s="42" t="s">
        <v>254</v>
      </c>
      <c r="E478" s="42" t="s">
        <v>173</v>
      </c>
      <c r="F478" s="2"/>
      <c r="G478" s="11" t="e">
        <f>G479</f>
        <v>#REF!</v>
      </c>
    </row>
    <row r="479" spans="1:7" ht="47.25">
      <c r="A479" s="33" t="s">
        <v>174</v>
      </c>
      <c r="B479" s="21" t="s">
        <v>572</v>
      </c>
      <c r="C479" s="42" t="s">
        <v>275</v>
      </c>
      <c r="D479" s="42" t="s">
        <v>254</v>
      </c>
      <c r="E479" s="42" t="s">
        <v>175</v>
      </c>
      <c r="F479" s="2"/>
      <c r="G479" s="11" t="e">
        <f>#REF!</f>
        <v>#REF!</v>
      </c>
    </row>
    <row r="480" spans="1:7" ht="31.5" hidden="1">
      <c r="A480" s="119" t="s">
        <v>573</v>
      </c>
      <c r="B480" s="21" t="s">
        <v>574</v>
      </c>
      <c r="C480" s="42" t="s">
        <v>275</v>
      </c>
      <c r="D480" s="42" t="s">
        <v>254</v>
      </c>
      <c r="E480" s="42"/>
      <c r="F480" s="2"/>
      <c r="G480" s="11">
        <f>G481</f>
        <v>0</v>
      </c>
    </row>
    <row r="481" spans="1:7" ht="47.25" hidden="1">
      <c r="A481" s="33" t="s">
        <v>172</v>
      </c>
      <c r="B481" s="21" t="s">
        <v>574</v>
      </c>
      <c r="C481" s="42" t="s">
        <v>275</v>
      </c>
      <c r="D481" s="42" t="s">
        <v>254</v>
      </c>
      <c r="E481" s="42"/>
      <c r="F481" s="2"/>
      <c r="G481" s="11">
        <f>G482</f>
        <v>0</v>
      </c>
    </row>
    <row r="482" spans="1:7" ht="47.25" hidden="1">
      <c r="A482" s="33" t="s">
        <v>174</v>
      </c>
      <c r="B482" s="21" t="s">
        <v>574</v>
      </c>
      <c r="C482" s="42" t="s">
        <v>275</v>
      </c>
      <c r="D482" s="42" t="s">
        <v>254</v>
      </c>
      <c r="E482" s="42"/>
      <c r="F482" s="2"/>
      <c r="G482" s="11"/>
    </row>
    <row r="483" spans="1:7" ht="31.5">
      <c r="A483" s="119" t="s">
        <v>575</v>
      </c>
      <c r="B483" s="21" t="s">
        <v>576</v>
      </c>
      <c r="C483" s="42" t="s">
        <v>275</v>
      </c>
      <c r="D483" s="42" t="s">
        <v>254</v>
      </c>
      <c r="E483" s="42"/>
      <c r="F483" s="2"/>
      <c r="G483" s="11" t="e">
        <f>G484</f>
        <v>#REF!</v>
      </c>
    </row>
    <row r="484" spans="1:7" ht="47.25">
      <c r="A484" s="26" t="s">
        <v>172</v>
      </c>
      <c r="B484" s="21" t="s">
        <v>576</v>
      </c>
      <c r="C484" s="42" t="s">
        <v>275</v>
      </c>
      <c r="D484" s="42" t="s">
        <v>254</v>
      </c>
      <c r="E484" s="2">
        <v>200</v>
      </c>
      <c r="F484" s="87"/>
      <c r="G484" s="7" t="e">
        <f>G485</f>
        <v>#REF!</v>
      </c>
    </row>
    <row r="485" spans="1:7" ht="47.25">
      <c r="A485" s="26" t="s">
        <v>174</v>
      </c>
      <c r="B485" s="21" t="s">
        <v>576</v>
      </c>
      <c r="C485" s="42" t="s">
        <v>275</v>
      </c>
      <c r="D485" s="42" t="s">
        <v>254</v>
      </c>
      <c r="E485" s="2">
        <v>240</v>
      </c>
      <c r="F485" s="87"/>
      <c r="G485" s="7" t="e">
        <f>#REF!</f>
        <v>#REF!</v>
      </c>
    </row>
    <row r="486" spans="1:7" ht="47.25">
      <c r="A486" s="47" t="s">
        <v>683</v>
      </c>
      <c r="B486" s="21" t="s">
        <v>560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>
      <c r="A487" s="24" t="s">
        <v>375</v>
      </c>
      <c r="B487" s="25" t="s">
        <v>376</v>
      </c>
      <c r="C487" s="8"/>
      <c r="D487" s="8"/>
      <c r="E487" s="3"/>
      <c r="F487" s="3"/>
      <c r="G487" s="4" t="e">
        <f>G488+G499</f>
        <v>#REF!</v>
      </c>
    </row>
    <row r="488" spans="1:7" ht="15.75">
      <c r="A488" s="26" t="s">
        <v>304</v>
      </c>
      <c r="B488" s="21" t="s">
        <v>376</v>
      </c>
      <c r="C488" s="42" t="s">
        <v>305</v>
      </c>
      <c r="D488" s="42"/>
      <c r="E488" s="2"/>
      <c r="F488" s="2"/>
      <c r="G488" s="7" t="e">
        <f>G489</f>
        <v>#REF!</v>
      </c>
    </row>
    <row r="489" spans="1:7" ht="31.5">
      <c r="A489" s="26" t="s">
        <v>336</v>
      </c>
      <c r="B489" s="21" t="s">
        <v>376</v>
      </c>
      <c r="C489" s="42" t="s">
        <v>305</v>
      </c>
      <c r="D489" s="42" t="s">
        <v>260</v>
      </c>
      <c r="E489" s="2"/>
      <c r="F489" s="2"/>
      <c r="G489" s="7" t="e">
        <f>G490+G493</f>
        <v>#REF!</v>
      </c>
    </row>
    <row r="490" spans="1:7" ht="47.25">
      <c r="A490" s="26" t="s">
        <v>377</v>
      </c>
      <c r="B490" s="21" t="s">
        <v>378</v>
      </c>
      <c r="C490" s="42" t="s">
        <v>305</v>
      </c>
      <c r="D490" s="42" t="s">
        <v>260</v>
      </c>
      <c r="E490" s="2"/>
      <c r="F490" s="2"/>
      <c r="G490" s="7" t="e">
        <f>G491</f>
        <v>#REF!</v>
      </c>
    </row>
    <row r="491" spans="1:7" ht="47.25">
      <c r="A491" s="26" t="s">
        <v>172</v>
      </c>
      <c r="B491" s="21" t="s">
        <v>378</v>
      </c>
      <c r="C491" s="42" t="s">
        <v>305</v>
      </c>
      <c r="D491" s="42" t="s">
        <v>260</v>
      </c>
      <c r="E491" s="2">
        <v>200</v>
      </c>
      <c r="F491" s="2"/>
      <c r="G491" s="7" t="e">
        <f>G492</f>
        <v>#REF!</v>
      </c>
    </row>
    <row r="492" spans="1:7" ht="47.25">
      <c r="A492" s="26" t="s">
        <v>174</v>
      </c>
      <c r="B492" s="21" t="s">
        <v>378</v>
      </c>
      <c r="C492" s="42" t="s">
        <v>305</v>
      </c>
      <c r="D492" s="42" t="s">
        <v>260</v>
      </c>
      <c r="E492" s="2">
        <v>240</v>
      </c>
      <c r="F492" s="2"/>
      <c r="G492" s="7" t="e">
        <f>#REF!</f>
        <v>#REF!</v>
      </c>
    </row>
    <row r="493" spans="1:7" ht="78.75">
      <c r="A493" s="26" t="s">
        <v>518</v>
      </c>
      <c r="B493" s="21" t="s">
        <v>519</v>
      </c>
      <c r="C493" s="42" t="s">
        <v>305</v>
      </c>
      <c r="D493" s="42" t="s">
        <v>260</v>
      </c>
      <c r="E493" s="2"/>
      <c r="F493" s="2"/>
      <c r="G493" s="7" t="e">
        <f>G494+G496</f>
        <v>#REF!</v>
      </c>
    </row>
    <row r="494" spans="1:7" ht="110.25">
      <c r="A494" s="26" t="s">
        <v>168</v>
      </c>
      <c r="B494" s="21" t="s">
        <v>519</v>
      </c>
      <c r="C494" s="42" t="s">
        <v>305</v>
      </c>
      <c r="D494" s="42" t="s">
        <v>260</v>
      </c>
      <c r="E494" s="2">
        <v>100</v>
      </c>
      <c r="F494" s="2"/>
      <c r="G494" s="7" t="e">
        <f>G495</f>
        <v>#REF!</v>
      </c>
    </row>
    <row r="495" spans="1:7" ht="31.5">
      <c r="A495" s="26" t="s">
        <v>383</v>
      </c>
      <c r="B495" s="21" t="s">
        <v>519</v>
      </c>
      <c r="C495" s="42" t="s">
        <v>305</v>
      </c>
      <c r="D495" s="42" t="s">
        <v>260</v>
      </c>
      <c r="E495" s="2">
        <v>110</v>
      </c>
      <c r="F495" s="2"/>
      <c r="G495" s="7" t="e">
        <f>#REF!</f>
        <v>#REF!</v>
      </c>
    </row>
    <row r="496" spans="1:7" ht="47.25">
      <c r="A496" s="26" t="s">
        <v>172</v>
      </c>
      <c r="B496" s="21" t="s">
        <v>519</v>
      </c>
      <c r="C496" s="42" t="s">
        <v>305</v>
      </c>
      <c r="D496" s="42" t="s">
        <v>260</v>
      </c>
      <c r="E496" s="2">
        <v>200</v>
      </c>
      <c r="F496" s="2"/>
      <c r="G496" s="7" t="e">
        <f>G497</f>
        <v>#REF!</v>
      </c>
    </row>
    <row r="497" spans="1:7" ht="47.25">
      <c r="A497" s="26" t="s">
        <v>174</v>
      </c>
      <c r="B497" s="21" t="s">
        <v>519</v>
      </c>
      <c r="C497" s="42" t="s">
        <v>305</v>
      </c>
      <c r="D497" s="42" t="s">
        <v>260</v>
      </c>
      <c r="E497" s="2">
        <v>240</v>
      </c>
      <c r="F497" s="2"/>
      <c r="G497" s="7" t="e">
        <f>#REF!</f>
        <v>#REF!</v>
      </c>
    </row>
    <row r="498" spans="1:7" ht="47.25">
      <c r="A498" s="31" t="s">
        <v>445</v>
      </c>
      <c r="B498" s="21" t="s">
        <v>376</v>
      </c>
      <c r="C498" s="42" t="s">
        <v>305</v>
      </c>
      <c r="D498" s="42" t="s">
        <v>260</v>
      </c>
      <c r="E498" s="2"/>
      <c r="F498" s="2">
        <v>906</v>
      </c>
      <c r="G498" s="7" t="e">
        <f>G490+G493</f>
        <v>#REF!</v>
      </c>
    </row>
    <row r="499" spans="1:7" ht="15.75">
      <c r="A499" s="83" t="s">
        <v>339</v>
      </c>
      <c r="B499" s="21" t="s">
        <v>376</v>
      </c>
      <c r="C499" s="42" t="s">
        <v>340</v>
      </c>
      <c r="D499" s="42"/>
      <c r="E499" s="2"/>
      <c r="F499" s="2"/>
      <c r="G499" s="7" t="e">
        <f>G500</f>
        <v>#REF!</v>
      </c>
    </row>
    <row r="500" spans="1:7" ht="31.5">
      <c r="A500" s="26" t="s">
        <v>374</v>
      </c>
      <c r="B500" s="21" t="s">
        <v>376</v>
      </c>
      <c r="C500" s="42" t="s">
        <v>340</v>
      </c>
      <c r="D500" s="42" t="s">
        <v>191</v>
      </c>
      <c r="E500" s="2"/>
      <c r="F500" s="2"/>
      <c r="G500" s="7" t="e">
        <f>G501+G504+G507</f>
        <v>#REF!</v>
      </c>
    </row>
    <row r="501" spans="1:7" ht="47.25" hidden="1">
      <c r="A501" s="26" t="s">
        <v>377</v>
      </c>
      <c r="B501" s="21" t="s">
        <v>378</v>
      </c>
      <c r="C501" s="42" t="s">
        <v>340</v>
      </c>
      <c r="D501" s="42" t="s">
        <v>191</v>
      </c>
      <c r="E501" s="2"/>
      <c r="F501" s="2"/>
      <c r="G501" s="7" t="e">
        <f>G502</f>
        <v>#REF!</v>
      </c>
    </row>
    <row r="502" spans="1:7" ht="47.25" hidden="1">
      <c r="A502" s="26" t="s">
        <v>172</v>
      </c>
      <c r="B502" s="21" t="s">
        <v>378</v>
      </c>
      <c r="C502" s="42" t="s">
        <v>340</v>
      </c>
      <c r="D502" s="42" t="s">
        <v>191</v>
      </c>
      <c r="E502" s="2">
        <v>200</v>
      </c>
      <c r="F502" s="2"/>
      <c r="G502" s="7" t="e">
        <f>G503</f>
        <v>#REF!</v>
      </c>
    </row>
    <row r="503" spans="1:7" ht="47.25" hidden="1">
      <c r="A503" s="26" t="s">
        <v>174</v>
      </c>
      <c r="B503" s="21" t="s">
        <v>378</v>
      </c>
      <c r="C503" s="42" t="s">
        <v>340</v>
      </c>
      <c r="D503" s="42" t="s">
        <v>191</v>
      </c>
      <c r="E503" s="2">
        <v>240</v>
      </c>
      <c r="F503" s="2"/>
      <c r="G503" s="7" t="e">
        <f>#REF!</f>
        <v>#REF!</v>
      </c>
    </row>
    <row r="504" spans="1:7" ht="31.5">
      <c r="A504" s="26" t="s">
        <v>379</v>
      </c>
      <c r="B504" s="21" t="s">
        <v>380</v>
      </c>
      <c r="C504" s="42" t="s">
        <v>340</v>
      </c>
      <c r="D504" s="42" t="s">
        <v>191</v>
      </c>
      <c r="E504" s="2"/>
      <c r="F504" s="2"/>
      <c r="G504" s="7" t="e">
        <f>G505</f>
        <v>#REF!</v>
      </c>
    </row>
    <row r="505" spans="1:7" ht="47.25">
      <c r="A505" s="26" t="s">
        <v>172</v>
      </c>
      <c r="B505" s="21" t="s">
        <v>380</v>
      </c>
      <c r="C505" s="42" t="s">
        <v>340</v>
      </c>
      <c r="D505" s="42" t="s">
        <v>191</v>
      </c>
      <c r="E505" s="2">
        <v>200</v>
      </c>
      <c r="F505" s="2"/>
      <c r="G505" s="7" t="e">
        <f>G506</f>
        <v>#REF!</v>
      </c>
    </row>
    <row r="506" spans="1:7" ht="47.25">
      <c r="A506" s="26" t="s">
        <v>174</v>
      </c>
      <c r="B506" s="21" t="s">
        <v>380</v>
      </c>
      <c r="C506" s="42" t="s">
        <v>340</v>
      </c>
      <c r="D506" s="42" t="s">
        <v>191</v>
      </c>
      <c r="E506" s="2">
        <v>240</v>
      </c>
      <c r="F506" s="2"/>
      <c r="G506" s="7" t="e">
        <f>#REF!</f>
        <v>#REF!</v>
      </c>
    </row>
    <row r="507" spans="1:7" ht="47.25">
      <c r="A507" s="26" t="s">
        <v>744</v>
      </c>
      <c r="B507" s="21" t="s">
        <v>745</v>
      </c>
      <c r="C507" s="42" t="s">
        <v>340</v>
      </c>
      <c r="D507" s="42" t="s">
        <v>191</v>
      </c>
      <c r="E507" s="2"/>
      <c r="F507" s="2"/>
      <c r="G507" s="7" t="e">
        <f>G508</f>
        <v>#REF!</v>
      </c>
    </row>
    <row r="508" spans="1:7" ht="47.25">
      <c r="A508" s="26" t="s">
        <v>172</v>
      </c>
      <c r="B508" s="21" t="s">
        <v>745</v>
      </c>
      <c r="C508" s="42" t="s">
        <v>340</v>
      </c>
      <c r="D508" s="42" t="s">
        <v>191</v>
      </c>
      <c r="E508" s="2">
        <v>200</v>
      </c>
      <c r="F508" s="2"/>
      <c r="G508" s="7" t="e">
        <f>G509</f>
        <v>#REF!</v>
      </c>
    </row>
    <row r="509" spans="1:7" ht="47.25">
      <c r="A509" s="26" t="s">
        <v>174</v>
      </c>
      <c r="B509" s="21" t="s">
        <v>745</v>
      </c>
      <c r="C509" s="42" t="s">
        <v>340</v>
      </c>
      <c r="D509" s="42" t="s">
        <v>191</v>
      </c>
      <c r="E509" s="2">
        <v>240</v>
      </c>
      <c r="F509" s="2"/>
      <c r="G509" s="7" t="e">
        <f>#REF!</f>
        <v>#REF!</v>
      </c>
    </row>
    <row r="510" spans="1:7" ht="63">
      <c r="A510" s="47" t="s">
        <v>302</v>
      </c>
      <c r="B510" s="21" t="s">
        <v>376</v>
      </c>
      <c r="C510" s="42" t="s">
        <v>340</v>
      </c>
      <c r="D510" s="42" t="s">
        <v>191</v>
      </c>
      <c r="E510" s="2"/>
      <c r="F510" s="2">
        <v>903</v>
      </c>
      <c r="G510" s="7" t="e">
        <f>G499</f>
        <v>#REF!</v>
      </c>
    </row>
    <row r="511" spans="1:7" ht="78.75">
      <c r="A511" s="43" t="s">
        <v>782</v>
      </c>
      <c r="B511" s="25" t="s">
        <v>780</v>
      </c>
      <c r="C511" s="8"/>
      <c r="D511" s="8"/>
      <c r="E511" s="3"/>
      <c r="F511" s="3"/>
      <c r="G511" s="4" t="e">
        <f>G512+G521</f>
        <v>#REF!</v>
      </c>
    </row>
    <row r="512" spans="1:9" s="145" customFormat="1" ht="15.75">
      <c r="A512" s="31" t="s">
        <v>158</v>
      </c>
      <c r="B512" s="21" t="s">
        <v>780</v>
      </c>
      <c r="C512" s="42" t="s">
        <v>159</v>
      </c>
      <c r="D512" s="42"/>
      <c r="E512" s="2"/>
      <c r="F512" s="2"/>
      <c r="G512" s="7" t="e">
        <f>G513</f>
        <v>#REF!</v>
      </c>
      <c r="I512" s="146"/>
    </row>
    <row r="513" spans="1:9" s="145" customFormat="1" ht="31.5">
      <c r="A513" s="31" t="s">
        <v>180</v>
      </c>
      <c r="B513" s="21" t="s">
        <v>780</v>
      </c>
      <c r="C513" s="42" t="s">
        <v>159</v>
      </c>
      <c r="D513" s="42" t="s">
        <v>181</v>
      </c>
      <c r="E513" s="2"/>
      <c r="F513" s="2"/>
      <c r="G513" s="7" t="e">
        <f>G514+G517</f>
        <v>#REF!</v>
      </c>
      <c r="I513" s="146"/>
    </row>
    <row r="514" spans="1:7" ht="47.25">
      <c r="A514" s="33" t="s">
        <v>198</v>
      </c>
      <c r="B514" s="21" t="s">
        <v>788</v>
      </c>
      <c r="C514" s="42" t="s">
        <v>159</v>
      </c>
      <c r="D514" s="42" t="s">
        <v>181</v>
      </c>
      <c r="E514" s="2"/>
      <c r="F514" s="2"/>
      <c r="G514" s="7" t="e">
        <f>G515</f>
        <v>#REF!</v>
      </c>
    </row>
    <row r="515" spans="1:7" ht="47.25">
      <c r="A515" s="26" t="s">
        <v>172</v>
      </c>
      <c r="B515" s="21" t="s">
        <v>788</v>
      </c>
      <c r="C515" s="42" t="s">
        <v>159</v>
      </c>
      <c r="D515" s="42" t="s">
        <v>181</v>
      </c>
      <c r="E515" s="2">
        <v>200</v>
      </c>
      <c r="F515" s="2"/>
      <c r="G515" s="7" t="e">
        <f>G516</f>
        <v>#REF!</v>
      </c>
    </row>
    <row r="516" spans="1:7" ht="47.25">
      <c r="A516" s="26" t="s">
        <v>174</v>
      </c>
      <c r="B516" s="21" t="s">
        <v>788</v>
      </c>
      <c r="C516" s="42" t="s">
        <v>159</v>
      </c>
      <c r="D516" s="42" t="s">
        <v>181</v>
      </c>
      <c r="E516" s="2">
        <v>240</v>
      </c>
      <c r="F516" s="2"/>
      <c r="G516" s="7" t="e">
        <f>#REF!</f>
        <v>#REF!</v>
      </c>
    </row>
    <row r="517" spans="1:7" ht="66" customHeight="1" hidden="1">
      <c r="A517" s="31"/>
      <c r="B517" s="21" t="s">
        <v>781</v>
      </c>
      <c r="C517" s="42" t="s">
        <v>159</v>
      </c>
      <c r="D517" s="42" t="s">
        <v>181</v>
      </c>
      <c r="E517" s="2"/>
      <c r="F517" s="2"/>
      <c r="G517" s="7" t="e">
        <f>G518</f>
        <v>#REF!</v>
      </c>
    </row>
    <row r="518" spans="1:7" ht="47.25" hidden="1">
      <c r="A518" s="26" t="s">
        <v>172</v>
      </c>
      <c r="B518" s="21" t="s">
        <v>781</v>
      </c>
      <c r="C518" s="42" t="s">
        <v>159</v>
      </c>
      <c r="D518" s="42" t="s">
        <v>181</v>
      </c>
      <c r="E518" s="2">
        <v>200</v>
      </c>
      <c r="F518" s="2"/>
      <c r="G518" s="7" t="e">
        <f>G519</f>
        <v>#REF!</v>
      </c>
    </row>
    <row r="519" spans="1:7" ht="47.25" hidden="1">
      <c r="A519" s="26" t="s">
        <v>174</v>
      </c>
      <c r="B519" s="21" t="s">
        <v>781</v>
      </c>
      <c r="C519" s="42" t="s">
        <v>159</v>
      </c>
      <c r="D519" s="42" t="s">
        <v>181</v>
      </c>
      <c r="E519" s="2">
        <v>240</v>
      </c>
      <c r="F519" s="2"/>
      <c r="G519" s="7" t="e">
        <f>#REF!</f>
        <v>#REF!</v>
      </c>
    </row>
    <row r="520" spans="1:7" ht="31.5">
      <c r="A520" s="31" t="s">
        <v>189</v>
      </c>
      <c r="B520" s="21" t="s">
        <v>780</v>
      </c>
      <c r="C520" s="42" t="s">
        <v>159</v>
      </c>
      <c r="D520" s="42" t="s">
        <v>181</v>
      </c>
      <c r="E520" s="2"/>
      <c r="F520" s="2">
        <v>902</v>
      </c>
      <c r="G520" s="7" t="e">
        <f>G511</f>
        <v>#REF!</v>
      </c>
    </row>
    <row r="521" spans="1:9" s="145" customFormat="1" ht="15.75">
      <c r="A521" s="26" t="s">
        <v>339</v>
      </c>
      <c r="B521" s="21" t="s">
        <v>780</v>
      </c>
      <c r="C521" s="42" t="s">
        <v>340</v>
      </c>
      <c r="D521" s="42"/>
      <c r="E521" s="2"/>
      <c r="F521" s="2"/>
      <c r="G521" s="7" t="e">
        <f>G522</f>
        <v>#REF!</v>
      </c>
      <c r="I521" s="146"/>
    </row>
    <row r="522" spans="1:7" ht="31.5">
      <c r="A522" s="43" t="s">
        <v>374</v>
      </c>
      <c r="B522" s="21" t="s">
        <v>780</v>
      </c>
      <c r="C522" s="42" t="s">
        <v>340</v>
      </c>
      <c r="D522" s="42" t="s">
        <v>191</v>
      </c>
      <c r="E522" s="2"/>
      <c r="F522" s="2"/>
      <c r="G522" s="7" t="e">
        <f>G523</f>
        <v>#REF!</v>
      </c>
    </row>
    <row r="523" spans="1:7" ht="47.25">
      <c r="A523" s="33" t="s">
        <v>198</v>
      </c>
      <c r="B523" s="21" t="s">
        <v>788</v>
      </c>
      <c r="C523" s="42" t="s">
        <v>340</v>
      </c>
      <c r="D523" s="42" t="s">
        <v>191</v>
      </c>
      <c r="E523" s="2"/>
      <c r="F523" s="2"/>
      <c r="G523" s="7" t="e">
        <f>G524</f>
        <v>#REF!</v>
      </c>
    </row>
    <row r="524" spans="1:7" ht="47.25">
      <c r="A524" s="26" t="s">
        <v>172</v>
      </c>
      <c r="B524" s="21" t="s">
        <v>788</v>
      </c>
      <c r="C524" s="42" t="s">
        <v>340</v>
      </c>
      <c r="D524" s="42" t="s">
        <v>191</v>
      </c>
      <c r="E524" s="2">
        <v>200</v>
      </c>
      <c r="F524" s="2"/>
      <c r="G524" s="7" t="e">
        <f>G525</f>
        <v>#REF!</v>
      </c>
    </row>
    <row r="525" spans="1:7" ht="47.25">
      <c r="A525" s="26" t="s">
        <v>174</v>
      </c>
      <c r="B525" s="21" t="s">
        <v>788</v>
      </c>
      <c r="C525" s="42" t="s">
        <v>340</v>
      </c>
      <c r="D525" s="42" t="s">
        <v>191</v>
      </c>
      <c r="E525" s="2">
        <v>240</v>
      </c>
      <c r="F525" s="2"/>
      <c r="G525" s="7" t="e">
        <f>#REF!</f>
        <v>#REF!</v>
      </c>
    </row>
    <row r="526" spans="1:7" ht="63">
      <c r="A526" s="47" t="s">
        <v>302</v>
      </c>
      <c r="B526" s="21" t="s">
        <v>780</v>
      </c>
      <c r="C526" s="42" t="s">
        <v>340</v>
      </c>
      <c r="D526" s="42" t="s">
        <v>191</v>
      </c>
      <c r="E526" s="2"/>
      <c r="F526" s="2">
        <v>903</v>
      </c>
      <c r="G526" s="7" t="e">
        <f>G522</f>
        <v>#REF!</v>
      </c>
    </row>
    <row r="527" spans="1:7" ht="78.75">
      <c r="A527" s="24" t="s">
        <v>784</v>
      </c>
      <c r="B527" s="25" t="s">
        <v>786</v>
      </c>
      <c r="C527" s="8"/>
      <c r="D527" s="8"/>
      <c r="E527" s="3"/>
      <c r="F527" s="3"/>
      <c r="G527" s="4" t="e">
        <f>G528</f>
        <v>#REF!</v>
      </c>
    </row>
    <row r="528" spans="1:7" ht="15.75">
      <c r="A528" s="26" t="s">
        <v>432</v>
      </c>
      <c r="B528" s="21" t="s">
        <v>786</v>
      </c>
      <c r="C528" s="42" t="s">
        <v>275</v>
      </c>
      <c r="D528" s="42"/>
      <c r="E528" s="2"/>
      <c r="F528" s="2"/>
      <c r="G528" s="7" t="e">
        <f>G529</f>
        <v>#REF!</v>
      </c>
    </row>
    <row r="529" spans="1:7" ht="15.75">
      <c r="A529" s="26" t="s">
        <v>583</v>
      </c>
      <c r="B529" s="21" t="s">
        <v>786</v>
      </c>
      <c r="C529" s="42" t="s">
        <v>275</v>
      </c>
      <c r="D529" s="42" t="s">
        <v>256</v>
      </c>
      <c r="E529" s="2"/>
      <c r="F529" s="2"/>
      <c r="G529" s="7" t="e">
        <f>G530</f>
        <v>#REF!</v>
      </c>
    </row>
    <row r="530" spans="1:7" ht="31.5">
      <c r="A530" s="150" t="s">
        <v>785</v>
      </c>
      <c r="B530" s="21" t="s">
        <v>787</v>
      </c>
      <c r="C530" s="42" t="s">
        <v>275</v>
      </c>
      <c r="D530" s="42" t="s">
        <v>256</v>
      </c>
      <c r="E530" s="2"/>
      <c r="F530" s="2"/>
      <c r="G530" s="7" t="e">
        <f>G531</f>
        <v>#REF!</v>
      </c>
    </row>
    <row r="531" spans="1:7" ht="47.25">
      <c r="A531" s="26" t="s">
        <v>172</v>
      </c>
      <c r="B531" s="21" t="s">
        <v>787</v>
      </c>
      <c r="C531" s="42" t="s">
        <v>275</v>
      </c>
      <c r="D531" s="42" t="s">
        <v>256</v>
      </c>
      <c r="E531" s="2">
        <v>200</v>
      </c>
      <c r="F531" s="2"/>
      <c r="G531" s="7" t="e">
        <f>G532</f>
        <v>#REF!</v>
      </c>
    </row>
    <row r="532" spans="1:7" ht="47.25">
      <c r="A532" s="26" t="s">
        <v>174</v>
      </c>
      <c r="B532" s="21" t="s">
        <v>787</v>
      </c>
      <c r="C532" s="42" t="s">
        <v>275</v>
      </c>
      <c r="D532" s="42" t="s">
        <v>256</v>
      </c>
      <c r="E532" s="2">
        <v>240</v>
      </c>
      <c r="F532" s="2"/>
      <c r="G532" s="7" t="e">
        <f>#REF!</f>
        <v>#REF!</v>
      </c>
    </row>
    <row r="533" spans="1:7" ht="47.25">
      <c r="A533" s="47" t="s">
        <v>683</v>
      </c>
      <c r="B533" s="21" t="s">
        <v>786</v>
      </c>
      <c r="C533" s="42" t="s">
        <v>275</v>
      </c>
      <c r="D533" s="42" t="s">
        <v>256</v>
      </c>
      <c r="E533" s="2"/>
      <c r="F533" s="2">
        <v>908</v>
      </c>
      <c r="G533" s="7" t="e">
        <f>G527</f>
        <v>#REF!</v>
      </c>
    </row>
    <row r="534" spans="1:7" ht="15.75">
      <c r="A534" s="82" t="s">
        <v>717</v>
      </c>
      <c r="B534" s="82"/>
      <c r="C534" s="82"/>
      <c r="D534" s="88"/>
      <c r="E534" s="88"/>
      <c r="F534" s="88"/>
      <c r="G534" s="143" t="e">
        <f>G10+G19+G102+G217+G224+G242+G249+G271+G326+G409+G419+G451+G458+G487+G511+G527</f>
        <v>#REF!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 topLeftCell="A38">
      <selection activeCell="K30" sqref="K30"/>
    </sheetView>
  </sheetViews>
  <sheetFormatPr defaultColWidth="9.140625" defaultRowHeight="15"/>
  <cols>
    <col min="1" max="1" width="33.28125" style="0" customWidth="1"/>
    <col min="2" max="2" width="7.7109375" style="0" customWidth="1"/>
    <col min="4" max="4" width="8.00390625" style="0" customWidth="1"/>
    <col min="5" max="5" width="15.8515625" style="0" customWidth="1"/>
    <col min="7" max="7" width="16.8515625" style="0" customWidth="1"/>
  </cols>
  <sheetData>
    <row r="1" spans="1:7" ht="18.75" customHeight="1">
      <c r="A1" s="424"/>
      <c r="B1" s="424"/>
      <c r="C1" s="424"/>
      <c r="D1" s="13"/>
      <c r="G1" s="266" t="s">
        <v>1005</v>
      </c>
    </row>
    <row r="2" spans="1:7" ht="18.75" customHeight="1">
      <c r="A2" s="424"/>
      <c r="B2" s="424"/>
      <c r="C2" s="424"/>
      <c r="D2" s="13"/>
      <c r="G2" s="266" t="s">
        <v>0</v>
      </c>
    </row>
    <row r="3" spans="1:7" ht="15.75">
      <c r="A3" s="13"/>
      <c r="B3" s="13"/>
      <c r="C3" s="13"/>
      <c r="D3" s="13"/>
      <c r="E3" s="13"/>
      <c r="F3" s="13"/>
      <c r="G3" s="71"/>
    </row>
    <row r="4" spans="1:7" ht="15">
      <c r="A4" s="421" t="s">
        <v>1007</v>
      </c>
      <c r="B4" s="421"/>
      <c r="C4" s="421"/>
      <c r="D4" s="421"/>
      <c r="E4" s="421"/>
      <c r="F4" s="421"/>
      <c r="G4" s="421"/>
    </row>
    <row r="5" spans="1:7" ht="15">
      <c r="A5" s="421"/>
      <c r="B5" s="421"/>
      <c r="C5" s="421"/>
      <c r="D5" s="421"/>
      <c r="E5" s="421"/>
      <c r="F5" s="421"/>
      <c r="G5" s="421"/>
    </row>
    <row r="6" spans="1:7" ht="16.5">
      <c r="A6" s="239"/>
      <c r="B6" s="239"/>
      <c r="C6" s="239"/>
      <c r="D6" s="239"/>
      <c r="E6" s="239"/>
      <c r="F6" s="239"/>
      <c r="G6" s="239"/>
    </row>
    <row r="7" spans="1:7" ht="15.75">
      <c r="A7" s="13"/>
      <c r="B7" s="13"/>
      <c r="C7" s="13"/>
      <c r="D7" s="13"/>
      <c r="E7" s="89"/>
      <c r="F7" s="89"/>
      <c r="G7" s="75" t="s">
        <v>3</v>
      </c>
    </row>
    <row r="8" spans="1:7" ht="31.5">
      <c r="A8" s="90" t="s">
        <v>634</v>
      </c>
      <c r="B8" s="90" t="s">
        <v>681</v>
      </c>
      <c r="C8" s="90" t="s">
        <v>678</v>
      </c>
      <c r="D8" s="90" t="s">
        <v>679</v>
      </c>
      <c r="E8" s="90" t="s">
        <v>677</v>
      </c>
      <c r="F8" s="90" t="s">
        <v>680</v>
      </c>
      <c r="G8" s="76" t="s">
        <v>998</v>
      </c>
    </row>
    <row r="9" spans="1:11" ht="95.25" customHeight="1">
      <c r="A9" s="422" t="s">
        <v>1009</v>
      </c>
      <c r="B9" s="422"/>
      <c r="C9" s="422"/>
      <c r="D9" s="422"/>
      <c r="E9" s="422"/>
      <c r="F9" s="422"/>
      <c r="G9" s="91">
        <f>G11</f>
        <v>0</v>
      </c>
      <c r="K9" s="271"/>
    </row>
    <row r="10" spans="1:7" ht="78.75" hidden="1">
      <c r="A10" s="5" t="s">
        <v>718</v>
      </c>
      <c r="B10" s="5">
        <v>903</v>
      </c>
      <c r="C10" s="5"/>
      <c r="D10" s="5"/>
      <c r="E10" s="5"/>
      <c r="F10" s="5"/>
      <c r="G10" s="91">
        <f>G11</f>
        <v>0</v>
      </c>
    </row>
    <row r="11" spans="1:7" ht="31.5" hidden="1">
      <c r="A11" s="24" t="s">
        <v>306</v>
      </c>
      <c r="B11" s="6">
        <v>903</v>
      </c>
      <c r="C11" s="42" t="s">
        <v>305</v>
      </c>
      <c r="D11" s="42"/>
      <c r="E11" s="42"/>
      <c r="F11" s="42"/>
      <c r="G11" s="92">
        <f>G12</f>
        <v>0</v>
      </c>
    </row>
    <row r="12" spans="1:7" ht="63" hidden="1">
      <c r="A12" s="26" t="s">
        <v>307</v>
      </c>
      <c r="B12" s="6">
        <v>903</v>
      </c>
      <c r="C12" s="42" t="s">
        <v>305</v>
      </c>
      <c r="D12" s="42" t="s">
        <v>256</v>
      </c>
      <c r="E12" s="21" t="s">
        <v>308</v>
      </c>
      <c r="F12" s="21"/>
      <c r="G12" s="92">
        <f>G14</f>
        <v>0</v>
      </c>
    </row>
    <row r="13" spans="1:7" ht="78.75" hidden="1">
      <c r="A13" s="26" t="s">
        <v>309</v>
      </c>
      <c r="B13" s="6">
        <v>903</v>
      </c>
      <c r="C13" s="42" t="s">
        <v>305</v>
      </c>
      <c r="D13" s="42" t="s">
        <v>256</v>
      </c>
      <c r="E13" s="21" t="s">
        <v>310</v>
      </c>
      <c r="F13" s="21"/>
      <c r="G13" s="92">
        <f>G14</f>
        <v>0</v>
      </c>
    </row>
    <row r="14" spans="1:7" ht="47.25" hidden="1">
      <c r="A14" s="265" t="s">
        <v>988</v>
      </c>
      <c r="B14" s="6">
        <v>903</v>
      </c>
      <c r="C14" s="42" t="s">
        <v>305</v>
      </c>
      <c r="D14" s="42" t="s">
        <v>256</v>
      </c>
      <c r="E14" s="21" t="s">
        <v>989</v>
      </c>
      <c r="F14" s="21"/>
      <c r="G14" s="92">
        <f>G15</f>
        <v>0</v>
      </c>
    </row>
    <row r="15" spans="1:7" ht="31.5" hidden="1">
      <c r="A15" s="26" t="s">
        <v>289</v>
      </c>
      <c r="B15" s="6">
        <v>903</v>
      </c>
      <c r="C15" s="42" t="s">
        <v>305</v>
      </c>
      <c r="D15" s="42" t="s">
        <v>256</v>
      </c>
      <c r="E15" s="21" t="s">
        <v>989</v>
      </c>
      <c r="F15" s="21" t="s">
        <v>290</v>
      </c>
      <c r="G15" s="92">
        <f>G16</f>
        <v>0</v>
      </c>
    </row>
    <row r="16" spans="1:7" ht="47.25" hidden="1">
      <c r="A16" s="26" t="s">
        <v>389</v>
      </c>
      <c r="B16" s="6">
        <v>903</v>
      </c>
      <c r="C16" s="42" t="s">
        <v>305</v>
      </c>
      <c r="D16" s="42" t="s">
        <v>256</v>
      </c>
      <c r="E16" s="21" t="s">
        <v>989</v>
      </c>
      <c r="F16" s="21" t="s">
        <v>390</v>
      </c>
      <c r="G16" s="92"/>
    </row>
    <row r="17" spans="1:7" ht="64.5" customHeight="1" hidden="1">
      <c r="A17" s="425" t="s">
        <v>899</v>
      </c>
      <c r="B17" s="426"/>
      <c r="C17" s="426"/>
      <c r="D17" s="426"/>
      <c r="E17" s="426"/>
      <c r="F17" s="427"/>
      <c r="G17" s="91">
        <f aca="true" t="shared" si="0" ref="G17:G24">G18</f>
        <v>0</v>
      </c>
    </row>
    <row r="18" spans="1:7" ht="50.25" customHeight="1" hidden="1">
      <c r="A18" s="222" t="s">
        <v>189</v>
      </c>
      <c r="B18" s="222">
        <v>902</v>
      </c>
      <c r="C18" s="222"/>
      <c r="D18" s="222"/>
      <c r="E18" s="222"/>
      <c r="F18" s="222"/>
      <c r="G18" s="91">
        <f t="shared" si="0"/>
        <v>0</v>
      </c>
    </row>
    <row r="19" spans="1:7" ht="15.75" hidden="1">
      <c r="A19" s="24" t="s">
        <v>284</v>
      </c>
      <c r="B19" s="20">
        <v>902</v>
      </c>
      <c r="C19" s="25" t="s">
        <v>285</v>
      </c>
      <c r="D19" s="25"/>
      <c r="E19" s="25"/>
      <c r="F19" s="25"/>
      <c r="G19" s="91">
        <f t="shared" si="0"/>
        <v>0</v>
      </c>
    </row>
    <row r="20" spans="1:7" ht="15.75" hidden="1">
      <c r="A20" s="24" t="s">
        <v>286</v>
      </c>
      <c r="B20" s="20">
        <v>902</v>
      </c>
      <c r="C20" s="25" t="s">
        <v>285</v>
      </c>
      <c r="D20" s="25" t="s">
        <v>159</v>
      </c>
      <c r="E20" s="25"/>
      <c r="F20" s="25"/>
      <c r="G20" s="91">
        <f t="shared" si="0"/>
        <v>0</v>
      </c>
    </row>
    <row r="21" spans="1:7" ht="15.75" hidden="1">
      <c r="A21" s="26" t="s">
        <v>162</v>
      </c>
      <c r="B21" s="17">
        <v>902</v>
      </c>
      <c r="C21" s="21" t="s">
        <v>285</v>
      </c>
      <c r="D21" s="21" t="s">
        <v>159</v>
      </c>
      <c r="E21" s="21" t="s">
        <v>163</v>
      </c>
      <c r="F21" s="21"/>
      <c r="G21" s="92">
        <f t="shared" si="0"/>
        <v>0</v>
      </c>
    </row>
    <row r="22" spans="1:7" ht="31.5" hidden="1">
      <c r="A22" s="26" t="s">
        <v>182</v>
      </c>
      <c r="B22" s="17">
        <v>902</v>
      </c>
      <c r="C22" s="21" t="s">
        <v>285</v>
      </c>
      <c r="D22" s="21" t="s">
        <v>159</v>
      </c>
      <c r="E22" s="21" t="s">
        <v>183</v>
      </c>
      <c r="F22" s="21"/>
      <c r="G22" s="92">
        <f t="shared" si="0"/>
        <v>0</v>
      </c>
    </row>
    <row r="23" spans="1:7" ht="31.5" hidden="1">
      <c r="A23" s="26" t="s">
        <v>287</v>
      </c>
      <c r="B23" s="17">
        <v>902</v>
      </c>
      <c r="C23" s="21" t="s">
        <v>285</v>
      </c>
      <c r="D23" s="21" t="s">
        <v>159</v>
      </c>
      <c r="E23" s="21" t="s">
        <v>288</v>
      </c>
      <c r="F23" s="21"/>
      <c r="G23" s="92">
        <f t="shared" si="0"/>
        <v>0</v>
      </c>
    </row>
    <row r="24" spans="1:7" ht="31.5" hidden="1">
      <c r="A24" s="26" t="s">
        <v>289</v>
      </c>
      <c r="B24" s="17">
        <v>902</v>
      </c>
      <c r="C24" s="21" t="s">
        <v>285</v>
      </c>
      <c r="D24" s="21" t="s">
        <v>159</v>
      </c>
      <c r="E24" s="21" t="s">
        <v>288</v>
      </c>
      <c r="F24" s="21" t="s">
        <v>290</v>
      </c>
      <c r="G24" s="92">
        <f t="shared" si="0"/>
        <v>0</v>
      </c>
    </row>
    <row r="25" spans="1:7" ht="63" hidden="1">
      <c r="A25" s="26" t="s">
        <v>291</v>
      </c>
      <c r="B25" s="17">
        <v>902</v>
      </c>
      <c r="C25" s="21" t="s">
        <v>285</v>
      </c>
      <c r="D25" s="21" t="s">
        <v>159</v>
      </c>
      <c r="E25" s="21" t="s">
        <v>288</v>
      </c>
      <c r="F25" s="21" t="s">
        <v>390</v>
      </c>
      <c r="G25" s="92"/>
    </row>
    <row r="26" spans="1:7" ht="59.25" customHeight="1">
      <c r="A26" s="423" t="s">
        <v>719</v>
      </c>
      <c r="B26" s="423"/>
      <c r="C26" s="423"/>
      <c r="D26" s="423"/>
      <c r="E26" s="423"/>
      <c r="F26" s="423"/>
      <c r="G26" s="91">
        <f>G27</f>
        <v>1610.6</v>
      </c>
    </row>
    <row r="27" spans="1:7" ht="78.75">
      <c r="A27" s="5" t="s">
        <v>718</v>
      </c>
      <c r="B27" s="5">
        <v>903</v>
      </c>
      <c r="C27" s="5"/>
      <c r="D27" s="5"/>
      <c r="E27" s="5"/>
      <c r="F27" s="5"/>
      <c r="G27" s="91">
        <f>G28+G33</f>
        <v>1610.6</v>
      </c>
    </row>
    <row r="28" spans="1:7" ht="15.75">
      <c r="A28" s="63" t="s">
        <v>304</v>
      </c>
      <c r="B28" s="263">
        <v>903</v>
      </c>
      <c r="C28" s="8" t="s">
        <v>305</v>
      </c>
      <c r="D28" s="42"/>
      <c r="E28" s="263"/>
      <c r="F28" s="263"/>
      <c r="G28" s="91">
        <f>G29</f>
        <v>25</v>
      </c>
    </row>
    <row r="29" spans="1:7" ht="31.5">
      <c r="A29" s="47" t="s">
        <v>508</v>
      </c>
      <c r="B29" s="6">
        <v>903</v>
      </c>
      <c r="C29" s="42" t="s">
        <v>305</v>
      </c>
      <c r="D29" s="42" t="s">
        <v>305</v>
      </c>
      <c r="E29" s="263"/>
      <c r="F29" s="263"/>
      <c r="G29" s="92">
        <f>G30</f>
        <v>25</v>
      </c>
    </row>
    <row r="30" spans="1:7" ht="47.25">
      <c r="A30" s="31" t="s">
        <v>386</v>
      </c>
      <c r="B30" s="6">
        <v>903</v>
      </c>
      <c r="C30" s="42" t="s">
        <v>305</v>
      </c>
      <c r="D30" s="42" t="s">
        <v>305</v>
      </c>
      <c r="E30" s="42" t="s">
        <v>387</v>
      </c>
      <c r="F30" s="42"/>
      <c r="G30" s="92">
        <f>G31</f>
        <v>25</v>
      </c>
    </row>
    <row r="31" spans="1:7" ht="31.5">
      <c r="A31" s="31" t="s">
        <v>289</v>
      </c>
      <c r="B31" s="6">
        <v>903</v>
      </c>
      <c r="C31" s="42" t="s">
        <v>305</v>
      </c>
      <c r="D31" s="42" t="s">
        <v>305</v>
      </c>
      <c r="E31" s="42" t="s">
        <v>388</v>
      </c>
      <c r="F31" s="42" t="s">
        <v>290</v>
      </c>
      <c r="G31" s="92">
        <f>G32</f>
        <v>25</v>
      </c>
    </row>
    <row r="32" spans="1:7" ht="47.25">
      <c r="A32" s="31" t="s">
        <v>389</v>
      </c>
      <c r="B32" s="6">
        <v>903</v>
      </c>
      <c r="C32" s="42" t="s">
        <v>305</v>
      </c>
      <c r="D32" s="42" t="s">
        <v>305</v>
      </c>
      <c r="E32" s="42" t="s">
        <v>388</v>
      </c>
      <c r="F32" s="42" t="s">
        <v>390</v>
      </c>
      <c r="G32" s="92">
        <f>'Прил.№5 ведомств.'!G375</f>
        <v>25</v>
      </c>
    </row>
    <row r="33" spans="1:7" ht="15.75">
      <c r="A33" s="275" t="s">
        <v>284</v>
      </c>
      <c r="B33" s="9" t="s">
        <v>687</v>
      </c>
      <c r="C33" s="9" t="s">
        <v>285</v>
      </c>
      <c r="D33" s="10"/>
      <c r="E33" s="10"/>
      <c r="F33" s="10"/>
      <c r="G33" s="276">
        <f>G34</f>
        <v>1585.6</v>
      </c>
    </row>
    <row r="34" spans="1:7" ht="31.5">
      <c r="A34" s="31" t="s">
        <v>293</v>
      </c>
      <c r="B34" s="6">
        <v>903</v>
      </c>
      <c r="C34" s="42" t="s">
        <v>285</v>
      </c>
      <c r="D34" s="42" t="s">
        <v>256</v>
      </c>
      <c r="E34" s="42"/>
      <c r="F34" s="42"/>
      <c r="G34" s="92">
        <f>G35</f>
        <v>1585.6</v>
      </c>
    </row>
    <row r="35" spans="1:7" ht="78.75">
      <c r="A35" s="31" t="s">
        <v>720</v>
      </c>
      <c r="B35" s="6">
        <v>903</v>
      </c>
      <c r="C35" s="42" t="s">
        <v>285</v>
      </c>
      <c r="D35" s="42" t="s">
        <v>256</v>
      </c>
      <c r="E35" s="42" t="s">
        <v>385</v>
      </c>
      <c r="F35" s="42"/>
      <c r="G35" s="92">
        <f>G36+G40+G44</f>
        <v>1585.6</v>
      </c>
    </row>
    <row r="36" spans="1:7" ht="63">
      <c r="A36" s="47" t="s">
        <v>689</v>
      </c>
      <c r="B36" s="6">
        <v>903</v>
      </c>
      <c r="C36" s="42" t="s">
        <v>285</v>
      </c>
      <c r="D36" s="42" t="s">
        <v>256</v>
      </c>
      <c r="E36" s="42" t="s">
        <v>397</v>
      </c>
      <c r="F36" s="42"/>
      <c r="G36" s="92">
        <f>G37</f>
        <v>420</v>
      </c>
    </row>
    <row r="37" spans="1:7" ht="47.25">
      <c r="A37" s="31" t="s">
        <v>198</v>
      </c>
      <c r="B37" s="6">
        <v>903</v>
      </c>
      <c r="C37" s="42" t="s">
        <v>285</v>
      </c>
      <c r="D37" s="42" t="s">
        <v>256</v>
      </c>
      <c r="E37" s="42" t="s">
        <v>398</v>
      </c>
      <c r="F37" s="42"/>
      <c r="G37" s="92">
        <f>G38</f>
        <v>420</v>
      </c>
    </row>
    <row r="38" spans="1:7" ht="31.5">
      <c r="A38" s="31" t="s">
        <v>289</v>
      </c>
      <c r="B38" s="6">
        <v>903</v>
      </c>
      <c r="C38" s="42" t="s">
        <v>285</v>
      </c>
      <c r="D38" s="42" t="s">
        <v>256</v>
      </c>
      <c r="E38" s="42" t="s">
        <v>398</v>
      </c>
      <c r="F38" s="42" t="s">
        <v>290</v>
      </c>
      <c r="G38" s="92">
        <f>G39</f>
        <v>420</v>
      </c>
    </row>
    <row r="39" spans="1:7" ht="47.25">
      <c r="A39" s="31" t="s">
        <v>389</v>
      </c>
      <c r="B39" s="94">
        <v>903</v>
      </c>
      <c r="C39" s="42" t="s">
        <v>285</v>
      </c>
      <c r="D39" s="42" t="s">
        <v>256</v>
      </c>
      <c r="E39" s="42" t="s">
        <v>398</v>
      </c>
      <c r="F39" s="95" t="s">
        <v>390</v>
      </c>
      <c r="G39" s="92">
        <f>'Прил.№5 ведомств.'!G564</f>
        <v>420</v>
      </c>
    </row>
    <row r="40" spans="1:7" ht="31.5">
      <c r="A40" s="47" t="s">
        <v>691</v>
      </c>
      <c r="B40" s="6">
        <v>903</v>
      </c>
      <c r="C40" s="42" t="s">
        <v>285</v>
      </c>
      <c r="D40" s="42" t="s">
        <v>256</v>
      </c>
      <c r="E40" s="42" t="s">
        <v>400</v>
      </c>
      <c r="F40" s="42"/>
      <c r="G40" s="84">
        <f>G41</f>
        <v>915.6</v>
      </c>
    </row>
    <row r="41" spans="1:7" ht="47.25">
      <c r="A41" s="31" t="s">
        <v>198</v>
      </c>
      <c r="B41" s="6">
        <v>903</v>
      </c>
      <c r="C41" s="96" t="s">
        <v>285</v>
      </c>
      <c r="D41" s="96" t="s">
        <v>256</v>
      </c>
      <c r="E41" s="42" t="s">
        <v>401</v>
      </c>
      <c r="F41" s="96"/>
      <c r="G41" s="84">
        <f>G42</f>
        <v>915.6</v>
      </c>
    </row>
    <row r="42" spans="1:7" ht="31.5">
      <c r="A42" s="31" t="s">
        <v>289</v>
      </c>
      <c r="B42" s="6">
        <v>903</v>
      </c>
      <c r="C42" s="42" t="s">
        <v>285</v>
      </c>
      <c r="D42" s="42" t="s">
        <v>256</v>
      </c>
      <c r="E42" s="42" t="s">
        <v>401</v>
      </c>
      <c r="F42" s="42" t="s">
        <v>290</v>
      </c>
      <c r="G42" s="84">
        <f>G43</f>
        <v>915.6</v>
      </c>
    </row>
    <row r="43" spans="1:7" ht="47.25">
      <c r="A43" s="31" t="s">
        <v>389</v>
      </c>
      <c r="B43" s="6">
        <v>903</v>
      </c>
      <c r="C43" s="42" t="s">
        <v>285</v>
      </c>
      <c r="D43" s="42" t="s">
        <v>256</v>
      </c>
      <c r="E43" s="42" t="s">
        <v>401</v>
      </c>
      <c r="F43" s="42" t="s">
        <v>390</v>
      </c>
      <c r="G43" s="84">
        <f>'Прил.№5 ведомств.'!G570</f>
        <v>915.6</v>
      </c>
    </row>
    <row r="44" spans="1:7" ht="47.25">
      <c r="A44" s="31" t="s">
        <v>402</v>
      </c>
      <c r="B44" s="64">
        <v>903</v>
      </c>
      <c r="C44" s="96" t="s">
        <v>285</v>
      </c>
      <c r="D44" s="96" t="s">
        <v>256</v>
      </c>
      <c r="E44" s="96" t="s">
        <v>403</v>
      </c>
      <c r="F44" s="96"/>
      <c r="G44" s="92">
        <f>G45</f>
        <v>250</v>
      </c>
    </row>
    <row r="45" spans="1:7" ht="47.25">
      <c r="A45" s="31" t="s">
        <v>198</v>
      </c>
      <c r="B45" s="6">
        <v>903</v>
      </c>
      <c r="C45" s="96" t="s">
        <v>285</v>
      </c>
      <c r="D45" s="96" t="s">
        <v>256</v>
      </c>
      <c r="E45" s="96" t="s">
        <v>404</v>
      </c>
      <c r="F45" s="96"/>
      <c r="G45" s="92">
        <f>G46</f>
        <v>250</v>
      </c>
    </row>
    <row r="46" spans="1:7" ht="31.5">
      <c r="A46" s="31" t="s">
        <v>289</v>
      </c>
      <c r="B46" s="6">
        <v>903</v>
      </c>
      <c r="C46" s="96" t="s">
        <v>285</v>
      </c>
      <c r="D46" s="96" t="s">
        <v>256</v>
      </c>
      <c r="E46" s="96" t="s">
        <v>404</v>
      </c>
      <c r="F46" s="96" t="s">
        <v>290</v>
      </c>
      <c r="G46" s="92">
        <f>G47</f>
        <v>250</v>
      </c>
    </row>
    <row r="47" spans="1:7" ht="47.25">
      <c r="A47" s="31" t="s">
        <v>389</v>
      </c>
      <c r="B47" s="6">
        <v>903</v>
      </c>
      <c r="C47" s="96" t="s">
        <v>285</v>
      </c>
      <c r="D47" s="96" t="s">
        <v>256</v>
      </c>
      <c r="E47" s="96" t="s">
        <v>404</v>
      </c>
      <c r="F47" s="96" t="s">
        <v>390</v>
      </c>
      <c r="G47" s="97">
        <f>'Прил.№5 ведомств.'!G574</f>
        <v>250</v>
      </c>
    </row>
    <row r="48" spans="1:7" ht="15.75">
      <c r="A48" s="43" t="s">
        <v>717</v>
      </c>
      <c r="B48" s="43"/>
      <c r="C48" s="98"/>
      <c r="D48" s="98"/>
      <c r="E48" s="98"/>
      <c r="F48" s="98"/>
      <c r="G48" s="99">
        <f>G26+G9</f>
        <v>1610.6</v>
      </c>
    </row>
  </sheetData>
  <mergeCells count="5">
    <mergeCell ref="A4:G5"/>
    <mergeCell ref="A9:F9"/>
    <mergeCell ref="A26:F26"/>
    <mergeCell ref="A1:C2"/>
    <mergeCell ref="A17:F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93" zoomScaleSheetLayoutView="93" workbookViewId="0" topLeftCell="A1">
      <selection activeCell="P13" sqref="P13"/>
    </sheetView>
  </sheetViews>
  <sheetFormatPr defaultColWidth="9.140625" defaultRowHeight="15"/>
  <cols>
    <col min="1" max="1" width="36.00390625" style="0" customWidth="1"/>
    <col min="2" max="2" width="51.7109375" style="0" customWidth="1"/>
    <col min="3" max="3" width="12.57421875" style="0" hidden="1" customWidth="1"/>
    <col min="4" max="4" width="11.28125" style="0" hidden="1" customWidth="1"/>
    <col min="5" max="5" width="10.57421875" style="0" hidden="1" customWidth="1"/>
    <col min="6" max="6" width="10.140625" style="0" hidden="1" customWidth="1"/>
    <col min="7" max="9" width="9.28125" style="0" hidden="1" customWidth="1"/>
    <col min="10" max="10" width="21.00390625" style="0" customWidth="1"/>
  </cols>
  <sheetData>
    <row r="1" spans="1:10" ht="15.75">
      <c r="A1" s="13"/>
      <c r="J1" s="267" t="s">
        <v>1005</v>
      </c>
    </row>
    <row r="2" spans="1:10" ht="15.75">
      <c r="A2" s="13"/>
      <c r="B2" s="13"/>
      <c r="J2" s="267" t="s">
        <v>0</v>
      </c>
    </row>
    <row r="3" spans="1:10" ht="18.75">
      <c r="A3" s="13"/>
      <c r="B3" s="13"/>
      <c r="C3" s="13"/>
      <c r="J3" s="180"/>
    </row>
    <row r="4" spans="1:3" ht="15.75">
      <c r="A4" s="13"/>
      <c r="B4" s="13"/>
      <c r="C4" s="13"/>
    </row>
    <row r="5" spans="1:10" ht="16.5">
      <c r="A5" s="406" t="s">
        <v>721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 ht="16.5">
      <c r="A6" s="406" t="s">
        <v>1008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3" ht="15.75">
      <c r="A7" s="100"/>
      <c r="B7" s="100"/>
      <c r="C7" s="100"/>
    </row>
    <row r="8" spans="1:10" ht="15.75">
      <c r="A8" s="13"/>
      <c r="B8" s="13"/>
      <c r="J8" s="101" t="s">
        <v>3</v>
      </c>
    </row>
    <row r="9" spans="1:10" ht="40.5" customHeight="1">
      <c r="A9" s="90" t="s">
        <v>722</v>
      </c>
      <c r="B9" s="90" t="s">
        <v>723</v>
      </c>
      <c r="C9" s="90" t="s">
        <v>860</v>
      </c>
      <c r="D9" s="76" t="s">
        <v>824</v>
      </c>
      <c r="E9" s="76" t="s">
        <v>825</v>
      </c>
      <c r="F9" s="76" t="s">
        <v>937</v>
      </c>
      <c r="G9" s="206" t="s">
        <v>852</v>
      </c>
      <c r="H9" s="206" t="s">
        <v>853</v>
      </c>
      <c r="I9" s="206" t="s">
        <v>854</v>
      </c>
      <c r="J9" s="205" t="s">
        <v>998</v>
      </c>
    </row>
    <row r="10" spans="1:10" ht="15.75">
      <c r="A10" s="90">
        <v>1</v>
      </c>
      <c r="B10" s="90">
        <v>2</v>
      </c>
      <c r="C10" s="90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3</v>
      </c>
    </row>
    <row r="11" spans="1:10" ht="33">
      <c r="A11" s="102" t="s">
        <v>724</v>
      </c>
      <c r="B11" s="103" t="s">
        <v>725</v>
      </c>
      <c r="C11" s="104" t="e">
        <f>C12-C14</f>
        <v>#REF!</v>
      </c>
      <c r="D11" s="104">
        <f>D12-D14</f>
        <v>2034.1</v>
      </c>
      <c r="E11" s="104" t="e">
        <f>E12-E14</f>
        <v>#REF!</v>
      </c>
      <c r="F11" s="216" t="e">
        <f aca="true" t="shared" si="0" ref="F11:F16">C11</f>
        <v>#REF!</v>
      </c>
      <c r="G11" s="104">
        <f>G12-G14</f>
        <v>0</v>
      </c>
      <c r="H11" s="104">
        <f>H12-H14</f>
        <v>0</v>
      </c>
      <c r="I11" s="104">
        <f>I12-I14</f>
        <v>0</v>
      </c>
      <c r="J11" s="104">
        <f>J12-J14</f>
        <v>59872.552710000076</v>
      </c>
    </row>
    <row r="12" spans="1:10" ht="31.5">
      <c r="A12" s="105" t="s">
        <v>726</v>
      </c>
      <c r="B12" s="106" t="s">
        <v>727</v>
      </c>
      <c r="C12" s="66">
        <f>C13</f>
        <v>59703</v>
      </c>
      <c r="D12" s="66">
        <f>D13</f>
        <v>2034.1</v>
      </c>
      <c r="E12" s="66">
        <f>E13</f>
        <v>57668.9</v>
      </c>
      <c r="F12" s="216">
        <f t="shared" si="0"/>
        <v>59703</v>
      </c>
      <c r="G12" s="215">
        <f>G13</f>
        <v>0</v>
      </c>
      <c r="H12" s="215">
        <f>H13</f>
        <v>0</v>
      </c>
      <c r="I12" s="215">
        <f>I13</f>
        <v>0</v>
      </c>
      <c r="J12" s="214">
        <f>J13</f>
        <v>59872.6</v>
      </c>
    </row>
    <row r="13" spans="1:10" ht="31.5">
      <c r="A13" s="107" t="s">
        <v>728</v>
      </c>
      <c r="B13" s="108" t="s">
        <v>729</v>
      </c>
      <c r="C13" s="109">
        <v>59703</v>
      </c>
      <c r="D13" s="109">
        <v>2034.1</v>
      </c>
      <c r="E13" s="109">
        <f>C13-D13</f>
        <v>57668.9</v>
      </c>
      <c r="F13" s="214">
        <f t="shared" si="0"/>
        <v>59703</v>
      </c>
      <c r="G13" s="215">
        <v>0</v>
      </c>
      <c r="H13" s="215">
        <v>0</v>
      </c>
      <c r="I13" s="215">
        <v>0</v>
      </c>
      <c r="J13" s="246">
        <v>59872.6</v>
      </c>
    </row>
    <row r="14" spans="1:10" ht="31.5">
      <c r="A14" s="105" t="s">
        <v>730</v>
      </c>
      <c r="B14" s="106" t="s">
        <v>731</v>
      </c>
      <c r="C14" s="66" t="e">
        <f>C15</f>
        <v>#REF!</v>
      </c>
      <c r="D14" s="66">
        <f>D15</f>
        <v>0</v>
      </c>
      <c r="E14" s="66" t="e">
        <f>E15</f>
        <v>#REF!</v>
      </c>
      <c r="F14" s="216" t="e">
        <f t="shared" si="0"/>
        <v>#REF!</v>
      </c>
      <c r="G14" s="104">
        <f>G15</f>
        <v>0</v>
      </c>
      <c r="H14" s="104">
        <f>H15</f>
        <v>0</v>
      </c>
      <c r="I14" s="104">
        <f>I15</f>
        <v>0</v>
      </c>
      <c r="J14" s="104">
        <f>J15</f>
        <v>0.04728999992221361</v>
      </c>
    </row>
    <row r="15" spans="1:10" ht="31.5">
      <c r="A15" s="107" t="s">
        <v>732</v>
      </c>
      <c r="B15" s="108" t="s">
        <v>733</v>
      </c>
      <c r="C15" s="109" t="e">
        <f>C12+C21</f>
        <v>#REF!</v>
      </c>
      <c r="D15" s="109"/>
      <c r="E15" s="109" t="e">
        <f>E12+E21</f>
        <v>#REF!</v>
      </c>
      <c r="F15" s="214" t="e">
        <f t="shared" si="0"/>
        <v>#REF!</v>
      </c>
      <c r="G15" s="215">
        <v>0</v>
      </c>
      <c r="H15" s="215">
        <v>0</v>
      </c>
      <c r="I15" s="215">
        <v>0</v>
      </c>
      <c r="J15" s="246">
        <f>J13+J21</f>
        <v>0.04728999992221361</v>
      </c>
    </row>
    <row r="16" spans="1:10" ht="16.5">
      <c r="A16" s="105" t="s">
        <v>717</v>
      </c>
      <c r="B16" s="108"/>
      <c r="C16" s="4" t="e">
        <f>C13-C15</f>
        <v>#REF!</v>
      </c>
      <c r="D16" s="4">
        <f>D13-D15</f>
        <v>2034.1</v>
      </c>
      <c r="E16" s="4" t="e">
        <f>E13-E15</f>
        <v>#REF!</v>
      </c>
      <c r="F16" s="216" t="e">
        <f t="shared" si="0"/>
        <v>#REF!</v>
      </c>
      <c r="G16" s="213">
        <f>G13-G15</f>
        <v>0</v>
      </c>
      <c r="H16" s="213">
        <f>H13-H15</f>
        <v>0</v>
      </c>
      <c r="I16" s="213">
        <f>I13-I15</f>
        <v>0</v>
      </c>
      <c r="J16" s="213">
        <f>J13-J15</f>
        <v>59872.552710000076</v>
      </c>
    </row>
    <row r="19" spans="2:10" ht="15">
      <c r="B19" t="s">
        <v>734</v>
      </c>
      <c r="C19" s="23" t="e">
        <f>'прил.№1 доходы'!C163</f>
        <v>#REF!</v>
      </c>
      <c r="D19">
        <v>201909.8</v>
      </c>
      <c r="E19" s="23" t="e">
        <f>C19-D19</f>
        <v>#REF!</v>
      </c>
      <c r="F19" s="23" t="e">
        <f>'прил.№1 доходы'!E163</f>
        <v>#REF!</v>
      </c>
      <c r="G19" t="e">
        <f>'прил.№1 доходы'!F163</f>
        <v>#REF!</v>
      </c>
      <c r="H19" t="e">
        <f>'прил.№1 доходы'!G163</f>
        <v>#REF!</v>
      </c>
      <c r="I19" t="e">
        <f>'прил.№1 доходы'!H163</f>
        <v>#REF!</v>
      </c>
      <c r="J19">
        <f>'прил.№1 доходы'!I163</f>
        <v>750515.79729</v>
      </c>
    </row>
    <row r="20" spans="2:10" ht="15">
      <c r="B20" t="s">
        <v>735</v>
      </c>
      <c r="C20" s="23" t="e">
        <f>'прил.№3 Рд,пр'!D50</f>
        <v>#REF!</v>
      </c>
      <c r="D20">
        <f>D19+3210</f>
        <v>205119.8</v>
      </c>
      <c r="E20" s="23" t="e">
        <f>C20-D20</f>
        <v>#REF!</v>
      </c>
      <c r="F20" s="23" t="e">
        <f>'прил.№3 Рд,пр'!E50</f>
        <v>#REF!</v>
      </c>
      <c r="G20" t="e">
        <f>'прил.№3 Рд,пр'!F50</f>
        <v>#REF!</v>
      </c>
      <c r="H20" t="e">
        <f>'прил.№3 Рд,пр'!G50</f>
        <v>#REF!</v>
      </c>
      <c r="I20" t="e">
        <f>'прил.№3 Рд,пр'!H50</f>
        <v>#REF!</v>
      </c>
      <c r="J20">
        <f>'прил.№3 Рд,пр'!I50</f>
        <v>810388.3500000001</v>
      </c>
    </row>
    <row r="21" spans="2:10" ht="15">
      <c r="B21" t="s">
        <v>736</v>
      </c>
      <c r="C21" s="23" t="e">
        <f aca="true" t="shared" si="1" ref="C21:J21">C19-C20</f>
        <v>#REF!</v>
      </c>
      <c r="D21" s="23">
        <f t="shared" si="1"/>
        <v>-3210</v>
      </c>
      <c r="E21" s="23" t="e">
        <f t="shared" si="1"/>
        <v>#REF!</v>
      </c>
      <c r="F21" s="23" t="e">
        <f t="shared" si="1"/>
        <v>#REF!</v>
      </c>
      <c r="G21" t="e">
        <f t="shared" si="1"/>
        <v>#REF!</v>
      </c>
      <c r="H21" t="e">
        <f t="shared" si="1"/>
        <v>#REF!</v>
      </c>
      <c r="I21" t="e">
        <f t="shared" si="1"/>
        <v>#REF!</v>
      </c>
      <c r="J21">
        <f t="shared" si="1"/>
        <v>-59872.552710000076</v>
      </c>
    </row>
    <row r="23" ht="15">
      <c r="K23" s="23"/>
    </row>
  </sheetData>
  <mergeCells count="2">
    <mergeCell ref="A5:J5"/>
    <mergeCell ref="A6:J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2019-11-19T05:37:41Z</dcterms:modified>
  <cp:category/>
  <cp:version/>
  <cp:contentType/>
  <cp:contentStatus/>
</cp:coreProperties>
</file>